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ФХД'!$Z$66</definedName>
    <definedName name="B_FHD_CHECK_INDEX_2">'Показатели ФХД'!$Z$68</definedName>
    <definedName name="B_FHD_COSTS_INDEX_1">'Показатели ФХД'!$H$65:$X$65</definedName>
    <definedName name="B_FHD_COSTS_INDEX_2">'Показатели ФХД'!$H$67:$X$67</definedName>
    <definedName name="B_FHD_DATA_TOP80_ACTIVITY">'Показатели ФХД'!$H$81:$X$81</definedName>
    <definedName name="B_FHD_diff_1">'Показатели ФХД'!$I$25:$I$27</definedName>
    <definedName name="B_FHD_FLAG_DIFFERENTIATION">'Показатели ФХД'!$H$24:$X$24</definedName>
    <definedName name="B_FHD_FLAG_INDEX_1">'Показатели ФХД'!$H$66:$X$66</definedName>
    <definedName name="B_FHD_FLAG_INDEX_2">'Показатели ФХД'!$H$68:$X$68</definedName>
    <definedName name="B_FHD_TKO_DATA_TOP80_ACTIVITY">'ТКО. Показатели ФХД'!$H$43:$X$43</definedName>
    <definedName name="B_FHD_TKO_diff_1">'ТКО. Показатели ФХД'!$I$10:$I$12</definedName>
    <definedName name="B_FHD_TKO_FLAG_DIFFERENTIATION">'ТКО. Показатели ФХД'!$H$9:$X$9</definedName>
    <definedName name="B_FHD_TKO_TRANS_DATA_TOP80_ACTIVITY">'ТКО. Транс. Показатели ФХД'!$H$35:$X$35</definedName>
    <definedName name="B_FHD_TKO_TRANS_diff_1">'ТКО. Транс. Показатели ФХД'!$I$10:$I$12</definedName>
    <definedName name="B_FHD_TKO_TRANS_FLAG_DIFFERENTIATION">'ТКО. Транс. Показатели ФХД'!$H$9:$X$9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&gt;20%'!$D$13:$S$149</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&gt;20%'!$V$11:$V$149</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ОТЭП'!$L$9:$AC$9</definedName>
    <definedName name="B_OTEP_HEAT_DATA_TOP80_ACTIVITY">'Показатели ОТЭП'!$L$15:$AC$15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территорий'!$E$49:$I$49</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Дифференциация!$I$12:$I$39</definedName>
    <definedName name="DIFFERENTIATION_AREA_ID">Дифференциация!$U$11:$U$40</definedName>
    <definedName name="DIFFERENTIATION_CheckC">Дифференциация!$D$12:$M$39</definedName>
    <definedName name="DIFFERENTIATION_fieldMarker">Дифференциация!$W$12:$W$39</definedName>
    <definedName name="DIFFERENTIATION_ID">TEHSHEET!$E$57</definedName>
    <definedName name="DIFFERENTIATION_ID_DIFF">Дифференциация!$O$12:$O$39</definedName>
    <definedName name="DIFFERENTIATION_SYSTEM">Дифференциация!$M$12:$M$39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Дифференциация!$Q$12:$Q$39</definedName>
    <definedName name="DIFFERENTIATION_UNMERGE_SYSTEM">Дифференциация!$R$12:$R$39</definedName>
    <definedName name="DIFFERENTIATION_UNMERGE_VD">Дифференциация!$P$12:$P$39</definedName>
    <definedName name="DIFFERENTIATION_VD">Дифференциация!$E$12:$E$39</definedName>
    <definedName name="DIFFERENTIATION_VD_ID">Дифференциация!$V$11:$V$40</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Ограничения!$F$38:$AM$38</definedName>
    <definedName name="flag_Q_LIMIT_p4">Ограничения!$F$667:$AM$667</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Дифференциация!$G$12:$G$39</definedName>
    <definedName name="pDel_DIFFERENTIATION_SYSTEM">Дифференциация!$K$12:$K$39</definedName>
    <definedName name="pDel_DIFFERENTIATION_VD">Дифференциация!$C$12:$C$39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территорий'!$C$12:$C$49</definedName>
    <definedName name="pDel_LT_MO">'Список территорий'!$D$11:$D$49</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ФХД'!$X$24</definedName>
    <definedName name="pIns_B_FHD_TKO_2">'ТКО. Показатели ФХД'!$F$34</definedName>
    <definedName name="pIns_B_FHD_TKO_DIFFERENTIATION">'ТКО. Показатели ФХД'!$X$9</definedName>
    <definedName name="pIns_B_FHD_TKO_TRANS_2">'ТКО. Транс. Показатели ФХД'!$F$29</definedName>
    <definedName name="pIns_B_FHD_TKO_TRANS_DIFFERENTIATION">'ТКО. Транс. Показатели ФХД'!$X$9</definedName>
    <definedName name="pIns_B_FHD20_DIFFERENTIATION">'Показатели ФХД &gt;20%'!$D$149</definedName>
    <definedName name="pIns_B_KNE_DIFFERENTIATION">'Показатели КНЭ'!$AM$6</definedName>
    <definedName name="pIns_B_OTEP_2">'Показатели ОТЭП'!$J$18</definedName>
    <definedName name="pIns_B_OTEP_DIFFERENTIATION">'Показатели ОТЭП'!$AB$9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территорий'!$G$49</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Ограничения!$E$35</definedName>
    <definedName name="pIns_Q_LIMIT_2">Ограничения!$E$37</definedName>
    <definedName name="pIns_Q_LIMIT_3">Ограничения!$E$666</definedName>
    <definedName name="pIns_Q_LIMIT_4">Ограничения!$E$668</definedName>
    <definedName name="pIns_Q_LIMIT_DIFFERENTIATION">Ограничения!$AM$25</definedName>
    <definedName name="pIns_Q_PH_DIFFERENTIATION">'Потребительские характеристики'!$AM$8</definedName>
    <definedName name="pIns_Q_TP_1">ТП!$E$22</definedName>
    <definedName name="pIns_Q_TP_DIFFERENTIATION">ТП!$W$8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Ограничения!$AM$26</definedName>
    <definedName name="pNote_Q_PH">'Потребительские характеристики'!$AM$9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Ограничения!$E$32:$AM$668</definedName>
    <definedName name="Q_LIMIT_diff_1">Ограничения!$I$26:$J$28</definedName>
    <definedName name="Q_LIMIT_p3">Ограничения!$F$38:$AM$666</definedName>
    <definedName name="Q_LIMIT_p4">Ограничения!$F$667:$AM$668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ФХД'!$X$131</definedName>
    <definedName name="tblEnd_1_B_FHD_TKO">'ТКО. Показатели ФХД'!$X$47</definedName>
    <definedName name="tblEnd_1_B_FHD_TKO_TRANS">'ТКО. Транс. Показатели ФХД'!$X$38</definedName>
    <definedName name="tblEnd_1_B_KNE">'Показатели КНЭ'!$J$101</definedName>
    <definedName name="tblEnd_1_B_OTEP">'Показатели ОТЭП'!$AB$34</definedName>
    <definedName name="tblEnd_1_B_STANDARTS">'Стандарты качества'!$L$13</definedName>
    <definedName name="tblEnd_1_CHANGE_INFO">'Сведения об изменении'!$E$14</definedName>
    <definedName name="tblEnd_1_DIFFERENTIATION">Дифференциация!$M$40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Ограничения!$AM$669</definedName>
    <definedName name="tblEnd_1_Q_PH">'Потребительские характеристики'!$AM$21</definedName>
    <definedName name="tblEnd_1_Q_TP">ТП!$W$23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территорий'!$I$50</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территорий'!$E$11:$I$49</definedName>
    <definedName name="TERRITORY_ID">TEHSHEET!$E$56</definedName>
    <definedName name="TERRITORY_LIST_ID">'Список территорий'!$F$11:$F$49</definedName>
    <definedName name="TERRITORY_MO_LIST">'Список территорий'!$H$11:$H$49</definedName>
    <definedName name="TERRITORY_MR_LIST">'Список территорий'!$G$11:$G$49</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Дифференциация!$F$12:$F$39</definedName>
    <definedName name="Y_N_DIFFERENTIATION_SYSTEM">Дифференциация!$J$12:$J$39</definedName>
    <definedName name="YEAR_IP_LIST">TEHSHEET!$BE$2:$BE$72</definedName>
    <definedName name="year_list">TEHSHEET!$C$2:$C$6</definedName>
    <definedName name="year_list1">TEHSHEET!$B$2:$B$27</definedName>
    <definedName name="REESTR_IP_RANGE">REESTR_IP!$A$2:$I$69</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'Список территорий'!$G$19:$I$19</definedName>
    <definedName name="ter_511">'Список территорий'!$G$22:$I$22</definedName>
    <definedName name="ter_5111">'Список территорий'!$G$25:$I$25</definedName>
    <definedName name="ter_51111">'Список территорий'!$G$28:$I$28</definedName>
    <definedName name="ter_511111">'Список территорий'!$G$31:$I$34</definedName>
    <definedName name="ter_5111111">'Список территорий'!$G$37:$I$37</definedName>
    <definedName name="ter_51111111">'Список территорий'!$G$40:$I$43</definedName>
    <definedName name="ter_511111111">'Список территорий'!$G$46:$I$47</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Q_PH_diff_511111">'Потребительские характеристики'!$U$9:$V$11</definedName>
    <definedName name="Q_TP_diff_511111">ТП!$N$9:$N$11</definedName>
    <definedName name="Q_Limit_diff_511111">Ограничения!$U$26:$V$28</definedName>
    <definedName name="B_FHD_diff_511111">'Показатели ФХД'!$O$25:$O$27</definedName>
    <definedName name="B_OTEP_diff_511111">'Показатели ОТЭП'!$S$10:$S$12</definedName>
    <definedName name="B_FHD20_diff_511111">'Показатели ФХД &gt;20%'!$H$68:$R$70</definedName>
    <definedName name="B_KNE_diff_511111">'Показатели КНЭ'!$U$7:$V$9</definedName>
    <definedName name="B_FHD_TKO_diff_511111">'ТКО. Показатели ФХД'!$O$10:$O$12</definedName>
    <definedName name="B_FHD_TKO_TRANS_diff_511111">'ТКО. Транс. Показатели ФХД'!$O$10:$O$12</definedName>
    <definedName name="Q_PH_diff_5111111">'Потребительские характеристики'!$W$9:$X$11</definedName>
    <definedName name="Q_TP_diff_5111111">ТП!$O$9:$O$11</definedName>
    <definedName name="Q_Limit_diff_5111111">Ограничения!$W$26:$X$28</definedName>
    <definedName name="B_FHD_diff_5111111">'Показатели ФХД'!$P$25:$P$27</definedName>
    <definedName name="B_OTEP_diff_5111111">'Показатели ОТЭП'!$T$10:$T$12</definedName>
    <definedName name="B_FHD20_diff_5111111">'Показатели ФХД &gt;20%'!$H$77:$R$79</definedName>
    <definedName name="B_KNE_diff_5111111">'Показатели КНЭ'!$W$7:$X$9</definedName>
    <definedName name="B_FHD_TKO_diff_5111111">'ТКО. Показатели ФХД'!$P$10:$P$12</definedName>
    <definedName name="B_FHD_TKO_TRANS_diff_5111111">'ТКО. Транс. Показатели ФХД'!$P$10:$P$12</definedName>
    <definedName name="Q_PH_diff_51111111">'Потребительские характеристики'!$Y$9:$Z$11</definedName>
    <definedName name="Q_TP_diff_51111111">ТП!$P$9:$P$11</definedName>
    <definedName name="Q_Limit_diff_51111111">Ограничения!$Y$26:$Z$28</definedName>
    <definedName name="B_FHD_diff_51111111">'Показатели ФХД'!$Q$25:$Q$27</definedName>
    <definedName name="B_OTEP_diff_51111111">'Показатели ОТЭП'!$U$10:$U$12</definedName>
    <definedName name="B_FHD20_diff_51111111">'Показатели ФХД &gt;20%'!$H$86:$R$88</definedName>
    <definedName name="B_KNE_diff_51111111">'Показатели КНЭ'!$Y$7:$Z$9</definedName>
    <definedName name="B_FHD_TKO_diff_51111111">'ТКО. Показатели ФХД'!$Q$10:$Q$12</definedName>
    <definedName name="B_FHD_TKO_TRANS_diff_51111111">'ТКО. Транс. Показатели ФХД'!$Q$10:$Q$12</definedName>
    <definedName name="Q_PH_diff_511111111">'Потребительские характеристики'!$AA$9:$AB$11</definedName>
    <definedName name="Q_TP_diff_511111111">ТП!$Q$9:$Q$11</definedName>
    <definedName name="Q_Limit_diff_511111111">Ограничения!$AA$26:$AB$28</definedName>
    <definedName name="B_FHD_diff_511111111">'Показатели ФХД'!$R$25:$R$27</definedName>
    <definedName name="B_OTEP_diff_511111111">'Показатели ОТЭП'!$V$10:$V$12</definedName>
    <definedName name="B_FHD20_diff_511111111">'Показатели ФХД &gt;20%'!$H$95:$R$97</definedName>
    <definedName name="B_KNE_diff_511111111">'Показатели КНЭ'!$AA$7:$AB$9</definedName>
    <definedName name="B_FHD_TKO_diff_511111111">'ТКО. Показатели ФХД'!$R$10:$R$12</definedName>
    <definedName name="B_FHD_TKO_TRANS_diff_511111111">'ТКО. Транс. Показатели ФХД'!$R$10:$R$12</definedName>
    <definedName name="Q_PH_diff_5111111111">'Потребительские характеристики'!$AC$9:$AD$11</definedName>
    <definedName name="Q_TP_diff_5111111111">ТП!$R$9:$R$11</definedName>
    <definedName name="Q_Limit_diff_5111111111">Ограничения!$AC$26:$AD$28</definedName>
    <definedName name="B_FHD_diff_5111111111">'Показатели ФХД'!$S$25:$S$27</definedName>
    <definedName name="B_OTEP_diff_5111111111">'Показатели ОТЭП'!$W$10:$W$12</definedName>
    <definedName name="B_FHD20_diff_5111111111">'Показатели ФХД &gt;20%'!$H$104:$R$106</definedName>
    <definedName name="B_KNE_diff_5111111111">'Показатели КНЭ'!$AC$7:$AD$9</definedName>
    <definedName name="B_FHD_TKO_diff_5111111111">'ТКО. Показатели ФХД'!$S$10:$S$12</definedName>
    <definedName name="B_FHD_TKO_TRANS_diff_5111111111">'ТКО. Транс. Показатели ФХД'!$S$10:$S$12</definedName>
    <definedName name="Q_PH_diff_51111111111">'Потребительские характеристики'!$AE$9:$AF$11</definedName>
    <definedName name="Q_TP_diff_51111111111">ТП!$S$9:$S$11</definedName>
    <definedName name="Q_Limit_diff_51111111111">Ограничения!$AE$26:$AF$28</definedName>
    <definedName name="B_FHD_diff_51111111111">'Показатели ФХД'!$T$25:$T$27</definedName>
    <definedName name="B_OTEP_diff_51111111111">'Показатели ОТЭП'!$X$10:$X$12</definedName>
    <definedName name="B_FHD20_diff_51111111111">'Показатели ФХД &gt;20%'!$H$113:$R$115</definedName>
    <definedName name="B_KNE_diff_51111111111">'Показатели КНЭ'!$AE$7:$AF$9</definedName>
    <definedName name="B_FHD_TKO_diff_51111111111">'ТКО. Показатели ФХД'!$T$10:$T$12</definedName>
    <definedName name="B_FHD_TKO_TRANS_diff_51111111111">'ТКО. Транс. Показатели ФХД'!$T$10:$T$12</definedName>
    <definedName name="Q_PH_diff_511111111111">'Потребительские характеристики'!$AG$9:$AH$11</definedName>
    <definedName name="Q_TP_diff_511111111111">ТП!$T$9:$T$11</definedName>
    <definedName name="Q_Limit_diff_511111111111">Ограничения!$AG$26:$AH$28</definedName>
    <definedName name="B_FHD_diff_511111111111">'Показатели ФХД'!$U$25:$U$27</definedName>
    <definedName name="B_OTEP_diff_511111111111">'Показатели ОТЭП'!$Y$10:$Y$12</definedName>
    <definedName name="B_FHD20_diff_511111111111">'Показатели ФХД &gt;20%'!$H$122:$R$124</definedName>
    <definedName name="B_KNE_diff_511111111111">'Показатели КНЭ'!$AG$7:$AH$9</definedName>
    <definedName name="B_FHD_TKO_diff_511111111111">'ТКО. Показатели ФХД'!$U$10:$U$12</definedName>
    <definedName name="B_FHD_TKO_TRANS_diff_511111111111">'ТКО. Транс. Показатели ФХД'!$U$10:$U$12</definedName>
    <definedName name="Q_PH_diff_5111111111111">'Потребительские характеристики'!$AI$9:$AJ$11</definedName>
    <definedName name="Q_TP_diff_5111111111111">ТП!$U$9:$U$11</definedName>
    <definedName name="Q_Limit_diff_5111111111111">Ограничения!$AI$26:$AJ$28</definedName>
    <definedName name="B_FHD_diff_5111111111111">'Показатели ФХД'!$V$25:$V$27</definedName>
    <definedName name="B_OTEP_diff_5111111111111">'Показатели ОТЭП'!$Z$10:$Z$12</definedName>
    <definedName name="B_FHD20_diff_5111111111111">'Показатели ФХД &gt;20%'!$H$131:$R$133</definedName>
    <definedName name="B_KNE_diff_5111111111111">'Показатели КНЭ'!$AI$7:$AJ$9</definedName>
    <definedName name="B_FHD_TKO_diff_5111111111111">'ТКО. Показатели ФХД'!$V$10:$V$12</definedName>
    <definedName name="B_FHD_TKO_TRANS_diff_5111111111111">'ТКО. Транс. Показатели ФХД'!$V$10:$V$12</definedName>
    <definedName name="Q_PH_diff_51111111111111">'Потребительские характеристики'!$AK$9:$AL$11</definedName>
    <definedName name="Q_TP_diff_51111111111111">ТП!$V$9:$V$11</definedName>
    <definedName name="Q_Limit_diff_51111111111111">Ограничения!$AK$26:$AL$28</definedName>
    <definedName name="B_FHD_diff_51111111111111">'Показатели ФХД'!$W$25:$W$27</definedName>
    <definedName name="B_OTEP_diff_51111111111111">'Показатели ОТЭП'!$AA$10:$AA$12</definedName>
    <definedName name="B_FHD20_diff_51111111111111">'Показатели ФХД &gt;20%'!$H$140:$R$142</definedName>
    <definedName name="B_KNE_diff_51111111111111">'Показатели КНЭ'!$AK$7:$AL$9</definedName>
    <definedName name="B_FHD_TKO_diff_51111111111111">'ТКО. Показатели ФХД'!$W$10:$W$12</definedName>
    <definedName name="B_FHD_TKO_TRANS_diff_51111111111111">'ТКО. Транс. Показатели ФХД'!$W$10:$W$12</definedName>
    <definedName name="DESCRIPTION_TERRITORY">REESTR_DS!$B$2:$B$11</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<sst xmlns="http://schemas.openxmlformats.org/spreadsheetml/2006/main" count="39336" uniqueCount="4379">
  <si>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</si>
  <si>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</si>
  <si>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</si>
  <si>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</si>
  <si>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</si>
  <si>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</si>
  <si>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</si>
  <si>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</si>
  <si>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</si>
  <si>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</si>
  <si>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</si>
  <si>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</si>
  <si>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</si>
  <si>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</si>
  <si>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</si>
  <si>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</si>
  <si>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</si>
  <si>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</si>
  <si>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</si>
  <si>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</si>
  <si>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</si>
  <si>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</si>
  <si>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</si>
  <si>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</si>
  <si>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</si>
  <si>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</si>
  <si>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</si>
  <si>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</si>
  <si>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</si>
  <si>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</si>
  <si>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</si>
  <si>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</si>
  <si>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</si>
  <si>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</si>
  <si>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</si>
  <si>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</si>
  <si>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</si>
  <si>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</si>
  <si>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</si>
  <si>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</si>
  <si>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</si>
  <si>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</si>
  <si>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</si>
  <si>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</si>
  <si>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</si>
  <si>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</si>
  <si>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</si>
  <si>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</si>
  <si>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</si>
  <si>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</si>
  <si>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</si>
  <si>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</si>
  <si>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</si>
  <si>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</si>
  <si>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</si>
  <si>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</si>
  <si>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</si>
  <si>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</si>
  <si>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</si>
  <si>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</si>
  <si>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</si>
  <si>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</si>
  <si>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</si>
  <si>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</si>
  <si>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</si>
  <si>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</si>
  <si>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</si>
  <si>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</si>
  <si>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</si>
  <si>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</si>
  <si>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</si>
  <si>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</si>
  <si>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</si>
  <si>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</si>
  <si>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</si>
  <si>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 xml:space="preserve">Старовецкая Анна Васильевна </t>
  </si>
  <si>
    <t>Должность</t>
  </si>
  <si>
    <t>главный специалист</t>
  </si>
  <si>
    <t>Контактный телефон</t>
  </si>
  <si>
    <t>8 (4212) 26-44-76</t>
  </si>
  <si>
    <t>E-mail</t>
  </si>
  <si>
    <t>starovetckaya-av@dgk.ru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</si>
  <si>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</si>
  <si>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</si>
  <si>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</si>
  <si>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</si>
  <si>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</si>
  <si>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</si>
  <si>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</si>
  <si>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</si>
  <si>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</si>
  <si>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</si>
  <si>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</si>
  <si>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</si>
  <si>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</si>
  <si>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</si>
  <si>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</si>
  <si>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</si>
  <si>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</si>
  <si>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Амурский муниципальный район</t>
  </si>
  <si>
    <t>Город Амурск</t>
  </si>
  <si>
    <t>08603101</t>
  </si>
  <si>
    <t>Добавить МО</t>
  </si>
  <si>
    <t>2</t>
  </si>
  <si>
    <t>×</t>
  </si>
  <si>
    <t>ter_5</t>
  </si>
  <si>
    <t>114</t>
  </si>
  <si>
    <t>Николаевский муниципальный район</t>
  </si>
  <si>
    <t>Город Николаевск-на-Амуре</t>
  </si>
  <si>
    <t>08631101</t>
  </si>
  <si>
    <t>ter_51</t>
  </si>
  <si>
    <t>75</t>
  </si>
  <si>
    <t>Город Комсомольск-на-Амуре</t>
  </si>
  <si>
    <t>08709000</t>
  </si>
  <si>
    <t>ter_511</t>
  </si>
  <si>
    <t>141</t>
  </si>
  <si>
    <t>Советско-Гаванский муниципальный район</t>
  </si>
  <si>
    <t>Город Советская Гавань</t>
  </si>
  <si>
    <t>08642101</t>
  </si>
  <si>
    <t>5</t>
  </si>
  <si>
    <t>ter_5111</t>
  </si>
  <si>
    <t>145</t>
  </si>
  <si>
    <t>Поселок Майский</t>
  </si>
  <si>
    <t>08642165</t>
  </si>
  <si>
    <t>ter_51111</t>
  </si>
  <si>
    <t>46</t>
  </si>
  <si>
    <t>Верхнебуреинский муниципальный район</t>
  </si>
  <si>
    <t>Поселок Чегдомын</t>
  </si>
  <si>
    <t>08614151</t>
  </si>
  <si>
    <t>ter_511111</t>
  </si>
  <si>
    <t>76</t>
  </si>
  <si>
    <t>Город Хабаровск</t>
  </si>
  <si>
    <t>08701000</t>
  </si>
  <si>
    <t>191</t>
  </si>
  <si>
    <t>Хабаровский муниципальный район</t>
  </si>
  <si>
    <t>Ильинское</t>
  </si>
  <si>
    <t>08655419</t>
  </si>
  <si>
    <t>205</t>
  </si>
  <si>
    <t>Поселок Корфовский</t>
  </si>
  <si>
    <t>08655155</t>
  </si>
  <si>
    <t>206</t>
  </si>
  <si>
    <t>Ракитненское</t>
  </si>
  <si>
    <t>08655459</t>
  </si>
  <si>
    <t>8</t>
  </si>
  <si>
    <t>ter_5111111</t>
  </si>
  <si>
    <t>9</t>
  </si>
  <si>
    <t>ter_51111111</t>
  </si>
  <si>
    <t>187</t>
  </si>
  <si>
    <t>Восточное</t>
  </si>
  <si>
    <t>08655476</t>
  </si>
  <si>
    <t>197</t>
  </si>
  <si>
    <t>Мирненское</t>
  </si>
  <si>
    <t>08655440</t>
  </si>
  <si>
    <t>209</t>
  </si>
  <si>
    <t>Тополевское</t>
  </si>
  <si>
    <t>08655465</t>
  </si>
  <si>
    <t>10</t>
  </si>
  <si>
    <t>ter_511111111</t>
  </si>
  <si>
    <t>189</t>
  </si>
  <si>
    <t>Дружбинское</t>
  </si>
  <si>
    <t>08655415</t>
  </si>
  <si>
    <t>200</t>
  </si>
  <si>
    <t>Некрасовское</t>
  </si>
  <si>
    <t>08655448</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</si>
  <si>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</si>
  <si>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</si>
  <si>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</si>
  <si>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</si>
  <si>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</si>
  <si>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</si>
  <si>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</si>
  <si>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ID_DIFF</t>
  </si>
  <si>
    <t>VD</t>
  </si>
  <si>
    <t>AREA</t>
  </si>
  <si>
    <t>SYSTEM</t>
  </si>
  <si>
    <t>Амурская ТЭЦ-1 (г. Амурск)</t>
  </si>
  <si>
    <t>diff_1</t>
  </si>
  <si>
    <t>4190068; 4190069; 4190070; 4190071; 4190072</t>
  </si>
  <si>
    <t>a</t>
  </si>
  <si>
    <t>Добавить централизованную систему</t>
  </si>
  <si>
    <t>Николаевская ТЭЦ (г. Николаевск)</t>
  </si>
  <si>
    <t>diff_5</t>
  </si>
  <si>
    <t>котельная "Аэропорт"</t>
  </si>
  <si>
    <t>diff_51</t>
  </si>
  <si>
    <t>Комсомольская ТЭЦ-1 (г. Комсомольск)</t>
  </si>
  <si>
    <t>diff_511</t>
  </si>
  <si>
    <t>Комсомольская ТЭЦ-2 (г. Комсомольск)</t>
  </si>
  <si>
    <t>diff_5111</t>
  </si>
  <si>
    <t>Комсомольская ТЭЦ-3 (г. Комсомольск)</t>
  </si>
  <si>
    <t>diff_51111</t>
  </si>
  <si>
    <t>ВК "Дземги" (г. Комсомольск)</t>
  </si>
  <si>
    <t>diff_511111</t>
  </si>
  <si>
    <t>ТЭЦ в г. Советская Гавань</t>
  </si>
  <si>
    <t>diff_5111111</t>
  </si>
  <si>
    <t xml:space="preserve">Майская котельная </t>
  </si>
  <si>
    <t>diff_51111111</t>
  </si>
  <si>
    <t>Ургальская котельная (п. Чегдомын)</t>
  </si>
  <si>
    <t>diff_511111111</t>
  </si>
  <si>
    <t>Хабаровская ТЭЦ-1 (г. Хабаровск, с. Ильинское, п. Корфовский, с. Ракитненское)</t>
  </si>
  <si>
    <t>diff_5111111111</t>
  </si>
  <si>
    <t>Хабаровская ТЭЦ-2 (г. Хабаровск)</t>
  </si>
  <si>
    <t>diff_51111111111</t>
  </si>
  <si>
    <t>Котельная в Волочаевском городке</t>
  </si>
  <si>
    <t>diff_511111111111</t>
  </si>
  <si>
    <t>Хабаровская ТЭЦ-3 (г. Хабаровск, с. Восточное, с. Мирненское, с. Тополевское)</t>
  </si>
  <si>
    <t>diff_5111111111111</t>
  </si>
  <si>
    <t xml:space="preserve">Котельная в с. Некрасовка (с. Дружбинское, с. Некрасовское) </t>
  </si>
  <si>
    <t>diff_51111111111111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</si>
  <si>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</si>
  <si>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</si>
  <si>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</si>
  <si>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</si>
  <si>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</si>
  <si>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</si>
  <si>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</si>
  <si>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</si>
  <si>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</si>
  <si>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</si>
  <si>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</si>
  <si>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</si>
  <si>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</si>
  <si>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</si>
  <si>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</si>
  <si>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</si>
  <si>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</si>
  <si>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</si>
  <si>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</si>
  <si>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</si>
  <si>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</si>
  <si>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</si>
  <si>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</si>
  <si>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</si>
  <si>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</si>
  <si>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</si>
  <si>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</si>
  <si>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</si>
  <si>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</si>
  <si>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</si>
  <si>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</si>
  <si>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</si>
  <si>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</si>
  <si>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</si>
  <si>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</si>
  <si>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</si>
  <si>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</si>
  <si>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</si>
  <si>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</si>
  <si>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</si>
  <si>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</si>
  <si>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</si>
  <si>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</si>
  <si>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</si>
  <si>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</si>
  <si>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</si>
  <si>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</si>
  <si>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</si>
  <si>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</si>
  <si>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</si>
  <si>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</si>
  <si>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</si>
  <si>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</si>
  <si>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</si>
  <si>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</si>
  <si>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</si>
  <si>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</si>
  <si>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</si>
  <si>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</si>
  <si>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</si>
  <si>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</si>
  <si>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</si>
  <si>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</si>
  <si>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</si>
  <si>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</si>
  <si>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</si>
  <si>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</si>
  <si>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</si>
  <si>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</si>
  <si>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</si>
  <si>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</si>
  <si>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</si>
  <si>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</si>
  <si>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</si>
  <si>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</si>
  <si>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</si>
  <si>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</si>
  <si>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</si>
  <si>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</si>
  <si>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</si>
  <si>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</si>
  <si>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</si>
  <si>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</si>
  <si>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</si>
  <si>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</si>
  <si>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</si>
  <si>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</si>
  <si>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</si>
  <si>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</si>
  <si>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</si>
  <si>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</si>
  <si>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</si>
  <si>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</si>
  <si>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</si>
  <si>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</si>
  <si>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</si>
  <si>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</si>
  <si>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</si>
  <si>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</si>
  <si>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</si>
  <si>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</si>
  <si>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</si>
  <si>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</si>
  <si>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</si>
  <si>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</si>
  <si>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</si>
  <si>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</si>
  <si>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</si>
  <si>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</si>
  <si>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</si>
  <si>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</si>
  <si>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</si>
  <si>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</si>
  <si>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</si>
  <si>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</si>
  <si>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</si>
  <si>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</si>
  <si>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</si>
  <si>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</si>
  <si>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</si>
  <si>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</si>
  <si>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</si>
  <si>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</si>
  <si>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</si>
  <si>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</si>
  <si>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</si>
  <si>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</si>
  <si>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</si>
  <si>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</si>
  <si>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</si>
  <si>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</si>
  <si>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</si>
  <si>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</si>
  <si>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</si>
  <si>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</si>
  <si>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</si>
  <si>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</si>
  <si>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</si>
  <si>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</si>
  <si>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</si>
  <si>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</si>
  <si>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</si>
  <si>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</si>
  <si>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</si>
  <si>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</si>
  <si>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</si>
  <si>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</si>
  <si>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</si>
  <si>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</si>
  <si>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</si>
  <si>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</si>
  <si>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</si>
  <si>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</si>
  <si>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</si>
  <si>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</si>
  <si>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</si>
  <si>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</si>
  <si>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</si>
  <si>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</si>
  <si>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</si>
  <si>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</si>
  <si>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</si>
  <si>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</si>
  <si>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</si>
  <si>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</si>
  <si>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</si>
  <si>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</si>
  <si>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</si>
  <si>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</si>
  <si>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</si>
  <si>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</si>
  <si>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</si>
  <si>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</si>
  <si>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</si>
  <si>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</si>
  <si>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</si>
  <si>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</si>
  <si>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</si>
  <si>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</si>
  <si>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</si>
  <si>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</si>
  <si>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</si>
  <si>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</si>
  <si>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</si>
  <si>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</si>
  <si>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</si>
  <si>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</si>
  <si>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</si>
  <si>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</si>
  <si>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</si>
  <si>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</si>
  <si>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</si>
  <si>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</si>
  <si>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</si>
  <si>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</si>
  <si>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</si>
  <si>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</si>
  <si>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</si>
  <si>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</si>
  <si>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</si>
  <si>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</si>
  <si>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</si>
  <si>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</si>
  <si>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</si>
  <si>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</si>
  <si>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</si>
  <si>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</si>
  <si>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</si>
  <si>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</si>
  <si>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</si>
  <si>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</si>
  <si>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</si>
  <si>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</si>
  <si>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</si>
  <si>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</si>
  <si>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</si>
  <si>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</si>
  <si>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</si>
  <si>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</si>
  <si>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</si>
  <si>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</si>
  <si>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</si>
  <si>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</si>
  <si>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</si>
  <si>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</si>
  <si>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</si>
  <si>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</si>
  <si>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</si>
  <si>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</si>
  <si>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</si>
  <si>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</si>
  <si>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</si>
  <si>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</si>
  <si>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</si>
  <si>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</si>
  <si>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</si>
  <si>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</si>
  <si>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</si>
  <si>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</si>
  <si>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</si>
  <si>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</si>
  <si>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</si>
  <si>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</si>
  <si>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</si>
  <si>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</si>
  <si>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</si>
  <si>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</si>
  <si>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</si>
  <si>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</si>
  <si>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</si>
  <si>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</si>
  <si>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</si>
  <si>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</si>
  <si>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</si>
  <si>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</si>
  <si>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</si>
  <si>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</si>
  <si>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</si>
  <si>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</si>
  <si>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</si>
  <si>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</si>
  <si>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</si>
  <si>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</si>
  <si>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</si>
  <si>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</si>
  <si>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</si>
  <si>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</si>
  <si>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</si>
  <si>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</si>
  <si>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</si>
  <si>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</si>
  <si>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</si>
  <si>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</si>
  <si>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</si>
  <si>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</si>
  <si>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</si>
  <si>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</si>
  <si>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</si>
  <si>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</si>
  <si>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</si>
  <si>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</si>
  <si>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</si>
  <si>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</si>
  <si>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</si>
  <si>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</si>
  <si>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</si>
  <si>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</si>
  <si>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</si>
  <si>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</si>
  <si>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</si>
  <si>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</si>
  <si>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</si>
  <si>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</si>
  <si>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</si>
  <si>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</si>
  <si>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</si>
  <si>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</si>
  <si>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</si>
  <si>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</si>
  <si>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</si>
  <si>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</si>
  <si>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</si>
  <si>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</si>
  <si>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</si>
  <si>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</si>
  <si>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</si>
  <si>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</si>
  <si>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</si>
  <si>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</si>
  <si>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</si>
  <si>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</si>
  <si>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</si>
  <si>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</si>
  <si>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</si>
  <si>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</si>
  <si>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</si>
  <si>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</si>
  <si>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</si>
  <si>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</si>
  <si>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</si>
  <si>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</si>
  <si>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</si>
  <si>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</si>
  <si>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</si>
  <si>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</si>
  <si>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</si>
  <si>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</si>
  <si>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</si>
  <si>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</si>
  <si>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</si>
  <si>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</si>
  <si>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</si>
  <si>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</si>
  <si>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</si>
  <si>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</si>
  <si>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</si>
  <si>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</si>
  <si>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</si>
  <si>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</si>
  <si>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</si>
  <si>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</si>
  <si>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</si>
  <si>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</si>
  <si>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</si>
  <si>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</si>
  <si>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</si>
  <si>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</si>
  <si>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</si>
  <si>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</si>
  <si>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</si>
  <si>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</si>
  <si>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</si>
  <si>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</si>
  <si>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</si>
  <si>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</si>
  <si>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</si>
  <si>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</si>
  <si>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</si>
  <si>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</si>
  <si>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</si>
  <si>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</si>
  <si>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</si>
  <si>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</si>
  <si>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</si>
  <si>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</si>
  <si>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</si>
  <si>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</si>
  <si>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</si>
  <si>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</si>
  <si>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</si>
  <si>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</si>
  <si>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</si>
  <si>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</si>
  <si>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</si>
  <si>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</si>
  <si>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</si>
  <si>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</si>
  <si>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</si>
  <si>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</si>
  <si>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</si>
  <si>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</si>
  <si>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</si>
  <si>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</si>
  <si>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</si>
  <si>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</si>
  <si>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</si>
  <si>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</si>
  <si>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</si>
  <si>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</si>
  <si>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</si>
  <si>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</si>
  <si>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</si>
  <si>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</si>
  <si>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</si>
  <si>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</si>
  <si>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</si>
  <si>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</si>
  <si>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</si>
  <si>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</si>
  <si>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</si>
  <si>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</si>
  <si>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</si>
  <si>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</si>
  <si>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</si>
  <si>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</si>
  <si>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</si>
  <si>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</si>
  <si>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</si>
  <si>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</si>
  <si>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</si>
  <si>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</si>
  <si>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</si>
  <si>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</si>
  <si>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</si>
  <si>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</si>
  <si>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</si>
  <si>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</si>
  <si>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</si>
  <si>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</si>
  <si>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</si>
  <si>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</si>
  <si>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</si>
  <si>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</si>
  <si>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</si>
  <si>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</si>
  <si>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</si>
  <si>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</si>
  <si>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</si>
  <si>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</si>
  <si>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</si>
  <si>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</si>
  <si>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</si>
  <si>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</si>
  <si>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</si>
  <si>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</si>
  <si>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</si>
  <si>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</si>
  <si>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</si>
  <si>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</si>
  <si>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</si>
  <si>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</si>
  <si>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</si>
  <si>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</si>
  <si>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</si>
  <si>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</si>
  <si>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</si>
  <si>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</si>
  <si>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</si>
  <si>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</si>
  <si>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</si>
  <si>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</si>
  <si>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</si>
  <si>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</si>
  <si>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</si>
  <si>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</si>
  <si>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</si>
  <si>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</si>
  <si>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</si>
  <si>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</si>
  <si>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</si>
  <si>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</si>
  <si>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</si>
  <si>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</si>
  <si>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</si>
  <si>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</si>
  <si>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</si>
  <si>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</si>
  <si>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</si>
  <si>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</si>
  <si>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</si>
  <si>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</si>
  <si>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</si>
  <si>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</si>
  <si>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</si>
  <si>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</si>
  <si>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</si>
  <si>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</si>
  <si>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</si>
  <si>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</si>
  <si>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</si>
  <si>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</si>
  <si>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</si>
  <si>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</si>
  <si>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</si>
  <si>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</si>
  <si>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</si>
  <si>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</si>
  <si>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</si>
  <si>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</si>
  <si>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</si>
  <si>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</si>
  <si>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</si>
  <si>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</si>
  <si>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</si>
  <si>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</si>
  <si>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</si>
  <si>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1111111</t>
  </si>
  <si>
    <t>11111111</t>
  </si>
  <si>
    <t>111111111</t>
  </si>
  <si>
    <t>1111111111</t>
  </si>
  <si>
    <t>11111111111</t>
  </si>
  <si>
    <t>111111111111</t>
  </si>
  <si>
    <t>1111111111111</t>
  </si>
  <si>
    <t>11111111111111</t>
  </si>
  <si>
    <t>111111111111111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</si>
  <si>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</si>
  <si>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</si>
  <si>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</si>
  <si>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</si>
  <si>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</si>
  <si>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</si>
  <si>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</si>
  <si>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</si>
  <si>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</si>
  <si>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</si>
  <si>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</si>
  <si>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</si>
  <si>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</si>
  <si>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</si>
  <si>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</si>
  <si>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</si>
  <si>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</si>
  <si>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</si>
  <si>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</si>
  <si>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</si>
  <si>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</si>
  <si>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</si>
  <si>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</si>
  <si>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</si>
  <si>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</si>
  <si>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</si>
  <si>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</si>
  <si>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</si>
  <si>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</si>
  <si>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</si>
  <si>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</si>
  <si>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</si>
  <si>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</si>
  <si>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</si>
  <si>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</si>
  <si>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</si>
  <si>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</si>
  <si>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</si>
  <si>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</si>
  <si>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</si>
  <si>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</si>
  <si>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</si>
  <si>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</si>
  <si>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</si>
  <si>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</si>
  <si>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</si>
  <si>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</si>
  <si>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</si>
  <si>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</si>
  <si>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</si>
  <si>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</si>
  <si>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</si>
  <si>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</si>
  <si>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</si>
  <si>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</si>
  <si>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</si>
  <si>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</si>
  <si>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</si>
  <si>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</si>
  <si>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</si>
  <si>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</si>
  <si>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</si>
  <si>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</si>
  <si>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</si>
  <si>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</si>
  <si>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</si>
  <si>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</si>
  <si>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</si>
  <si>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</si>
  <si>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</si>
  <si>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</si>
  <si>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</si>
  <si>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</si>
  <si>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</si>
  <si>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</si>
  <si>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</si>
  <si>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</si>
  <si>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</si>
  <si>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</si>
  <si>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</si>
  <si>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</si>
  <si>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</si>
  <si>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</si>
  <si>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</si>
  <si>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</si>
  <si>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</si>
  <si>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</si>
  <si>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</si>
  <si>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</si>
  <si>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</si>
  <si>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</si>
  <si>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</si>
  <si>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</si>
  <si>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</si>
  <si>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</si>
  <si>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</si>
  <si>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</si>
  <si>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</si>
  <si>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</si>
  <si>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</si>
  <si>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</si>
  <si>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</si>
  <si>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</si>
  <si>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</si>
  <si>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</si>
  <si>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</si>
  <si>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</si>
  <si>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</si>
  <si>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</si>
  <si>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</si>
  <si>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</si>
  <si>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</si>
  <si>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</si>
  <si>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</si>
  <si>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</si>
  <si>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</si>
  <si>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</si>
  <si>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</si>
  <si>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</si>
  <si>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</si>
  <si>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</si>
  <si>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</si>
  <si>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</si>
  <si>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</si>
  <si>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</si>
  <si>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</si>
  <si>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</si>
  <si>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</si>
  <si>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</si>
  <si>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</si>
  <si>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</si>
  <si>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</si>
  <si>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</si>
  <si>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</si>
  <si>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</si>
  <si>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</si>
  <si>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</si>
  <si>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</si>
  <si>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</si>
  <si>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</si>
  <si>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</si>
  <si>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</si>
  <si>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</si>
  <si>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</si>
  <si>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</si>
  <si>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</si>
  <si>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</si>
  <si>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</si>
  <si>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</si>
  <si>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</si>
  <si>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</si>
  <si>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</si>
  <si>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</si>
  <si>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</si>
  <si>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</si>
  <si>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</si>
  <si>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</si>
  <si>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</si>
  <si>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</si>
  <si>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</si>
  <si>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</si>
  <si>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</si>
  <si>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</si>
  <si>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</si>
  <si>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</si>
  <si>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</si>
  <si>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</si>
  <si>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</si>
  <si>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</si>
  <si>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</si>
  <si>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</si>
  <si>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</si>
  <si>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</si>
  <si>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</si>
  <si>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</si>
  <si>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</si>
  <si>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</si>
  <si>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</si>
  <si>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</si>
  <si>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</si>
  <si>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</si>
  <si>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</si>
  <si>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</si>
  <si>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</si>
  <si>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</si>
  <si>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</si>
  <si>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</si>
  <si>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</si>
  <si>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</si>
  <si>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</si>
  <si>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</si>
  <si>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</si>
  <si>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</si>
  <si>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</si>
  <si>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</si>
  <si>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</si>
  <si>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</si>
  <si>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</si>
  <si>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</si>
  <si>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</si>
  <si>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</si>
  <si>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</si>
  <si>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</si>
  <si>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</si>
  <si>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</si>
  <si>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</si>
  <si>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</si>
  <si>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</si>
  <si>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</si>
  <si>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</si>
  <si>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</si>
  <si>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</si>
  <si>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</si>
  <si>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</si>
  <si>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</si>
  <si>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</si>
  <si>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</si>
  <si>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</si>
  <si>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</si>
  <si>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</si>
  <si>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</si>
  <si>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</si>
  <si>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</si>
  <si>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</si>
  <si>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</si>
  <si>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</si>
  <si>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</si>
  <si>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</si>
  <si>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</si>
  <si>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</si>
  <si>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</si>
  <si>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</si>
  <si>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</si>
  <si>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</si>
  <si>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</si>
  <si>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</si>
  <si>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</si>
  <si>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</si>
  <si>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</si>
  <si>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</si>
  <si>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</si>
  <si>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</si>
  <si>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</si>
  <si>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</si>
  <si>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</si>
  <si>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</si>
  <si>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</si>
  <si>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</si>
  <si>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</si>
  <si>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</si>
  <si>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</si>
  <si>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</si>
  <si>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</si>
  <si>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</si>
  <si>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</si>
  <si>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</si>
  <si>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</si>
  <si>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</si>
  <si>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</si>
  <si>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</si>
  <si>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</si>
  <si>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</si>
  <si>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</si>
  <si>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</si>
  <si>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</si>
  <si>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</si>
  <si>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</si>
  <si>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</si>
  <si>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</si>
  <si>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</si>
  <si>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</si>
  <si>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</si>
  <si>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</si>
  <si>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</si>
  <si>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</si>
  <si>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</si>
  <si>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</si>
  <si>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</si>
  <si>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</si>
  <si>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</si>
  <si>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</si>
  <si>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</si>
  <si>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</si>
  <si>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</si>
  <si>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</si>
  <si>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</si>
  <si>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</si>
  <si>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</si>
  <si>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</si>
  <si>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</si>
  <si>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</si>
  <si>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</si>
  <si>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</si>
  <si>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</si>
  <si>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</si>
  <si>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</si>
  <si>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</si>
  <si>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</si>
  <si>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</si>
  <si>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</si>
  <si>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</si>
  <si>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</si>
  <si>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</si>
  <si>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</si>
  <si>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</si>
  <si>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</si>
  <si>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</si>
  <si>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</si>
  <si>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</si>
  <si>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</si>
  <si>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</si>
  <si>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</si>
  <si>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</si>
  <si>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</si>
  <si>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</si>
  <si>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</si>
  <si>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</si>
  <si>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</si>
  <si>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</si>
  <si>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</si>
  <si>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</si>
  <si>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</si>
  <si>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</si>
  <si>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</si>
  <si>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</si>
  <si>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</si>
  <si>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</si>
  <si>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</si>
  <si>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</si>
  <si>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</si>
  <si>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</si>
  <si>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</si>
  <si>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</si>
  <si>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</si>
  <si>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</si>
  <si>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</si>
  <si>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</si>
  <si>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1.1</t>
  </si>
  <si>
    <t>Водогрейные котлы рег. №№ К-602,603,713,824</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</si>
  <si>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</si>
  <si>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</si>
  <si>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</si>
  <si>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</si>
  <si>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</si>
  <si>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</si>
  <si>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</si>
  <si>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прекращение отопления по заявке</t>
  </si>
  <si>
    <t>прекращение отопления и ГВС за задолженность</t>
  </si>
  <si>
    <t>прекращение отопления за задолженность</t>
  </si>
  <si>
    <t>Прекращение отопления и ГВС в связи с аварией</t>
  </si>
  <si>
    <t>Прекращение отопления и ГВС по заявке</t>
  </si>
  <si>
    <t>прекращение отопления и ГВС по заявке</t>
  </si>
  <si>
    <t>Ограничение отопления и ГВС за задолженность</t>
  </si>
  <si>
    <t>прекращение пара по заявке</t>
  </si>
  <si>
    <t>3.8</t>
  </si>
  <si>
    <t>Прекращение отопления по заявке</t>
  </si>
  <si>
    <t>3.9</t>
  </si>
  <si>
    <t>3.10</t>
  </si>
  <si>
    <t>3.11</t>
  </si>
  <si>
    <t>3.12</t>
  </si>
  <si>
    <t>3.13</t>
  </si>
  <si>
    <t>прекращение отолпения по заявке</t>
  </si>
  <si>
    <t>3.14</t>
  </si>
  <si>
    <t>прекращзение отопления по заявке</t>
  </si>
  <si>
    <t>3.15</t>
  </si>
  <si>
    <t>3.16</t>
  </si>
  <si>
    <t>прекращение отопления и вентиляции по заявке</t>
  </si>
  <si>
    <t>3.17</t>
  </si>
  <si>
    <t>3.18</t>
  </si>
  <si>
    <t>3.19</t>
  </si>
  <si>
    <t>3.20</t>
  </si>
  <si>
    <t>3.21</t>
  </si>
  <si>
    <t>прекращение отоплдения по заявке</t>
  </si>
  <si>
    <t>3.22</t>
  </si>
  <si>
    <t>3.23</t>
  </si>
  <si>
    <t>3.24</t>
  </si>
  <si>
    <t>3.25</t>
  </si>
  <si>
    <t>3.26</t>
  </si>
  <si>
    <t>3.27</t>
  </si>
  <si>
    <t>3.28</t>
  </si>
  <si>
    <t>3.29</t>
  </si>
  <si>
    <t>прекращение отопление по заявке</t>
  </si>
  <si>
    <t>3.30</t>
  </si>
  <si>
    <t>3.31</t>
  </si>
  <si>
    <t>3.32</t>
  </si>
  <si>
    <t>прекращение отопления и ГВС в связи с аварией</t>
  </si>
  <si>
    <t>3.33</t>
  </si>
  <si>
    <t>3.34</t>
  </si>
  <si>
    <t>3.35</t>
  </si>
  <si>
    <t>3.36</t>
  </si>
  <si>
    <t>прекращение о топления по заявке</t>
  </si>
  <si>
    <t>3.37</t>
  </si>
  <si>
    <t>проекращение отопления и ГВС по заявке</t>
  </si>
  <si>
    <t>3.38</t>
  </si>
  <si>
    <t>3.39</t>
  </si>
  <si>
    <t>3.40</t>
  </si>
  <si>
    <t>прекращение отопелния по заявке</t>
  </si>
  <si>
    <t>3.41</t>
  </si>
  <si>
    <t>3.42</t>
  </si>
  <si>
    <t>прекращение отолпения и ГВС по заявке</t>
  </si>
  <si>
    <t>3.43</t>
  </si>
  <si>
    <t>3.44</t>
  </si>
  <si>
    <t>ограничение пара за задолженность</t>
  </si>
  <si>
    <t>3.45</t>
  </si>
  <si>
    <t>3.46</t>
  </si>
  <si>
    <t>3.47</t>
  </si>
  <si>
    <t>прекращение отопления по задолженности</t>
  </si>
  <si>
    <t>прекращение отопления по заявеке</t>
  </si>
  <si>
    <t>3.48</t>
  </si>
  <si>
    <t>3.49</t>
  </si>
  <si>
    <t>3.50</t>
  </si>
  <si>
    <t>прекращение отопления по запявке</t>
  </si>
  <si>
    <t>3.51</t>
  </si>
  <si>
    <t>3.52</t>
  </si>
  <si>
    <t>3.53</t>
  </si>
  <si>
    <t>3.54</t>
  </si>
  <si>
    <t>3.55</t>
  </si>
  <si>
    <t>пркращение отопления по заяке</t>
  </si>
  <si>
    <t>3.56</t>
  </si>
  <si>
    <t>прекращения отопления и ГВС по заявке</t>
  </si>
  <si>
    <t>3.57</t>
  </si>
  <si>
    <t>3.58</t>
  </si>
  <si>
    <t>3.59</t>
  </si>
  <si>
    <t>3.60</t>
  </si>
  <si>
    <t>3.61</t>
  </si>
  <si>
    <t>3.62</t>
  </si>
  <si>
    <t>3.63</t>
  </si>
  <si>
    <t>3.64</t>
  </si>
  <si>
    <t>прекращение отопления по заявк</t>
  </si>
  <si>
    <t>3.65</t>
  </si>
  <si>
    <t>3.66</t>
  </si>
  <si>
    <t>прекращение отопления и ГВС по зхаявке</t>
  </si>
  <si>
    <t>3.67</t>
  </si>
  <si>
    <t>3.68</t>
  </si>
  <si>
    <t>3.69</t>
  </si>
  <si>
    <t>прекращение ГВС по заявке</t>
  </si>
  <si>
    <t>3.70</t>
  </si>
  <si>
    <t>3.71</t>
  </si>
  <si>
    <t>3.72</t>
  </si>
  <si>
    <t>3.73</t>
  </si>
  <si>
    <t>3.74</t>
  </si>
  <si>
    <t>3.75</t>
  </si>
  <si>
    <t>3.76</t>
  </si>
  <si>
    <t>3.77</t>
  </si>
  <si>
    <t>3.78</t>
  </si>
  <si>
    <t>3.79</t>
  </si>
  <si>
    <t>3.80</t>
  </si>
  <si>
    <t>3.81</t>
  </si>
  <si>
    <t>3.82</t>
  </si>
  <si>
    <t>3.83</t>
  </si>
  <si>
    <t>3.84</t>
  </si>
  <si>
    <t>3.85</t>
  </si>
  <si>
    <t>3.86</t>
  </si>
  <si>
    <t>ограничение отопления за задолженность</t>
  </si>
  <si>
    <t>3.87</t>
  </si>
  <si>
    <t>3.88</t>
  </si>
  <si>
    <t>3.89</t>
  </si>
  <si>
    <t>3.90</t>
  </si>
  <si>
    <t>3.91</t>
  </si>
  <si>
    <t>3.92</t>
  </si>
  <si>
    <t>3.93</t>
  </si>
  <si>
    <t>прекращение отопления по заяке</t>
  </si>
  <si>
    <t>3.94</t>
  </si>
  <si>
    <t>3.95</t>
  </si>
  <si>
    <t>3.96</t>
  </si>
  <si>
    <t xml:space="preserve">прекращение отопления за задолженность </t>
  </si>
  <si>
    <t>3.97</t>
  </si>
  <si>
    <t>3.98</t>
  </si>
  <si>
    <t>3.99</t>
  </si>
  <si>
    <t>3.100</t>
  </si>
  <si>
    <t>3.101</t>
  </si>
  <si>
    <t>3.102</t>
  </si>
  <si>
    <t>3.103</t>
  </si>
  <si>
    <t>3.104</t>
  </si>
  <si>
    <t>3.105</t>
  </si>
  <si>
    <t>3.106</t>
  </si>
  <si>
    <t>3.107</t>
  </si>
  <si>
    <t>3.108</t>
  </si>
  <si>
    <t>3.109</t>
  </si>
  <si>
    <t>3.110</t>
  </si>
  <si>
    <t>3.111</t>
  </si>
  <si>
    <t>3.112</t>
  </si>
  <si>
    <t>3.113</t>
  </si>
  <si>
    <t>прекращение ГВС в связи с аварией</t>
  </si>
  <si>
    <t>3.114</t>
  </si>
  <si>
    <t>3.115</t>
  </si>
  <si>
    <t>3.116</t>
  </si>
  <si>
    <t>прекращение ГВС за задолженность</t>
  </si>
  <si>
    <t>3.117</t>
  </si>
  <si>
    <t>3.118</t>
  </si>
  <si>
    <t>3.119</t>
  </si>
  <si>
    <t>3.120</t>
  </si>
  <si>
    <t>3.121</t>
  </si>
  <si>
    <t>3.122</t>
  </si>
  <si>
    <t>3.123</t>
  </si>
  <si>
    <t>3.124</t>
  </si>
  <si>
    <t xml:space="preserve">ограничение отопления за задолженность </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</si>
  <si>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</si>
  <si>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</si>
  <si>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</si>
  <si>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</si>
  <si>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</si>
  <si>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</si>
  <si>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</si>
  <si>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</si>
  <si>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</si>
  <si>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</si>
  <si>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</si>
  <si>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</si>
  <si>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</si>
  <si>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</si>
  <si>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</si>
  <si>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</si>
  <si>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</si>
  <si>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</si>
  <si>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</si>
  <si>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</si>
  <si>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</si>
  <si>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</si>
  <si>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</si>
  <si>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</si>
  <si>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</si>
  <si>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</si>
  <si>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</si>
  <si>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</si>
  <si>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</si>
  <si>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</si>
  <si>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</si>
  <si>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</si>
  <si>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</si>
  <si>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</si>
  <si>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</si>
  <si>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</si>
  <si>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</si>
  <si>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</si>
  <si>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</si>
  <si>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</si>
  <si>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</si>
  <si>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</si>
  <si>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</si>
  <si>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</si>
  <si>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</si>
  <si>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</si>
  <si>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</si>
  <si>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</si>
  <si>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</si>
  <si>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</si>
  <si>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</si>
  <si>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</si>
  <si>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</si>
  <si>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</si>
  <si>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</si>
  <si>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</si>
  <si>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</si>
  <si>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</si>
  <si>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</si>
  <si>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</si>
  <si>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</si>
  <si>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</si>
  <si>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</si>
  <si>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</si>
  <si>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</si>
  <si>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</si>
  <si>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</si>
  <si>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</si>
  <si>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</si>
  <si>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</si>
  <si>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</si>
  <si>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</si>
  <si>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</si>
  <si>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</si>
  <si>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</si>
  <si>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</si>
  <si>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</si>
  <si>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</si>
  <si>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</si>
  <si>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</si>
  <si>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</si>
  <si>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</si>
  <si>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</si>
  <si>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</si>
  <si>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</si>
  <si>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</si>
  <si>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</si>
  <si>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</si>
  <si>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</si>
  <si>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</si>
  <si>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</si>
  <si>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</si>
  <si>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</si>
  <si>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</si>
  <si>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</si>
  <si>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</si>
  <si>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</si>
  <si>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</si>
  <si>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</si>
  <si>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</si>
  <si>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</si>
  <si>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</si>
  <si>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</si>
  <si>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</si>
  <si>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</si>
  <si>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</si>
  <si>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</si>
  <si>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</si>
  <si>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</si>
  <si>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</si>
  <si>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</si>
  <si>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</si>
  <si>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</si>
  <si>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</si>
  <si>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</si>
  <si>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</si>
  <si>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</si>
  <si>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</si>
  <si>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</si>
  <si>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</si>
  <si>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</si>
  <si>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</si>
  <si>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</si>
  <si>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</si>
  <si>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</si>
  <si>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</si>
  <si>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</si>
  <si>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</si>
  <si>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</si>
  <si>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</si>
  <si>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</si>
  <si>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</si>
  <si>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</si>
  <si>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</si>
  <si>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</si>
  <si>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</si>
  <si>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</si>
  <si>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</si>
  <si>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</si>
  <si>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</si>
  <si>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</si>
  <si>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</si>
  <si>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</si>
  <si>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</si>
  <si>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</si>
  <si>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</si>
  <si>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</si>
  <si>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</si>
  <si>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</si>
  <si>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</si>
  <si>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</si>
  <si>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</si>
  <si>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</si>
  <si>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</si>
  <si>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</si>
  <si>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</si>
  <si>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</si>
  <si>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</si>
  <si>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</si>
  <si>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</si>
  <si>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</si>
  <si>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</si>
  <si>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</si>
  <si>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</si>
  <si>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</si>
  <si>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</si>
  <si>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</si>
  <si>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</si>
  <si>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</si>
  <si>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</si>
  <si>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</si>
  <si>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</si>
  <si>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</si>
  <si>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</si>
  <si>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</si>
  <si>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</si>
  <si>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</si>
  <si>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</si>
  <si>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</si>
  <si>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</si>
  <si>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</si>
  <si>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</si>
  <si>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</si>
  <si>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</si>
  <si>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</si>
  <si>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</si>
  <si>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</si>
  <si>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</si>
  <si>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</si>
  <si>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</si>
  <si>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</si>
  <si>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</si>
  <si>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</si>
  <si>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</si>
  <si>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</si>
  <si>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</si>
  <si>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</si>
  <si>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</si>
  <si>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</si>
  <si>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</si>
  <si>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</si>
  <si>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</si>
  <si>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</si>
  <si>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</si>
  <si>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</si>
  <si>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</si>
  <si>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</si>
  <si>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</si>
  <si>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</si>
  <si>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</si>
  <si>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</si>
  <si>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</si>
  <si>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</si>
  <si>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</si>
  <si>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</si>
  <si>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</si>
  <si>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</si>
  <si>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</si>
  <si>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</si>
  <si>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</si>
  <si>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</si>
  <si>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</si>
  <si>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</si>
  <si>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</si>
  <si>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</si>
  <si>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</si>
  <si>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</si>
  <si>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</si>
  <si>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</si>
  <si>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</si>
  <si>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</si>
  <si>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</si>
  <si>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</si>
  <si>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</si>
  <si>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</si>
  <si>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</si>
  <si>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</si>
  <si>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</si>
  <si>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</si>
  <si>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</si>
  <si>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</si>
  <si>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Планируемые к подключению объекты расположены вне зоны эксплуатационной ответственности АО "ДГК".</t>
  </si>
  <si>
    <t>5.0</t>
  </si>
  <si>
    <t xml:space="preserve">Резерв мощности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</si>
  <si>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</si>
  <si>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</si>
  <si>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</si>
  <si>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</si>
  <si>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</si>
  <si>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</si>
  <si>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</si>
  <si>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</si>
  <si>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</si>
  <si>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</si>
  <si>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</si>
  <si>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</si>
  <si>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</si>
  <si>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</si>
  <si>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</si>
  <si>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</si>
  <si>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</si>
  <si>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</si>
  <si>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</si>
  <si>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</si>
  <si>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</si>
  <si>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</si>
  <si>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</si>
  <si>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</si>
  <si>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</si>
  <si>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</si>
  <si>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</si>
  <si>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</si>
  <si>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</si>
  <si>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</si>
  <si>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</si>
  <si>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</si>
  <si>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</si>
  <si>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</si>
  <si>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</si>
  <si>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</si>
  <si>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</si>
  <si>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</si>
  <si>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</si>
  <si>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</si>
  <si>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</si>
  <si>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</si>
  <si>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</si>
  <si>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</si>
  <si>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</si>
  <si>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</si>
  <si>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</si>
  <si>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</si>
  <si>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</si>
  <si>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</si>
  <si>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</si>
  <si>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</si>
  <si>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</si>
  <si>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</si>
  <si>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</si>
  <si>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</si>
  <si>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</si>
  <si>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</si>
  <si>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</si>
  <si>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</si>
  <si>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</si>
  <si>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</si>
  <si>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</si>
  <si>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</si>
  <si>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</si>
  <si>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</si>
  <si>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</si>
  <si>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</si>
  <si>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</si>
  <si>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</si>
  <si>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</si>
  <si>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</si>
  <si>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</si>
  <si>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</si>
  <si>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</si>
  <si>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</si>
  <si>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</si>
  <si>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</si>
  <si>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</si>
  <si>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</si>
  <si>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</si>
  <si>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</si>
  <si>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</si>
  <si>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</si>
  <si>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</si>
  <si>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</si>
  <si>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</si>
  <si>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</si>
  <si>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</si>
  <si>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</si>
  <si>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</si>
  <si>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</si>
  <si>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</si>
  <si>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</si>
  <si>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</si>
  <si>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</si>
  <si>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</si>
  <si>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</si>
  <si>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</si>
  <si>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</si>
  <si>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</si>
  <si>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</si>
  <si>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</si>
  <si>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</si>
  <si>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</si>
  <si>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</si>
  <si>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</si>
  <si>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</si>
  <si>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</si>
  <si>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</si>
  <si>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</si>
  <si>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</si>
  <si>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</si>
  <si>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</si>
  <si>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</si>
  <si>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</si>
  <si>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</si>
  <si>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</si>
  <si>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</si>
  <si>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</si>
  <si>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</si>
  <si>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</si>
  <si>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</si>
  <si>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</si>
  <si>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</si>
  <si>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</si>
  <si>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</si>
  <si>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</si>
  <si>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</si>
  <si>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</si>
  <si>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</si>
  <si>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</si>
  <si>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</si>
  <si>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</si>
  <si>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</si>
  <si>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</si>
  <si>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</si>
  <si>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</si>
  <si>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</si>
  <si>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</si>
  <si>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</si>
  <si>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</si>
  <si>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</si>
  <si>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</si>
  <si>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</si>
  <si>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</si>
  <si>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</si>
  <si>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</si>
  <si>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</si>
  <si>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</si>
  <si>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</si>
  <si>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</si>
  <si>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</si>
  <si>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</si>
  <si>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</si>
  <si>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</si>
  <si>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</si>
  <si>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</si>
  <si>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</si>
  <si>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</si>
  <si>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</si>
  <si>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</si>
  <si>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</si>
  <si>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</si>
  <si>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</si>
  <si>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</si>
  <si>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</si>
  <si>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</si>
  <si>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</si>
  <si>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</si>
  <si>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</si>
  <si>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</si>
  <si>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</si>
  <si>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</si>
  <si>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</si>
  <si>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</si>
  <si>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</si>
  <si>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</si>
  <si>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</si>
  <si>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</si>
  <si>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</si>
  <si>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</si>
  <si>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</si>
  <si>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</si>
  <si>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</si>
  <si>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</si>
  <si>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</si>
  <si>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</si>
  <si>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</si>
  <si>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</si>
  <si>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</si>
  <si>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</si>
  <si>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</si>
  <si>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</si>
  <si>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</si>
  <si>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</si>
  <si>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</si>
  <si>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</si>
  <si>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</si>
  <si>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</si>
  <si>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</si>
  <si>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</si>
  <si>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</si>
  <si>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</si>
  <si>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</si>
  <si>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</si>
  <si>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</si>
  <si>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</si>
  <si>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</si>
  <si>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</si>
  <si>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</si>
  <si>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</si>
  <si>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</si>
  <si>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</si>
  <si>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</si>
  <si>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</si>
  <si>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</si>
  <si>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</si>
  <si>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</si>
  <si>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</si>
  <si>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</si>
  <si>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</si>
  <si>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</si>
  <si>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</si>
  <si>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</si>
  <si>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</si>
  <si>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</si>
  <si>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</si>
  <si>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</si>
  <si>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</si>
  <si>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</si>
  <si>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</si>
  <si>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</si>
  <si>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</si>
  <si>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</si>
  <si>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</si>
  <si>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</si>
  <si>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</si>
  <si>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</si>
  <si>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</si>
  <si>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</si>
  <si>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</si>
  <si>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</si>
  <si>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</si>
  <si>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</si>
  <si>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</si>
  <si>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</si>
  <si>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</si>
  <si>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</si>
  <si>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</si>
  <si>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</si>
  <si>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</si>
  <si>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</si>
  <si>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</si>
  <si>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</si>
  <si>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</si>
  <si>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</si>
  <si>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</si>
  <si>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</si>
  <si>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</si>
  <si>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</si>
  <si>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</si>
  <si>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</si>
  <si>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</si>
  <si>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</si>
  <si>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</si>
  <si>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</si>
  <si>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</si>
  <si>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</si>
  <si>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</si>
  <si>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</si>
  <si>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</si>
  <si>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</si>
  <si>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</si>
  <si>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</si>
  <si>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</si>
  <si>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</si>
  <si>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</si>
  <si>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</si>
  <si>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</si>
  <si>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</si>
  <si>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</si>
  <si>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</si>
  <si>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</si>
  <si>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</si>
  <si>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</si>
  <si>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</si>
  <si>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</si>
  <si>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</si>
  <si>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</si>
  <si>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</si>
  <si>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</si>
  <si>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</si>
  <si>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</si>
  <si>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</si>
  <si>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</si>
  <si>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</si>
  <si>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</si>
  <si>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</si>
  <si>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</si>
  <si>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</si>
  <si>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</si>
  <si>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</si>
  <si>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</si>
  <si>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</si>
  <si>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</si>
  <si>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</si>
  <si>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</si>
  <si>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</si>
  <si>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</si>
  <si>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</si>
  <si>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</si>
  <si>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</si>
  <si>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</si>
  <si>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</si>
  <si>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</si>
  <si>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</si>
  <si>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</si>
  <si>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</si>
  <si>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</si>
  <si>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</si>
  <si>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</si>
  <si>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</si>
  <si>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</si>
  <si>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</si>
  <si>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</si>
  <si>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</si>
  <si>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</si>
  <si>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</si>
  <si>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</si>
  <si>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</si>
  <si>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</si>
  <si>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</si>
  <si>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</si>
  <si>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</si>
  <si>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</si>
  <si>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</si>
  <si>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</si>
  <si>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</si>
  <si>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</si>
  <si>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</si>
  <si>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</si>
  <si>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</si>
  <si>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</si>
  <si>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</si>
  <si>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</si>
  <si>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</si>
  <si>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</si>
  <si>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</si>
  <si>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</si>
  <si>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</si>
  <si>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</si>
  <si>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</si>
  <si>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</si>
  <si>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</si>
  <si>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</si>
  <si>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</si>
  <si>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</si>
  <si>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</si>
  <si>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</si>
  <si>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</si>
  <si>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</si>
  <si>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</si>
  <si>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</si>
  <si>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</si>
  <si>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</si>
  <si>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</si>
  <si>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</si>
  <si>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</si>
  <si>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</si>
  <si>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</si>
  <si>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</si>
  <si>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</si>
  <si>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</si>
  <si>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</si>
  <si>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</si>
  <si>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</si>
  <si>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</si>
  <si>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</si>
  <si>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</si>
  <si>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</si>
  <si>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</si>
  <si>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</si>
  <si>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</si>
  <si>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</si>
  <si>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</si>
  <si>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</si>
  <si>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</si>
  <si>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</si>
  <si>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</si>
  <si>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</si>
  <si>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</si>
  <si>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</si>
  <si>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</si>
  <si>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</si>
  <si>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</si>
  <si>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</si>
  <si>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</si>
  <si>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</si>
  <si>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</si>
  <si>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</si>
  <si>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</si>
  <si>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</si>
  <si>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</si>
  <si>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</si>
  <si>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</si>
  <si>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</si>
  <si>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</si>
  <si>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</si>
  <si>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</si>
  <si>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</si>
  <si>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</si>
  <si>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</si>
  <si>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</si>
  <si>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</si>
  <si>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</si>
  <si>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</si>
  <si>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</si>
  <si>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</si>
  <si>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</si>
  <si>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</si>
  <si>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</si>
  <si>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</si>
  <si>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</si>
  <si>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</si>
  <si>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</si>
  <si>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</si>
  <si>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</si>
  <si>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</si>
  <si>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</si>
  <si>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</si>
  <si>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</si>
  <si>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</si>
  <si>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</si>
  <si>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</si>
  <si>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</si>
  <si>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</si>
  <si>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</si>
  <si>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</si>
  <si>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</si>
  <si>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</si>
  <si>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</si>
  <si>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</si>
  <si>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</si>
  <si>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</si>
  <si>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</si>
  <si>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</si>
  <si>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</si>
  <si>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</si>
  <si>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</si>
  <si>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</si>
  <si>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</si>
  <si>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</si>
  <si>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</si>
  <si>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</si>
  <si>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</si>
  <si>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</si>
  <si>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</si>
  <si>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</si>
  <si>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</si>
  <si>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</si>
  <si>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</si>
  <si>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</si>
  <si>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</si>
  <si>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</si>
  <si>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</si>
  <si>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</si>
  <si>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</si>
  <si>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</si>
  <si>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</si>
  <si>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</si>
  <si>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</si>
  <si>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</si>
  <si>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</si>
  <si>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</si>
  <si>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</si>
  <si>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</si>
  <si>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</si>
  <si>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</si>
  <si>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</si>
  <si>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</si>
  <si>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</si>
  <si>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</si>
  <si>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</si>
  <si>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</si>
  <si>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</si>
  <si>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</si>
  <si>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</si>
  <si>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</si>
  <si>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</si>
  <si>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</si>
  <si>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</si>
  <si>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</si>
  <si>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</si>
  <si>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</si>
  <si>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</si>
  <si>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</si>
  <si>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</si>
  <si>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</si>
  <si>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</si>
  <si>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</si>
  <si>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</si>
  <si>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</si>
  <si>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</si>
  <si>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</si>
  <si>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</si>
  <si>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</si>
  <si>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</si>
  <si>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</si>
  <si>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</si>
  <si>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</si>
  <si>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</si>
  <si>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</si>
  <si>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</si>
  <si>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</si>
  <si>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</si>
  <si>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</si>
  <si>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</si>
  <si>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</si>
  <si>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</si>
  <si>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</si>
  <si>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</si>
  <si>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</si>
  <si>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</si>
  <si>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</si>
  <si>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</si>
  <si>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</si>
  <si>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</si>
  <si>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</si>
  <si>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</si>
  <si>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</si>
  <si>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</si>
  <si>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</si>
  <si>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</si>
  <si>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</si>
  <si>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</si>
  <si>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</si>
  <si>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</si>
  <si>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</si>
  <si>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</si>
  <si>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</si>
  <si>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</si>
  <si>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</si>
  <si>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</si>
  <si>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</si>
  <si>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</si>
  <si>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</si>
  <si>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</si>
  <si>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</si>
  <si>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</si>
  <si>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</si>
  <si>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</si>
  <si>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</si>
  <si>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</si>
  <si>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</si>
  <si>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</si>
  <si>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</si>
  <si>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</si>
  <si>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</si>
  <si>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</si>
  <si>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</si>
  <si>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</si>
  <si>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</si>
  <si>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</si>
  <si>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</si>
  <si>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</si>
  <si>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</si>
  <si>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5111111111</t>
  </si>
  <si>
    <t>начинать только с 2, остальное по умолчанию</t>
  </si>
  <si>
    <t>54</t>
  </si>
  <si>
    <t>Республика Калмыкия</t>
  </si>
  <si>
    <t>DIFFERENTIATION_ID</t>
  </si>
  <si>
    <t>511111111111111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</si>
  <si>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</si>
  <si>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</si>
  <si>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</si>
  <si>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</si>
  <si>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</si>
  <si>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</si>
  <si>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</si>
  <si>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</si>
  <si>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</si>
  <si>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</si>
  <si>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</si>
  <si>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</si>
  <si>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</si>
  <si>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</si>
  <si>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</si>
  <si>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</si>
  <si>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</si>
  <si>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</si>
  <si>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</si>
  <si>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</si>
  <si>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</si>
  <si>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</si>
  <si>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</si>
  <si>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</si>
  <si>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</si>
  <si>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</si>
  <si>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</si>
  <si>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</si>
  <si>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</si>
  <si>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</si>
  <si>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</si>
  <si>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</si>
  <si>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</si>
  <si>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</si>
  <si>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</si>
  <si>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</si>
  <si>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</si>
  <si>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</si>
  <si>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</si>
  <si>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</si>
  <si>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</si>
  <si>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</si>
  <si>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</si>
  <si>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</si>
  <si>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</si>
  <si>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</si>
  <si>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</si>
  <si>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</si>
  <si>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</si>
  <si>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</si>
  <si>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</si>
  <si>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</si>
  <si>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</si>
  <si>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</si>
  <si>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</si>
  <si>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</si>
  <si>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</si>
  <si>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</si>
  <si>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</si>
  <si>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</si>
  <si>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</si>
  <si>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</si>
  <si>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</si>
  <si>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</si>
  <si>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</si>
  <si>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</si>
  <si>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</si>
  <si>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</si>
  <si>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</si>
  <si>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</si>
  <si>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</si>
  <si>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</si>
  <si>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</si>
  <si>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</si>
  <si>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</si>
  <si>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</si>
  <si>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</si>
  <si>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</si>
  <si>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</si>
  <si>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</si>
  <si>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</si>
  <si>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</si>
  <si>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</si>
  <si>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</si>
  <si>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</si>
  <si>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</si>
  <si>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</si>
  <si>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</si>
  <si>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</si>
  <si>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</si>
  <si>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</si>
  <si>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</si>
  <si>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</si>
  <si>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</si>
  <si>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</si>
  <si>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</si>
  <si>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</si>
  <si>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</si>
  <si>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</si>
  <si>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</si>
  <si>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</si>
  <si>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</si>
  <si>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</si>
  <si>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</si>
  <si>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</si>
  <si>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</si>
  <si>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</si>
  <si>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</si>
  <si>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</si>
  <si>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</si>
  <si>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</si>
  <si>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</si>
  <si>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</si>
  <si>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</si>
  <si>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</si>
  <si>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</si>
  <si>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</si>
  <si>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</si>
  <si>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</si>
  <si>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</si>
  <si>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</si>
  <si>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</si>
  <si>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</si>
  <si>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</si>
  <si>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</si>
  <si>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</si>
  <si>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</si>
  <si>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</si>
  <si>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</si>
  <si>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</si>
  <si>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</si>
  <si>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</si>
  <si>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</si>
  <si>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</si>
  <si>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</si>
  <si>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</si>
  <si>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</si>
  <si>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</si>
  <si>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</si>
  <si>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</si>
  <si>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</si>
  <si>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</si>
  <si>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</si>
  <si>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</si>
  <si>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</si>
  <si>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</si>
  <si>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</si>
  <si>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</si>
  <si>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</si>
  <si>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</si>
  <si>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</si>
  <si>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</si>
  <si>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</si>
  <si>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</si>
  <si>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</si>
  <si>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</si>
  <si>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</si>
  <si>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</si>
  <si>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</si>
  <si>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</si>
  <si>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</si>
  <si>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</si>
  <si>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</si>
  <si>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</si>
  <si>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</si>
  <si>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</si>
  <si>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</si>
  <si>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</si>
  <si>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</si>
  <si>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</si>
  <si>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</si>
  <si>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</si>
  <si>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</si>
  <si>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</si>
  <si>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</si>
  <si>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</si>
  <si>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</si>
  <si>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</si>
  <si>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</si>
  <si>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</si>
  <si>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</si>
  <si>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</si>
  <si>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</si>
  <si>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</si>
  <si>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</si>
  <si>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</si>
  <si>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</si>
  <si>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</si>
  <si>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</si>
  <si>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</si>
  <si>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</si>
  <si>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</si>
  <si>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</si>
  <si>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</si>
  <si>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</si>
  <si>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</si>
  <si>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</si>
  <si>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</si>
  <si>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</si>
  <si>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</si>
  <si>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</si>
  <si>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</si>
  <si>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</si>
  <si>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</si>
  <si>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</si>
  <si>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</si>
  <si>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</si>
  <si>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</si>
  <si>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</si>
  <si>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</si>
  <si>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</si>
  <si>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</si>
  <si>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</si>
  <si>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</si>
  <si>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</si>
  <si>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</si>
  <si>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</si>
  <si>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</si>
  <si>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</si>
  <si>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</si>
  <si>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</si>
  <si>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</si>
  <si>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</si>
  <si>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</si>
  <si>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</si>
  <si>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</si>
  <si>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</si>
  <si>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</si>
  <si>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</si>
  <si>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</si>
  <si>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</si>
  <si>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</si>
  <si>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</si>
  <si>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</si>
  <si>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</si>
  <si>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</si>
  <si>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</si>
  <si>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</si>
  <si>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</si>
  <si>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</si>
  <si>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</si>
  <si>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</si>
  <si>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</si>
  <si>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</si>
  <si>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</si>
  <si>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</si>
  <si>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</si>
  <si>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</si>
  <si>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</si>
  <si>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</si>
  <si>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</si>
  <si>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</si>
  <si>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</si>
  <si>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</si>
  <si>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</si>
  <si>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</si>
  <si>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</si>
  <si>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</si>
  <si>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</si>
  <si>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</si>
  <si>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</si>
  <si>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</si>
  <si>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</si>
  <si>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</si>
  <si>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</si>
  <si>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</si>
  <si>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</si>
  <si>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</si>
  <si>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</si>
  <si>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</si>
  <si>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</si>
  <si>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</si>
  <si>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</si>
  <si>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</si>
  <si>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</si>
  <si>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</si>
  <si>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</si>
  <si>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</si>
  <si>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</si>
  <si>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</si>
  <si>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</si>
  <si>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</si>
  <si>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</si>
  <si>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</si>
  <si>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</si>
  <si>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</si>
  <si>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</si>
  <si>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</si>
  <si>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</si>
  <si>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</si>
  <si>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</si>
  <si>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</si>
  <si>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</si>
  <si>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</si>
  <si>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</si>
  <si>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</si>
  <si>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</si>
  <si>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</si>
  <si>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</si>
  <si>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</si>
  <si>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</si>
  <si>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</si>
  <si>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</si>
  <si>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</si>
  <si>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</si>
  <si>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</si>
  <si>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</si>
  <si>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</si>
  <si>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</si>
  <si>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</si>
  <si>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</si>
  <si>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</si>
  <si>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</si>
  <si>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</si>
  <si>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</si>
  <si>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</si>
  <si>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</si>
  <si>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</si>
  <si>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</si>
  <si>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</si>
  <si>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</si>
  <si>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</si>
  <si>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</si>
  <si>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</si>
  <si>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</si>
  <si>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</si>
  <si>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</si>
  <si>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</si>
  <si>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</si>
  <si>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</si>
  <si>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</si>
  <si>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</si>
  <si>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</si>
  <si>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</si>
  <si>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</si>
  <si>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</si>
  <si>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</si>
  <si>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</si>
  <si>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</si>
  <si>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</si>
  <si>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</si>
  <si>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</si>
  <si>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</si>
  <si>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</si>
  <si>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</si>
  <si>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</si>
  <si>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</si>
  <si>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</si>
  <si>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</si>
  <si>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</si>
  <si>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</si>
  <si>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</si>
  <si>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</si>
  <si>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</si>
  <si>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</si>
  <si>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</si>
  <si>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</si>
  <si>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</si>
  <si>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</si>
  <si>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</si>
  <si>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</si>
  <si>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</si>
  <si>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</si>
  <si>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</si>
  <si>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</si>
  <si>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</si>
  <si>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</si>
  <si>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</si>
  <si>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</si>
  <si>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</si>
  <si>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</si>
  <si>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</si>
  <si>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</si>
  <si>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</si>
  <si>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</si>
  <si>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</si>
  <si>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</si>
  <si>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</si>
  <si>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</si>
  <si>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</si>
  <si>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</si>
  <si>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</si>
  <si>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</si>
  <si>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</si>
  <si>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</si>
  <si>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</si>
  <si>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</si>
  <si>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</si>
  <si>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</si>
  <si>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</si>
  <si>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</si>
  <si>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</si>
  <si>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</si>
  <si>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</si>
  <si>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</si>
  <si>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</si>
  <si>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</si>
  <si>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</si>
  <si>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</si>
  <si>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</si>
  <si>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</si>
  <si>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</si>
  <si>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</si>
  <si>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</si>
  <si>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</si>
  <si>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</si>
  <si>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</si>
  <si>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</si>
  <si>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</si>
  <si>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</si>
  <si>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</si>
  <si>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</si>
  <si>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</si>
  <si>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</si>
  <si>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</si>
  <si>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</si>
  <si>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</si>
  <si>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</si>
  <si>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</si>
  <si>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</si>
  <si>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</si>
  <si>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</si>
  <si>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</si>
  <si>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</si>
  <si>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</si>
  <si>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</si>
  <si>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</si>
  <si>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</si>
  <si>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</si>
  <si>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</si>
  <si>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</si>
  <si>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</si>
  <si>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</si>
  <si>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</si>
  <si>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</si>
  <si>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</si>
  <si>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</si>
  <si>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</si>
  <si>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</si>
  <si>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</si>
  <si>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</si>
  <si>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</si>
  <si>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</si>
  <si>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</si>
  <si>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</si>
  <si>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</si>
  <si>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</si>
  <si>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</si>
  <si>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</si>
  <si>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</si>
  <si>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</si>
  <si>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</si>
  <si>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</si>
  <si>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</si>
  <si>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</si>
  <si>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</si>
  <si>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</si>
  <si>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</si>
  <si>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</si>
  <si>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</si>
  <si>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</si>
  <si>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</si>
  <si>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</si>
  <si>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</si>
  <si>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</si>
  <si>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</si>
  <si>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</si>
  <si>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</si>
  <si>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</si>
  <si>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</si>
  <si>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</si>
  <si>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</si>
  <si>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</si>
  <si>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</si>
  <si>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</si>
  <si>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</si>
  <si>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</si>
  <si>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</si>
  <si>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</si>
  <si>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</si>
  <si>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</si>
  <si>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</si>
  <si>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</si>
  <si>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</si>
  <si>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</si>
  <si>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</si>
  <si>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</si>
  <si>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</si>
  <si>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</si>
  <si>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</si>
  <si>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</si>
  <si>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</si>
  <si>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</si>
  <si>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</si>
  <si>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</si>
  <si>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</si>
  <si>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</si>
  <si>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</si>
  <si>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</si>
  <si>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</si>
  <si>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</si>
  <si>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</si>
  <si>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</si>
  <si>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</si>
  <si>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</si>
  <si>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</si>
  <si>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</si>
  <si>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</si>
  <si>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</si>
  <si>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</si>
  <si>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</si>
  <si>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</si>
  <si>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</si>
  <si>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</si>
  <si>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</si>
  <si>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</si>
  <si>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</si>
  <si>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</si>
  <si>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</si>
  <si>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</si>
  <si>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</si>
  <si>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</si>
  <si>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</si>
  <si>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</si>
  <si>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</si>
  <si>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</si>
  <si>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</si>
  <si>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</si>
  <si>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</si>
  <si>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</si>
  <si>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</si>
  <si>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</si>
  <si>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</si>
  <si>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</si>
  <si>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</si>
  <si>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</si>
  <si>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</si>
  <si>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</si>
  <si>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</si>
  <si>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</si>
  <si>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</si>
  <si>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</si>
  <si>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</si>
  <si>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</si>
  <si>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</si>
  <si>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</si>
  <si>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</si>
  <si>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</si>
  <si>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</si>
  <si>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</si>
  <si>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</si>
  <si>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</si>
  <si>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</si>
  <si>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</si>
  <si>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</si>
  <si>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</si>
  <si>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</si>
  <si>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</si>
  <si>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</si>
  <si>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</si>
  <si>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</si>
  <si>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</si>
  <si>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</si>
  <si>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</si>
  <si>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</si>
  <si>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</si>
  <si>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</si>
  <si>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</si>
  <si>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</si>
  <si>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</si>
  <si>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</si>
  <si>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</si>
  <si>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</si>
  <si>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</si>
  <si>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</si>
  <si>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</si>
  <si>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</si>
  <si>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</si>
  <si>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</si>
  <si>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</si>
  <si>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</si>
  <si>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</si>
  <si>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</si>
  <si>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</si>
  <si>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</si>
  <si>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</si>
  <si>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</si>
  <si>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</si>
  <si>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</si>
  <si>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</si>
  <si>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</si>
  <si>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</si>
  <si>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</si>
  <si>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</si>
  <si>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</si>
  <si>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</si>
  <si>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</si>
  <si>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</si>
  <si>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</si>
  <si>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</si>
  <si>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</si>
  <si>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</si>
  <si>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</si>
  <si>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</si>
  <si>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</si>
  <si>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</si>
  <si>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</si>
  <si>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</si>
  <si>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</si>
  <si>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</si>
  <si>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</si>
  <si>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</si>
  <si>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</si>
  <si>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</si>
  <si>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</si>
  <si>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</si>
  <si>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</si>
  <si>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</si>
  <si>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</si>
  <si>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</si>
  <si>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</si>
  <si>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</si>
  <si>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</si>
  <si>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</si>
  <si>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</si>
  <si>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</si>
  <si>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</si>
  <si>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</si>
  <si>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</si>
  <si>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</si>
  <si>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</si>
  <si>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</si>
  <si>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</si>
  <si>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</si>
  <si>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</si>
  <si>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</si>
  <si>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</si>
  <si>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</si>
  <si>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</si>
  <si>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</si>
  <si>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</si>
  <si>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</si>
  <si>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</si>
  <si>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</si>
  <si>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</si>
  <si>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</si>
  <si>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</si>
  <si>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</si>
  <si>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</si>
  <si>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</si>
  <si>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</si>
  <si>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</si>
  <si>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</si>
  <si>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</si>
  <si>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</si>
  <si>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</si>
  <si>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</si>
  <si>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</si>
  <si>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</si>
  <si>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</si>
  <si>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</si>
  <si>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</si>
  <si>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</si>
  <si>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</si>
  <si>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</si>
  <si>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</si>
  <si>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</si>
  <si>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</si>
  <si>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</si>
  <si>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</si>
  <si>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</si>
  <si>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</si>
  <si>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</si>
  <si>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</si>
  <si>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</si>
  <si>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</si>
  <si>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</si>
  <si>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</si>
  <si>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</si>
  <si>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27945971</t>
  </si>
  <si>
    <t>МУП "Долминская энергетическая компания"</t>
  </si>
  <si>
    <t>2713017226</t>
  </si>
  <si>
    <t>271301001</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</si>
  <si>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</si>
  <si>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</si>
  <si>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</si>
  <si>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</si>
  <si>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</si>
  <si>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</si>
  <si>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</si>
  <si>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</si>
  <si>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</si>
  <si>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</si>
  <si>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</si>
  <si>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</si>
  <si>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</si>
  <si>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</si>
  <si>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</si>
  <si>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</si>
  <si>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</si>
  <si>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</si>
  <si>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</si>
  <si>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</si>
  <si>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</si>
  <si>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</si>
  <si>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</si>
  <si>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</si>
  <si>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</si>
  <si>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</si>
  <si>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</si>
  <si>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</si>
  <si>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</si>
  <si>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</si>
  <si>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</si>
  <si>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</si>
  <si>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</si>
  <si>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</si>
  <si>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</si>
  <si>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</si>
  <si>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</si>
  <si>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</si>
  <si>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</si>
  <si>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</si>
  <si>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</si>
  <si>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</si>
  <si>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28870045</t>
  </si>
  <si>
    <t>МУП "Нанайский теплоэнергетический комплекс"</t>
  </si>
  <si>
    <t>2714010689</t>
  </si>
  <si>
    <t>271401001</t>
  </si>
  <si>
    <t>31772961</t>
  </si>
  <si>
    <t>МУП "Нижнеамурская ресурсоснабжающая организация"</t>
  </si>
  <si>
    <t>2705000370</t>
  </si>
  <si>
    <t>31-10-2022 00:00:00</t>
  </si>
  <si>
    <t>30355542</t>
  </si>
  <si>
    <t>МУП "Николаевские тепловые сети"</t>
  </si>
  <si>
    <t>2705000395</t>
  </si>
  <si>
    <t>23-06-2015 00:00:00</t>
  </si>
  <si>
    <t>24-01-2025 00:00:00</t>
  </si>
  <si>
    <t>28983374</t>
  </si>
  <si>
    <t>МУП "Новатор"</t>
  </si>
  <si>
    <t>2720052609</t>
  </si>
  <si>
    <t>20-05-2015 00:00:00</t>
  </si>
  <si>
    <t>28983359</t>
  </si>
  <si>
    <t>МУП "Осиновореченское"</t>
  </si>
  <si>
    <t>2720052623</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</si>
  <si>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</si>
  <si>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</si>
  <si>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</si>
  <si>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</si>
  <si>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</si>
  <si>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</si>
  <si>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</si>
  <si>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</si>
  <si>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</si>
  <si>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</si>
  <si>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</si>
  <si>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</si>
  <si>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</si>
  <si>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</si>
  <si>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</si>
  <si>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</si>
  <si>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</si>
  <si>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</si>
  <si>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31021121</t>
  </si>
  <si>
    <t>МУП "Теплосервис"</t>
  </si>
  <si>
    <t>2705001046</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</si>
  <si>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</si>
  <si>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</si>
  <si>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</si>
  <si>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</si>
  <si>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</si>
  <si>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</si>
  <si>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</si>
  <si>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</si>
  <si>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</si>
  <si>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</si>
  <si>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</si>
  <si>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</si>
  <si>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</si>
  <si>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</si>
  <si>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</si>
  <si>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</si>
  <si>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</si>
  <si>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</si>
  <si>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</si>
  <si>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</si>
  <si>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</si>
  <si>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</si>
  <si>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</si>
  <si>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</si>
  <si>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</si>
  <si>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</si>
  <si>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</si>
  <si>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</si>
  <si>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</si>
  <si>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</si>
  <si>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</si>
  <si>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</si>
  <si>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</si>
  <si>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</si>
  <si>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</si>
  <si>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</si>
  <si>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</si>
  <si>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</si>
  <si>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</si>
  <si>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</si>
  <si>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</si>
  <si>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</si>
  <si>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</si>
  <si>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</si>
  <si>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</si>
  <si>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</si>
  <si>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</si>
  <si>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</si>
  <si>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</si>
  <si>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</si>
  <si>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</si>
  <si>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</si>
  <si>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</si>
  <si>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</si>
  <si>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</si>
  <si>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</si>
  <si>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</si>
  <si>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</si>
  <si>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</si>
  <si>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</si>
  <si>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</si>
  <si>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</si>
  <si>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</si>
  <si>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</si>
  <si>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</si>
  <si>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</si>
  <si>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</si>
  <si>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</si>
  <si>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</si>
  <si>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</si>
  <si>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</si>
  <si>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</si>
  <si>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</si>
  <si>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</si>
  <si>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</si>
  <si>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</si>
  <si>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</si>
  <si>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</si>
  <si>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</si>
  <si>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</si>
  <si>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</si>
  <si>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</si>
  <si>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</si>
  <si>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</si>
  <si>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</si>
  <si>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</si>
  <si>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</si>
  <si>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</si>
  <si>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</si>
  <si>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</si>
  <si>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</si>
  <si>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</si>
  <si>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</si>
  <si>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</si>
  <si>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</si>
  <si>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</si>
  <si>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</si>
  <si>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</si>
  <si>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</si>
  <si>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</si>
  <si>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</si>
  <si>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</si>
  <si>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</si>
  <si>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</si>
  <si>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</si>
  <si>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</si>
  <si>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</si>
  <si>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</si>
  <si>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</si>
  <si>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</si>
  <si>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</si>
  <si>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</si>
  <si>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</si>
  <si>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</si>
  <si>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</si>
  <si>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</si>
  <si>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</si>
  <si>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</si>
  <si>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</si>
  <si>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</si>
  <si>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</si>
  <si>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</si>
  <si>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</si>
  <si>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</si>
  <si>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</si>
  <si>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</si>
  <si>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</si>
  <si>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</si>
  <si>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</si>
  <si>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</si>
  <si>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</si>
  <si>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</si>
  <si>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</si>
  <si>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31349096</t>
  </si>
  <si>
    <t>ООО "ДВ-Регион"</t>
  </si>
  <si>
    <t>2704025904</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</si>
  <si>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</si>
  <si>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</si>
  <si>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</si>
  <si>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</si>
  <si>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</si>
  <si>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</si>
  <si>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</si>
  <si>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</si>
  <si>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</si>
  <si>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</si>
  <si>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</si>
  <si>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</si>
  <si>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</si>
  <si>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</si>
  <si>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</si>
  <si>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</si>
  <si>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</si>
  <si>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</si>
  <si>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</si>
  <si>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</si>
  <si>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</si>
  <si>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</si>
  <si>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</si>
  <si>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</si>
  <si>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</si>
  <si>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</si>
  <si>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</si>
  <si>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</si>
  <si>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</si>
  <si>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</si>
  <si>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</si>
  <si>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</si>
  <si>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</si>
  <si>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</si>
  <si>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</si>
  <si>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</si>
  <si>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26355294</t>
  </si>
  <si>
    <t>ООО "Коммунальные услуги села Заозерное"</t>
  </si>
  <si>
    <t>2720034110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</si>
  <si>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</si>
  <si>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</si>
  <si>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</si>
  <si>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</si>
  <si>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</si>
  <si>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</si>
  <si>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</si>
  <si>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</si>
  <si>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</si>
  <si>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</si>
  <si>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</si>
  <si>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</si>
  <si>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</si>
  <si>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</si>
  <si>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</si>
  <si>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</si>
  <si>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</si>
  <si>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</si>
  <si>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</si>
  <si>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</si>
  <si>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</si>
  <si>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</si>
  <si>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</si>
  <si>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</si>
  <si>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</si>
  <si>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</si>
  <si>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</si>
  <si>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</si>
  <si>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</si>
  <si>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</si>
  <si>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</si>
  <si>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</si>
  <si>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</si>
  <si>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</si>
  <si>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</si>
  <si>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</si>
  <si>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</si>
  <si>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</si>
  <si>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</si>
  <si>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</si>
  <si>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</si>
  <si>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</si>
  <si>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</si>
  <si>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</si>
  <si>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</si>
  <si>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31361038</t>
  </si>
  <si>
    <t>ООО "Сантехремстрой"</t>
  </si>
  <si>
    <t>2703079752</t>
  </si>
  <si>
    <t>02-07-2014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</si>
  <si>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</si>
  <si>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</si>
  <si>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</si>
  <si>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</si>
  <si>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</si>
  <si>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</si>
  <si>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</si>
  <si>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</si>
  <si>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</si>
  <si>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</si>
  <si>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</si>
  <si>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</si>
  <si>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26646176</t>
  </si>
  <si>
    <t>ООО "Сергеевка"</t>
  </si>
  <si>
    <t>2720042706</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</si>
  <si>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</si>
  <si>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</si>
  <si>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</si>
  <si>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</si>
  <si>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</si>
  <si>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</si>
  <si>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</si>
  <si>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</si>
  <si>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</si>
  <si>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</si>
  <si>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</si>
  <si>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</si>
  <si>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</si>
  <si>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</si>
  <si>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</si>
  <si>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</si>
  <si>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</si>
  <si>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</si>
  <si>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</si>
  <si>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</si>
  <si>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</si>
  <si>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</si>
  <si>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</si>
  <si>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</si>
  <si>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</si>
  <si>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</si>
  <si>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</si>
  <si>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</si>
  <si>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</si>
  <si>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</si>
  <si>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</si>
  <si>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</si>
  <si>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</si>
  <si>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</si>
  <si>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</si>
  <si>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</si>
  <si>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</si>
  <si>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</si>
  <si>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</si>
  <si>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</si>
  <si>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28271504</t>
  </si>
  <si>
    <t>ООО "Теплоэнергетик р.п. Переяславка"</t>
  </si>
  <si>
    <t>2713017748</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</si>
  <si>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</si>
  <si>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</si>
  <si>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</si>
  <si>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</si>
  <si>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</si>
  <si>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</si>
  <si>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</si>
  <si>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</si>
  <si>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</si>
  <si>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</si>
  <si>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</si>
  <si>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</si>
  <si>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</si>
  <si>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</si>
  <si>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</si>
  <si>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</si>
  <si>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</si>
  <si>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</si>
  <si>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</si>
  <si>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</si>
  <si>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</si>
  <si>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</si>
  <si>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</si>
  <si>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</si>
  <si>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</si>
  <si>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</si>
  <si>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</si>
  <si>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</si>
  <si>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</si>
  <si>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</si>
  <si>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</si>
  <si>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</si>
  <si>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</si>
  <si>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</si>
  <si>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</si>
  <si>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</si>
  <si>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</si>
  <si>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</si>
  <si>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</si>
  <si>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</si>
  <si>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31523973</t>
  </si>
  <si>
    <t>ООО "ЭНКИ ДВ"</t>
  </si>
  <si>
    <t>2724239975</t>
  </si>
  <si>
    <t>10-12-2020 00:00:00</t>
  </si>
  <si>
    <t>31193290</t>
  </si>
  <si>
    <t>ООО "Энергетик"</t>
  </si>
  <si>
    <t>2715006318</t>
  </si>
  <si>
    <t>08-05-2018 00:00:00</t>
  </si>
  <si>
    <t>30869093</t>
  </si>
  <si>
    <t>ООО "Энергоресурсы"</t>
  </si>
  <si>
    <t>2709015593</t>
  </si>
  <si>
    <t>27364970</t>
  </si>
  <si>
    <t>Охотский филиал ОАО "Теплоэнергосервис"</t>
  </si>
  <si>
    <t>1435191592</t>
  </si>
  <si>
    <t>271543001</t>
  </si>
  <si>
    <t>29-08-2007 00:00:00</t>
  </si>
  <si>
    <t>26412976</t>
  </si>
  <si>
    <t>ПАО "Амурский судостроительный завод"</t>
  </si>
  <si>
    <t>2703000015</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</si>
  <si>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</si>
  <si>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</si>
  <si>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</si>
  <si>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</si>
  <si>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</si>
  <si>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</si>
  <si>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</si>
  <si>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</si>
  <si>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</si>
  <si>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</si>
  <si>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</si>
  <si>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</si>
  <si>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</si>
  <si>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</si>
  <si>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</si>
  <si>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</si>
  <si>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</si>
  <si>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</si>
  <si>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</si>
  <si>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</si>
  <si>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</si>
  <si>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</si>
  <si>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</si>
  <si>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</si>
  <si>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</si>
  <si>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</si>
  <si>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</si>
  <si>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</si>
  <si>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</si>
  <si>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</si>
  <si>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</si>
  <si>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</si>
  <si>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</si>
  <si>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</si>
  <si>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</si>
  <si>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</si>
  <si>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</si>
  <si>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</si>
  <si>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</si>
  <si>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</si>
  <si>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</si>
  <si>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</si>
  <si>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</si>
  <si>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</si>
  <si>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</si>
  <si>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</si>
  <si>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</si>
  <si>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</si>
  <si>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</si>
  <si>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</si>
  <si>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</si>
  <si>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</si>
  <si>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</si>
  <si>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26451312</t>
  </si>
  <si>
    <t>Войсковая часть 70822</t>
  </si>
  <si>
    <t>2720017555</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</si>
  <si>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</si>
  <si>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</si>
  <si>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</si>
  <si>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</si>
  <si>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</si>
  <si>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</si>
  <si>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</si>
  <si>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</si>
  <si>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</si>
  <si>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</si>
  <si>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</si>
  <si>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</si>
  <si>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</si>
  <si>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</si>
  <si>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</si>
  <si>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</si>
  <si>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</si>
  <si>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</si>
  <si>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</si>
  <si>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</si>
  <si>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</si>
  <si>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</si>
  <si>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</si>
  <si>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</si>
  <si>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</si>
  <si>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</si>
  <si>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</si>
  <si>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</si>
  <si>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</si>
  <si>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</si>
  <si>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</si>
  <si>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</si>
  <si>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</si>
  <si>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</si>
  <si>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</si>
  <si>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</si>
  <si>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</si>
  <si>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</si>
  <si>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</si>
  <si>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</si>
  <si>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31351407</t>
  </si>
  <si>
    <t>МУП "Мухенский водоканал"</t>
  </si>
  <si>
    <t>2713019390</t>
  </si>
  <si>
    <t>28-06-2017 00:00:00</t>
  </si>
  <si>
    <t>31707314</t>
  </si>
  <si>
    <t>МУП "Мыс Лазарев"</t>
  </si>
  <si>
    <t>2705001663</t>
  </si>
  <si>
    <t>19-09-2023 00:00:00</t>
  </si>
  <si>
    <t>28751908</t>
  </si>
  <si>
    <t>МУП "Николаевские инженерные сети"</t>
  </si>
  <si>
    <t>2705021187</t>
  </si>
  <si>
    <t>31776639</t>
  </si>
  <si>
    <t>МУП "Охотск КХ"</t>
  </si>
  <si>
    <t>2700040330</t>
  </si>
  <si>
    <t>01-10-2024 00:00:00</t>
  </si>
  <si>
    <t>26451298</t>
  </si>
  <si>
    <t>МУП г. Хабаровска "Водоканал"</t>
  </si>
  <si>
    <t>2700001300</t>
  </si>
  <si>
    <t>26512602</t>
  </si>
  <si>
    <t>ООО "Водо-канализационное хозяйство"</t>
  </si>
  <si>
    <t>2706026692</t>
  </si>
  <si>
    <t>11-03-2025 00:00:00</t>
  </si>
  <si>
    <t>27835832</t>
  </si>
  <si>
    <t>ООО "Водоканал района имени Лазо Хабаровского края"</t>
  </si>
  <si>
    <t>2721145172</t>
  </si>
  <si>
    <t>29-12-2006 00:00:00</t>
  </si>
  <si>
    <t>07-03-2025 00:00:00</t>
  </si>
  <si>
    <t>26629455</t>
  </si>
  <si>
    <t>ООО "Водоканал"</t>
  </si>
  <si>
    <t>2706027738</t>
  </si>
  <si>
    <t>31210853</t>
  </si>
  <si>
    <t>2711003796</t>
  </si>
  <si>
    <t>26437992</t>
  </si>
  <si>
    <t>ООО "Водоканал-Транзит"</t>
  </si>
  <si>
    <t>2707005060</t>
  </si>
  <si>
    <t>22-01-2025 00:00:00</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</si>
  <si>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</si>
  <si>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</si>
  <si>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</si>
  <si>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</si>
  <si>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</si>
  <si>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</si>
  <si>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</si>
  <si>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</si>
  <si>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</si>
  <si>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</si>
  <si>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</si>
  <si>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</si>
  <si>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</si>
  <si>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</si>
  <si>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</si>
  <si>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</si>
  <si>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</si>
  <si>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</si>
  <si>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</si>
  <si>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</si>
  <si>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</si>
  <si>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31647782</t>
  </si>
  <si>
    <t>ООО "Пролив"</t>
  </si>
  <si>
    <t>2705001021</t>
  </si>
  <si>
    <t>09-06-2017 00:00:00</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</si>
  <si>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</si>
  <si>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</si>
  <si>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</si>
  <si>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</si>
  <si>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</si>
  <si>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</si>
  <si>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</si>
  <si>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</si>
  <si>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</si>
  <si>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</si>
  <si>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</si>
  <si>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</si>
  <si>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</si>
  <si>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</si>
  <si>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</si>
  <si>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</si>
  <si>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</si>
  <si>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</si>
  <si>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</si>
  <si>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</si>
  <si>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</si>
  <si>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</si>
  <si>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</si>
  <si>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</si>
  <si>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</si>
  <si>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</si>
  <si>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</si>
  <si>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</si>
  <si>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</si>
  <si>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</si>
  <si>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</si>
  <si>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</si>
  <si>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</si>
  <si>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</si>
  <si>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</si>
  <si>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</si>
  <si>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</si>
  <si>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30376618</t>
  </si>
  <si>
    <t>Общество с ограниченной ответственностью "Киселевский энергетик"</t>
  </si>
  <si>
    <t>2719002794</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</si>
  <si>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</si>
  <si>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</si>
  <si>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</si>
  <si>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</si>
  <si>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</si>
  <si>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</si>
  <si>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</si>
  <si>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</si>
  <si>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</si>
  <si>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</si>
  <si>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31340194</t>
  </si>
  <si>
    <t>МУП "Регион"</t>
  </si>
  <si>
    <t>2704026048</t>
  </si>
  <si>
    <t>24-08-2018 00:00:00</t>
  </si>
  <si>
    <t>30930883</t>
  </si>
  <si>
    <t>ООО "Дальрео"</t>
  </si>
  <si>
    <t>2720029889</t>
  </si>
  <si>
    <t>12-07-2017 00:00:00</t>
  </si>
  <si>
    <t>27589585</t>
  </si>
  <si>
    <t>ООО "ПК "Краснореченское"</t>
  </si>
  <si>
    <t>2720043989</t>
  </si>
  <si>
    <t>28441267</t>
  </si>
  <si>
    <t>ООО "Регион"</t>
  </si>
  <si>
    <t>2704021836</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</si>
  <si>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</si>
  <si>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</si>
  <si>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</si>
  <si>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</si>
  <si>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</si>
  <si>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</si>
  <si>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</si>
  <si>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</si>
  <si>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</si>
  <si>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</si>
  <si>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</si>
  <si>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</si>
  <si>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</si>
  <si>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</si>
  <si>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</si>
  <si>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</si>
  <si>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</si>
  <si>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</si>
  <si>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</si>
  <si>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</si>
  <si>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</si>
  <si>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</si>
  <si>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</si>
  <si>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</si>
  <si>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</si>
  <si>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</si>
  <si>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</si>
  <si>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</si>
  <si>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</si>
  <si>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</si>
  <si>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</si>
  <si>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</si>
  <si>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</si>
  <si>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</si>
  <si>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</si>
  <si>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</si>
  <si>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</si>
  <si>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</si>
  <si>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</si>
  <si>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</si>
  <si>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</si>
  <si>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</si>
  <si>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</si>
  <si>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</si>
  <si>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31772982</t>
  </si>
  <si>
    <t>ООО "РегСтройКом"</t>
  </si>
  <si>
    <t>2720056917</t>
  </si>
  <si>
    <t>01-03-2017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</si>
  <si>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</si>
  <si>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</si>
  <si>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</si>
  <si>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</si>
  <si>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</si>
  <si>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</si>
  <si>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</si>
  <si>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</si>
  <si>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</si>
  <si>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</si>
  <si>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</si>
  <si>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</si>
  <si>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</si>
  <si>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</si>
  <si>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</si>
  <si>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26491492</t>
  </si>
  <si>
    <t>ООО "Экопром"</t>
  </si>
  <si>
    <t>2710014604</t>
  </si>
  <si>
    <t>NSRF</t>
  </si>
  <si>
    <t>MR_NAME</t>
  </si>
  <si>
    <t>OKTMO_MR_NAME</t>
  </si>
  <si>
    <t>MO_NAME</t>
  </si>
  <si>
    <t>OKTMO_NAME</t>
  </si>
  <si>
    <t>TYPE</t>
  </si>
  <si>
    <t>MR_ID</t>
  </si>
  <si>
    <t>08603000</t>
  </si>
  <si>
    <t>муниципальный район</t>
  </si>
  <si>
    <t>Болоньское</t>
  </si>
  <si>
    <t>08603420</t>
  </si>
  <si>
    <t>сельское поселение</t>
  </si>
  <si>
    <t>Вознесенское</t>
  </si>
  <si>
    <t>08603402</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</si>
  <si>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</si>
  <si>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</si>
  <si>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</si>
  <si>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</si>
  <si>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</si>
  <si>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</si>
  <si>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</si>
  <si>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</si>
  <si>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</si>
  <si>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</si>
  <si>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</si>
  <si>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</si>
  <si>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</si>
  <si>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</si>
  <si>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</si>
  <si>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</si>
  <si>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</si>
  <si>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</si>
  <si>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</si>
  <si>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</si>
  <si>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</si>
  <si>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</si>
  <si>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</si>
  <si>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</si>
  <si>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</si>
  <si>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</si>
  <si>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</si>
  <si>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</si>
  <si>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</si>
  <si>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</si>
  <si>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</si>
  <si>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</si>
  <si>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Бикинский муниципальный район</t>
  </si>
  <si>
    <t>08609000</t>
  </si>
  <si>
    <t>Бойцовское</t>
  </si>
  <si>
    <t>08609402</t>
  </si>
  <si>
    <t>Город Бикин</t>
  </si>
  <si>
    <t>08609101</t>
  </si>
  <si>
    <t>Добролюбовское</t>
  </si>
  <si>
    <t>08609406</t>
  </si>
  <si>
    <t>Лермонтовское</t>
  </si>
  <si>
    <t>08609408</t>
  </si>
  <si>
    <t>Лесопильненское</t>
  </si>
  <si>
    <t>08609407</t>
  </si>
  <si>
    <t>Лончаковское</t>
  </si>
  <si>
    <t>08609410</t>
  </si>
  <si>
    <t>Оренбургское</t>
  </si>
  <si>
    <t>08609412</t>
  </si>
  <si>
    <t>Покровское</t>
  </si>
  <si>
    <t>08609416</t>
  </si>
  <si>
    <t>Пушкинское</t>
  </si>
  <si>
    <t>08609420</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</si>
  <si>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</si>
  <si>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</si>
  <si>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</si>
  <si>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</si>
  <si>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</si>
  <si>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</si>
  <si>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</si>
  <si>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</si>
  <si>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</si>
  <si>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</si>
  <si>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</si>
  <si>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</si>
  <si>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</si>
  <si>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</si>
  <si>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</si>
  <si>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</si>
  <si>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</si>
  <si>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</si>
  <si>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</si>
  <si>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</si>
  <si>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</si>
  <si>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</si>
  <si>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</si>
  <si>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</si>
  <si>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</si>
  <si>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</si>
  <si>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</si>
  <si>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</si>
  <si>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</si>
  <si>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</si>
  <si>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</si>
  <si>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</si>
  <si>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</si>
  <si>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</si>
  <si>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</si>
  <si>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</si>
  <si>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</si>
  <si>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</si>
  <si>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</si>
  <si>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</si>
  <si>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</si>
  <si>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</si>
  <si>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</si>
  <si>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</si>
  <si>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</si>
  <si>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</si>
  <si>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</si>
  <si>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</si>
  <si>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</si>
  <si>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</si>
  <si>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</si>
  <si>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</si>
  <si>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</si>
  <si>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</si>
  <si>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</si>
  <si>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</si>
  <si>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</si>
  <si>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</si>
  <si>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</si>
  <si>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</si>
  <si>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</si>
  <si>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60</t>
  </si>
  <si>
    <t>Город Вяземский</t>
  </si>
  <si>
    <t>08617101</t>
  </si>
  <si>
    <t>61</t>
  </si>
  <si>
    <t>Дормидонтовское</t>
  </si>
  <si>
    <t>08617416</t>
  </si>
  <si>
    <t>62</t>
  </si>
  <si>
    <t>Забайкальское</t>
  </si>
  <si>
    <t>08617418</t>
  </si>
  <si>
    <t>63</t>
  </si>
  <si>
    <t>Капитоновское</t>
  </si>
  <si>
    <t>08617420</t>
  </si>
  <si>
    <t>64</t>
  </si>
  <si>
    <t>Кедровское</t>
  </si>
  <si>
    <t>08617422</t>
  </si>
  <si>
    <t>65</t>
  </si>
  <si>
    <t>Котиковское</t>
  </si>
  <si>
    <t>08617424</t>
  </si>
  <si>
    <t>Красицкое</t>
  </si>
  <si>
    <t>08617426</t>
  </si>
  <si>
    <t>67</t>
  </si>
  <si>
    <t>Кукелевское</t>
  </si>
  <si>
    <t>08617428</t>
  </si>
  <si>
    <t>Медвеженское</t>
  </si>
  <si>
    <t>08617432</t>
  </si>
  <si>
    <t>69</t>
  </si>
  <si>
    <t>Отрадненское</t>
  </si>
  <si>
    <t>08617438</t>
  </si>
  <si>
    <t>70</t>
  </si>
  <si>
    <t>Садовое</t>
  </si>
  <si>
    <t>08617439</t>
  </si>
  <si>
    <t>71</t>
  </si>
  <si>
    <t>Шереметьевское</t>
  </si>
  <si>
    <t>08617440</t>
  </si>
  <si>
    <t>72</t>
  </si>
  <si>
    <t>Шумнинское</t>
  </si>
  <si>
    <t>08617444</t>
  </si>
  <si>
    <t>73</t>
  </si>
  <si>
    <t>поселок Дормидонтовка</t>
  </si>
  <si>
    <t>08617413</t>
  </si>
  <si>
    <t>74</t>
  </si>
  <si>
    <t>городской округ</t>
  </si>
  <si>
    <t>Комсомольский муниципальный район</t>
  </si>
  <si>
    <t>08620000</t>
  </si>
  <si>
    <t>Бельговское</t>
  </si>
  <si>
    <t>08620404</t>
  </si>
  <si>
    <t>77</t>
  </si>
  <si>
    <t>Бокторское</t>
  </si>
  <si>
    <t>08620405</t>
  </si>
  <si>
    <t>78</t>
  </si>
  <si>
    <t>Большекартельское</t>
  </si>
  <si>
    <t>08620407</t>
  </si>
  <si>
    <t>79</t>
  </si>
  <si>
    <t>Верхнетамбовское</t>
  </si>
  <si>
    <t>08620410</t>
  </si>
  <si>
    <t>80</t>
  </si>
  <si>
    <t>Гайтерское</t>
  </si>
  <si>
    <t>08620413</t>
  </si>
  <si>
    <t>81</t>
  </si>
  <si>
    <t>Галичное</t>
  </si>
  <si>
    <t>08620467</t>
  </si>
  <si>
    <t>82</t>
  </si>
  <si>
    <t>Гурское</t>
  </si>
  <si>
    <t>08620468</t>
  </si>
  <si>
    <t>83</t>
  </si>
  <si>
    <t>Даппинское</t>
  </si>
  <si>
    <t>08620419</t>
  </si>
  <si>
    <t>84</t>
  </si>
  <si>
    <t>Кенайское</t>
  </si>
  <si>
    <t>08620430</t>
  </si>
  <si>
    <t>85</t>
  </si>
  <si>
    <t>86</t>
  </si>
  <si>
    <t>Молодежное</t>
  </si>
  <si>
    <t>08620435</t>
  </si>
  <si>
    <t>87</t>
  </si>
  <si>
    <t>Нижнетамбовское</t>
  </si>
  <si>
    <t>08620437</t>
  </si>
  <si>
    <t>88</t>
  </si>
  <si>
    <t>Нижнехалбинское</t>
  </si>
  <si>
    <t>08620440</t>
  </si>
  <si>
    <t>89</t>
  </si>
  <si>
    <t>Новоильиновское</t>
  </si>
  <si>
    <t>08620443</t>
  </si>
  <si>
    <t>90</t>
  </si>
  <si>
    <t>Новомирское</t>
  </si>
  <si>
    <t>08620446</t>
  </si>
  <si>
    <t>91</t>
  </si>
  <si>
    <t>Пиваньское</t>
  </si>
  <si>
    <t>08620447</t>
  </si>
  <si>
    <t>92</t>
  </si>
  <si>
    <t>Селихинское</t>
  </si>
  <si>
    <t>08620449</t>
  </si>
  <si>
    <t>93</t>
  </si>
  <si>
    <t>Снежинское</t>
  </si>
  <si>
    <t>08620452</t>
  </si>
  <si>
    <t>94</t>
  </si>
  <si>
    <t>Уктурское</t>
  </si>
  <si>
    <t>08620455</t>
  </si>
  <si>
    <t>95</t>
  </si>
  <si>
    <t>Хурбинское</t>
  </si>
  <si>
    <t>08620461</t>
  </si>
  <si>
    <t>96</t>
  </si>
  <si>
    <t>Эконьское</t>
  </si>
  <si>
    <t>08620476</t>
  </si>
  <si>
    <t>97</t>
  </si>
  <si>
    <t>Ягодненское</t>
  </si>
  <si>
    <t>08620470</t>
  </si>
  <si>
    <t>98</t>
  </si>
  <si>
    <t>Нанайский муниципальный район</t>
  </si>
  <si>
    <t>08628000</t>
  </si>
  <si>
    <t>Арсеньевское</t>
  </si>
  <si>
    <t>08628402</t>
  </si>
  <si>
    <t>99</t>
  </si>
  <si>
    <t>Верхнеманоминское</t>
  </si>
  <si>
    <t>08628407</t>
  </si>
  <si>
    <t>100</t>
  </si>
  <si>
    <t>Верхненергенское</t>
  </si>
  <si>
    <t>08628427</t>
  </si>
  <si>
    <t>101</t>
  </si>
  <si>
    <t>Дадинское</t>
  </si>
  <si>
    <t>08628416</t>
  </si>
  <si>
    <t>102</t>
  </si>
  <si>
    <t>Джаринское</t>
  </si>
  <si>
    <t>08628419</t>
  </si>
  <si>
    <t>103</t>
  </si>
  <si>
    <t>Джонкинское</t>
  </si>
  <si>
    <t>08628422</t>
  </si>
  <si>
    <t>104</t>
  </si>
  <si>
    <t>Дубовомысское</t>
  </si>
  <si>
    <t>08628423</t>
  </si>
  <si>
    <t>105</t>
  </si>
  <si>
    <t>Иннокентьевское</t>
  </si>
  <si>
    <t>08628424</t>
  </si>
  <si>
    <t>106</t>
  </si>
  <si>
    <t>Лидогинское</t>
  </si>
  <si>
    <t>08628425</t>
  </si>
  <si>
    <t>107</t>
  </si>
  <si>
    <t>Маякское</t>
  </si>
  <si>
    <t>08628428</t>
  </si>
  <si>
    <t>108</t>
  </si>
  <si>
    <t>Найхинское</t>
  </si>
  <si>
    <t>08628431</t>
  </si>
  <si>
    <t>109</t>
  </si>
  <si>
    <t>110</t>
  </si>
  <si>
    <t>Нижнеманоминское</t>
  </si>
  <si>
    <t>08628434</t>
  </si>
  <si>
    <t>Синдинское</t>
  </si>
  <si>
    <t>08628437</t>
  </si>
  <si>
    <t>112</t>
  </si>
  <si>
    <t>село Троицкое</t>
  </si>
  <si>
    <t>08628439</t>
  </si>
  <si>
    <t>113</t>
  </si>
  <si>
    <t>08631000</t>
  </si>
  <si>
    <t>08631404</t>
  </si>
  <si>
    <t>115</t>
  </si>
  <si>
    <t>Коасносельское</t>
  </si>
  <si>
    <t>08631413</t>
  </si>
  <si>
    <t>116</t>
  </si>
  <si>
    <t>Константиновское</t>
  </si>
  <si>
    <t>08631431</t>
  </si>
  <si>
    <t>117</t>
  </si>
  <si>
    <t>Магинское</t>
  </si>
  <si>
    <t>08631414</t>
  </si>
  <si>
    <t>118</t>
  </si>
  <si>
    <t>Межселенная территория Николаевского муниципального района, включающая с Власьево</t>
  </si>
  <si>
    <t>08631701</t>
  </si>
  <si>
    <t>119</t>
  </si>
  <si>
    <t>Нигирское</t>
  </si>
  <si>
    <t>08631419</t>
  </si>
  <si>
    <t>120</t>
  </si>
  <si>
    <t>Нижнепронгенское</t>
  </si>
  <si>
    <t>08631422</t>
  </si>
  <si>
    <t>121</t>
  </si>
  <si>
    <t>122</t>
  </si>
  <si>
    <t>Озерпахское</t>
  </si>
  <si>
    <t>08631425</t>
  </si>
  <si>
    <t>123</t>
  </si>
  <si>
    <t>Орель-Члянское</t>
  </si>
  <si>
    <t>08631428</t>
  </si>
  <si>
    <t>124</t>
  </si>
  <si>
    <t>Оремифское</t>
  </si>
  <si>
    <t>08631437</t>
  </si>
  <si>
    <t>125</t>
  </si>
  <si>
    <t>Поселок Лазарев</t>
  </si>
  <si>
    <t>08631154</t>
  </si>
  <si>
    <t>126</t>
  </si>
  <si>
    <t>Поселок Многовершинный</t>
  </si>
  <si>
    <t>08631158</t>
  </si>
  <si>
    <t>127</t>
  </si>
  <si>
    <t>Пуирское</t>
  </si>
  <si>
    <t>08631434</t>
  </si>
  <si>
    <t>128</t>
  </si>
  <si>
    <t>Члянское</t>
  </si>
  <si>
    <t>08631410</t>
  </si>
  <si>
    <t>129</t>
  </si>
  <si>
    <t>Охотский муниципальный округ</t>
  </si>
  <si>
    <t>08534000</t>
  </si>
  <si>
    <t>130</t>
  </si>
  <si>
    <t>Охотский муниципальный район</t>
  </si>
  <si>
    <t>08634000</t>
  </si>
  <si>
    <t>Аркинское</t>
  </si>
  <si>
    <t>08634402</t>
  </si>
  <si>
    <t>131</t>
  </si>
  <si>
    <t>Булгинское</t>
  </si>
  <si>
    <t>08634404</t>
  </si>
  <si>
    <t>132</t>
  </si>
  <si>
    <t>Вострецовское</t>
  </si>
  <si>
    <t>08634407</t>
  </si>
  <si>
    <t>133</t>
  </si>
  <si>
    <t>Инское</t>
  </si>
  <si>
    <t>08634410</t>
  </si>
  <si>
    <t>134</t>
  </si>
  <si>
    <t>Морское</t>
  </si>
  <si>
    <t>08634412</t>
  </si>
  <si>
    <t>135</t>
  </si>
  <si>
    <t>Новоустьинское</t>
  </si>
  <si>
    <t>08634414</t>
  </si>
  <si>
    <t>136</t>
  </si>
  <si>
    <t>137</t>
  </si>
  <si>
    <t>Поселок Охотск</t>
  </si>
  <si>
    <t>08634151</t>
  </si>
  <si>
    <t>138</t>
  </si>
  <si>
    <t>Резидентское</t>
  </si>
  <si>
    <t>08634416</t>
  </si>
  <si>
    <t>139</t>
  </si>
  <si>
    <t>08642000</t>
  </si>
  <si>
    <t>Гаткинское</t>
  </si>
  <si>
    <t>08642402</t>
  </si>
  <si>
    <t>140</t>
  </si>
  <si>
    <t>Межселенные территории, входящие в состав Советско-Гаванского муниципального района, включающие п Нельма, п Коппи и др.</t>
  </si>
  <si>
    <t>08642701</t>
  </si>
  <si>
    <t>142</t>
  </si>
  <si>
    <t>Поселок Заветы Ильича</t>
  </si>
  <si>
    <t>08642159</t>
  </si>
  <si>
    <t>143</t>
  </si>
  <si>
    <t>Поселок Лососина</t>
  </si>
  <si>
    <t>08642162</t>
  </si>
  <si>
    <t>144</t>
  </si>
  <si>
    <t>146</t>
  </si>
  <si>
    <t>Солнечный муниципальный район</t>
  </si>
  <si>
    <t>08644000</t>
  </si>
  <si>
    <t>Амгуньское</t>
  </si>
  <si>
    <t>08644402</t>
  </si>
  <si>
    <t>147</t>
  </si>
  <si>
    <t>Березовское</t>
  </si>
  <si>
    <t>08644404</t>
  </si>
  <si>
    <t>148</t>
  </si>
  <si>
    <t>Горинское</t>
  </si>
  <si>
    <t>08644406</t>
  </si>
  <si>
    <t>149</t>
  </si>
  <si>
    <t>Горненское</t>
  </si>
  <si>
    <t>08644432</t>
  </si>
  <si>
    <t>150</t>
  </si>
  <si>
    <t>Джамкуское</t>
  </si>
  <si>
    <t>08644408</t>
  </si>
  <si>
    <t>151</t>
  </si>
  <si>
    <t>Дукинское</t>
  </si>
  <si>
    <t>08644410</t>
  </si>
  <si>
    <t>152</t>
  </si>
  <si>
    <t>Кондонское</t>
  </si>
  <si>
    <t>08644416</t>
  </si>
  <si>
    <t>153</t>
  </si>
  <si>
    <t>Поселок Солнечный</t>
  </si>
  <si>
    <t>08644151</t>
  </si>
  <si>
    <t>154</t>
  </si>
  <si>
    <t>155</t>
  </si>
  <si>
    <t>Харпичанское</t>
  </si>
  <si>
    <t>08644425</t>
  </si>
  <si>
    <t>156</t>
  </si>
  <si>
    <t>Хурмулинское</t>
  </si>
  <si>
    <t>08644428</t>
  </si>
  <si>
    <t>157</t>
  </si>
  <si>
    <t>Эворонское</t>
  </si>
  <si>
    <t>08644430</t>
  </si>
  <si>
    <t>158</t>
  </si>
  <si>
    <t>Тугуро-Чумиканский муниципальный район</t>
  </si>
  <si>
    <t>08646000</t>
  </si>
  <si>
    <t>Алгазеинское</t>
  </si>
  <si>
    <t>08646402</t>
  </si>
  <si>
    <t>159</t>
  </si>
  <si>
    <t>Межселенные территории, входящие в состав Тугуро-Чумиканского муниципального района, включающие метеостанцию Большой Шантар, метеостанцию Бурукаи и др.</t>
  </si>
  <si>
    <t>08646701</t>
  </si>
  <si>
    <t>160</t>
  </si>
  <si>
    <t>Торомское</t>
  </si>
  <si>
    <t>08646404</t>
  </si>
  <si>
    <t>161</t>
  </si>
  <si>
    <t>162</t>
  </si>
  <si>
    <t>Тугурское</t>
  </si>
  <si>
    <t>08646407</t>
  </si>
  <si>
    <t>163</t>
  </si>
  <si>
    <t>Удское</t>
  </si>
  <si>
    <t>08646410</t>
  </si>
  <si>
    <t>164</t>
  </si>
  <si>
    <t>село Чумикан</t>
  </si>
  <si>
    <t>08646411</t>
  </si>
  <si>
    <t>165</t>
  </si>
  <si>
    <t>Ульчский муниципальный район</t>
  </si>
  <si>
    <t>08650000</t>
  </si>
  <si>
    <t>Быстринское</t>
  </si>
  <si>
    <t>08650409</t>
  </si>
  <si>
    <t>166</t>
  </si>
  <si>
    <t>Де-Кастринское</t>
  </si>
  <si>
    <t>08650413</t>
  </si>
  <si>
    <t>167</t>
  </si>
  <si>
    <t>Дудинское</t>
  </si>
  <si>
    <t>08650416</t>
  </si>
  <si>
    <t>168</t>
  </si>
  <si>
    <t>Калиновское</t>
  </si>
  <si>
    <t>08650419</t>
  </si>
  <si>
    <t>169</t>
  </si>
  <si>
    <t>Киселевское</t>
  </si>
  <si>
    <t>08650422</t>
  </si>
  <si>
    <t>170</t>
  </si>
  <si>
    <t>Мариинское</t>
  </si>
  <si>
    <t>08650425</t>
  </si>
  <si>
    <t>171</t>
  </si>
  <si>
    <t>Нижнегаванское</t>
  </si>
  <si>
    <t>08650428</t>
  </si>
  <si>
    <t>172</t>
  </si>
  <si>
    <t>Савинское</t>
  </si>
  <si>
    <t>08650431</t>
  </si>
  <si>
    <t>173</t>
  </si>
  <si>
    <t>Санниковское</t>
  </si>
  <si>
    <t>08650434</t>
  </si>
  <si>
    <t>174</t>
  </si>
  <si>
    <t>Село Богородское</t>
  </si>
  <si>
    <t>08650401</t>
  </si>
  <si>
    <t>175</t>
  </si>
  <si>
    <t>Село Булава</t>
  </si>
  <si>
    <t>08650407</t>
  </si>
  <si>
    <t>176</t>
  </si>
  <si>
    <t>Солонцовское</t>
  </si>
  <si>
    <t>08650437</t>
  </si>
  <si>
    <t>177</t>
  </si>
  <si>
    <t>Софийское</t>
  </si>
  <si>
    <t>08650440</t>
  </si>
  <si>
    <t>178</t>
  </si>
  <si>
    <t>Сусанинское</t>
  </si>
  <si>
    <t>08650443</t>
  </si>
  <si>
    <t>179</t>
  </si>
  <si>
    <t>Тахтинское</t>
  </si>
  <si>
    <t>08650449</t>
  </si>
  <si>
    <t>180</t>
  </si>
  <si>
    <t>Тырское</t>
  </si>
  <si>
    <t>08650452</t>
  </si>
  <si>
    <t>181</t>
  </si>
  <si>
    <t>182</t>
  </si>
  <si>
    <t>Ухтинское</t>
  </si>
  <si>
    <t>08650455</t>
  </si>
  <si>
    <t>183</t>
  </si>
  <si>
    <t>Циммермановское</t>
  </si>
  <si>
    <t>08650458</t>
  </si>
  <si>
    <t>184</t>
  </si>
  <si>
    <t>08655000</t>
  </si>
  <si>
    <t>Анастасьевское</t>
  </si>
  <si>
    <t>08655402</t>
  </si>
  <si>
    <t>185</t>
  </si>
  <si>
    <t>Бычихинское</t>
  </si>
  <si>
    <t>08655407</t>
  </si>
  <si>
    <t>186</t>
  </si>
  <si>
    <t>Галкинское</t>
  </si>
  <si>
    <t>08655412</t>
  </si>
  <si>
    <t>188</t>
  </si>
  <si>
    <t>Елабужское</t>
  </si>
  <si>
    <t>08655416</t>
  </si>
  <si>
    <t>190</t>
  </si>
  <si>
    <t>Казакевичевское</t>
  </si>
  <si>
    <t>08655422</t>
  </si>
  <si>
    <t>192</t>
  </si>
  <si>
    <t>Князе-Волконское</t>
  </si>
  <si>
    <t>08655425</t>
  </si>
  <si>
    <t>193</t>
  </si>
  <si>
    <t>Корсаковское</t>
  </si>
  <si>
    <t>08655431</t>
  </si>
  <si>
    <t>194</t>
  </si>
  <si>
    <t>Куканское</t>
  </si>
  <si>
    <t>08655434</t>
  </si>
  <si>
    <t>195</t>
  </si>
  <si>
    <t>Малышевское</t>
  </si>
  <si>
    <t>08655437</t>
  </si>
  <si>
    <t>196</t>
  </si>
  <si>
    <t>Мичуринское</t>
  </si>
  <si>
    <t>08655443</t>
  </si>
  <si>
    <t>198</t>
  </si>
  <si>
    <t>Наумовское</t>
  </si>
  <si>
    <t>08655445</t>
  </si>
  <si>
    <t>199</t>
  </si>
  <si>
    <t>Новокуровское</t>
  </si>
  <si>
    <t>08655452</t>
  </si>
  <si>
    <t>201</t>
  </si>
  <si>
    <t>Осиновореченское</t>
  </si>
  <si>
    <t>08655453</t>
  </si>
  <si>
    <t>202</t>
  </si>
  <si>
    <t>Петропавловское</t>
  </si>
  <si>
    <t>08655455</t>
  </si>
  <si>
    <t>203</t>
  </si>
  <si>
    <t>Побединское</t>
  </si>
  <si>
    <t>08655458</t>
  </si>
  <si>
    <t>204</t>
  </si>
  <si>
    <t>Сергеевское</t>
  </si>
  <si>
    <t>08655460</t>
  </si>
  <si>
    <t>207</t>
  </si>
  <si>
    <t>Сикачи-Алянское</t>
  </si>
  <si>
    <t>08655462</t>
  </si>
  <si>
    <t>208</t>
  </si>
  <si>
    <t>Улика-Национальное</t>
  </si>
  <si>
    <t>08655467</t>
  </si>
  <si>
    <t>210</t>
  </si>
  <si>
    <t>211</t>
  </si>
  <si>
    <t>Челнинское</t>
  </si>
  <si>
    <t>08655473</t>
  </si>
  <si>
    <t>212</t>
  </si>
  <si>
    <t>им. Лазо муниципальный район</t>
  </si>
  <si>
    <t>08624000</t>
  </si>
  <si>
    <t>Бичевское</t>
  </si>
  <si>
    <t>08624402</t>
  </si>
  <si>
    <t>213</t>
  </si>
  <si>
    <t>Гвасюгинское</t>
  </si>
  <si>
    <t>08624407</t>
  </si>
  <si>
    <t>214</t>
  </si>
  <si>
    <t>Георгиевское</t>
  </si>
  <si>
    <t>08624404</t>
  </si>
  <si>
    <t>215</t>
  </si>
  <si>
    <t>Долминское</t>
  </si>
  <si>
    <t>08624410</t>
  </si>
  <si>
    <t>216</t>
  </si>
  <si>
    <t>Дурминское</t>
  </si>
  <si>
    <t>08624413</t>
  </si>
  <si>
    <t>217</t>
  </si>
  <si>
    <t>Золотинское</t>
  </si>
  <si>
    <t>08624416</t>
  </si>
  <si>
    <t>218</t>
  </si>
  <si>
    <t>Кондратьевское</t>
  </si>
  <si>
    <t>08624422</t>
  </si>
  <si>
    <t>219</t>
  </si>
  <si>
    <t>Кругликовское</t>
  </si>
  <si>
    <t>08624425</t>
  </si>
  <si>
    <t>220</t>
  </si>
  <si>
    <t>Марусинское</t>
  </si>
  <si>
    <t>08624428</t>
  </si>
  <si>
    <t>221</t>
  </si>
  <si>
    <t>Могилевское</t>
  </si>
  <si>
    <t>08624431</t>
  </si>
  <si>
    <t>222</t>
  </si>
  <si>
    <t>Оборское</t>
  </si>
  <si>
    <t>08624434</t>
  </si>
  <si>
    <t>223</t>
  </si>
  <si>
    <t>Полетнинское</t>
  </si>
  <si>
    <t>08624437</t>
  </si>
  <si>
    <t>224</t>
  </si>
  <si>
    <t>Поселок Мухен</t>
  </si>
  <si>
    <t>08624154</t>
  </si>
  <si>
    <t>225</t>
  </si>
  <si>
    <t>Поселок Переяславка</t>
  </si>
  <si>
    <t>08624151</t>
  </si>
  <si>
    <t>226</t>
  </si>
  <si>
    <t>Поселок Хор</t>
  </si>
  <si>
    <t>08624157</t>
  </si>
  <si>
    <t>227</t>
  </si>
  <si>
    <t>Святогорское</t>
  </si>
  <si>
    <t>08624440</t>
  </si>
  <si>
    <t>228</t>
  </si>
  <si>
    <t>Сидиминское</t>
  </si>
  <si>
    <t>08624443</t>
  </si>
  <si>
    <t>229</t>
  </si>
  <si>
    <t>Ситинское</t>
  </si>
  <si>
    <t>08624446</t>
  </si>
  <si>
    <t>230</t>
  </si>
  <si>
    <t>Сукпайское</t>
  </si>
  <si>
    <t>08624450</t>
  </si>
  <si>
    <t>231</t>
  </si>
  <si>
    <t>Черняевское</t>
  </si>
  <si>
    <t>08624452</t>
  </si>
  <si>
    <t>232</t>
  </si>
  <si>
    <t>233</t>
  </si>
  <si>
    <t>им. Полины Осипенко муниципальный район</t>
  </si>
  <si>
    <t>08637000</t>
  </si>
  <si>
    <t>Бриаканское</t>
  </si>
  <si>
    <t>08637402</t>
  </si>
  <si>
    <t>234</t>
  </si>
  <si>
    <t>Владимировское</t>
  </si>
  <si>
    <t>08637404</t>
  </si>
  <si>
    <t>235</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</si>
  <si>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</si>
  <si>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</si>
  <si>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236</t>
  </si>
  <si>
    <t>Удинское</t>
  </si>
  <si>
    <t>08637416</t>
  </si>
  <si>
    <t>237</t>
  </si>
  <si>
    <t>Херпучинское</t>
  </si>
  <si>
    <t>08637419</t>
  </si>
  <si>
    <t>238</t>
  </si>
  <si>
    <t>им. Полины Осипенко</t>
  </si>
  <si>
    <t>08637406</t>
  </si>
  <si>
    <t>239</t>
  </si>
  <si>
    <t>240</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</si>
  <si>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</si>
  <si>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</si>
  <si>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</si>
  <si>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</si>
  <si>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</si>
  <si>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</si>
  <si>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</si>
  <si>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</si>
  <si>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</si>
  <si>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</si>
  <si>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</si>
  <si>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</si>
  <si>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</si>
  <si>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</si>
  <si>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</si>
  <si>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</si>
  <si>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</si>
  <si>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</si>
  <si>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</si>
  <si>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</si>
  <si>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</si>
  <si>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</si>
  <si>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</si>
  <si>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</si>
  <si>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</si>
  <si>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</si>
  <si>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</si>
  <si>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</si>
  <si>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</si>
  <si>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</si>
  <si>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</si>
  <si>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</si>
  <si>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</si>
  <si>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</si>
  <si>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</si>
  <si>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</si>
  <si>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</si>
  <si>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</si>
  <si>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</si>
  <si>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</si>
  <si>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</si>
  <si>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</si>
  <si>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</si>
  <si>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</si>
  <si>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</si>
  <si>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</si>
  <si>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</si>
  <si>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</si>
  <si>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</si>
  <si>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</si>
  <si>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</si>
  <si>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</si>
  <si>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</si>
  <si>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</si>
  <si>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</si>
  <si>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</si>
  <si>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</si>
  <si>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</si>
  <si>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</si>
  <si>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</si>
  <si>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31.12.2030</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</si>
  <si>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</si>
  <si>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</si>
  <si>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</si>
  <si>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</si>
  <si>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</si>
  <si>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</si>
  <si>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</si>
  <si>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</si>
  <si>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</si>
  <si>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</si>
  <si>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</si>
  <si>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</si>
  <si>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</si>
  <si>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</si>
  <si>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</si>
  <si>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</si>
  <si>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</si>
  <si>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</si>
  <si>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</si>
  <si>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</si>
  <si>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</si>
  <si>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</si>
  <si>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</si>
  <si>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</si>
  <si>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</si>
  <si>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</si>
  <si>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</si>
  <si>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</si>
  <si>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</si>
  <si>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</si>
  <si>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</si>
  <si>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</si>
  <si>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</si>
  <si>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</si>
  <si>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</si>
  <si>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</si>
  <si>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</si>
  <si>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</si>
  <si>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</si>
  <si>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31.12.2031</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</si>
  <si>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</si>
  <si>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</si>
  <si>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</si>
  <si>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</si>
  <si>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</si>
  <si>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</si>
  <si>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</si>
  <si>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31.12.2040</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</si>
  <si>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</si>
  <si>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</si>
  <si>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</si>
  <si>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</si>
  <si>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</si>
  <si>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</si>
  <si>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</si>
  <si>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</si>
  <si>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</si>
  <si>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</si>
  <si>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</si>
  <si>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</si>
  <si>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</si>
  <si>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</si>
  <si>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</si>
  <si>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</si>
  <si>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</si>
  <si>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</si>
  <si>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</si>
  <si>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</si>
  <si>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Территория 2</t>
  </si>
  <si>
    <t>Территория 3</t>
  </si>
  <si>
    <t>Территория 4</t>
  </si>
  <si>
    <t>Территория 5</t>
  </si>
  <si>
    <t>Территория 6</t>
  </si>
  <si>
    <t>Территория 7</t>
  </si>
  <si>
    <t>Территория 8</t>
  </si>
  <si>
    <t>Территория 9</t>
  </si>
  <si>
    <t>Территория 10</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</si>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</sst>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94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tarovetckaya-av@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E6786-6B41-6FED-E9CC-0.07B69A7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938" width="5.421875" customWidth="1"/>
    <col min="2" max="2" style="2938" width="9.140625" customWidth="1"/>
    <col min="3" max="3" style="2938" width="16.421875" customWidth="1"/>
    <col min="4" max="25" style="2938" width="6.28125" customWidth="1"/>
    <col min="26" max="28" style="2938" width="11.00390625"/>
  </cols>
  <sheetData>
    <row customHeight="1" ht="15.75">
      <c r="A1" s="1724"/>
      <c r="B1" s="1725"/>
      <c r="C1" s="1725"/>
      <c r="D1" s="1725"/>
      <c r="E1" s="1725"/>
      <c r="F1" s="1725"/>
      <c r="G1" s="1725"/>
      <c r="H1" s="1725"/>
      <c r="I1" s="1725"/>
      <c r="J1" s="1725"/>
      <c r="K1" s="1725"/>
      <c r="L1" s="1725"/>
      <c r="M1" s="1725"/>
      <c r="N1" s="1725"/>
      <c r="O1" s="1725"/>
      <c r="P1" s="1725"/>
      <c r="Q1" s="1725"/>
      <c r="R1" s="1725"/>
      <c r="S1" s="1725"/>
      <c r="T1" s="1725"/>
      <c r="U1" s="1725"/>
      <c r="V1" s="1725"/>
      <c r="W1" s="1725"/>
      <c r="X1" s="1725"/>
      <c r="Y1" s="1726"/>
      <c r="Z1" s="1725"/>
      <c r="AA1" s="1727" t="s">
        <v>0</v>
      </c>
      <c r="AB1" s="1725"/>
    </row>
    <row customHeight="1" ht="17.25">
      <c r="A2" s="1725"/>
      <c r="B2" s="2101" t="s">
        <v>1</v>
      </c>
      <c r="C2" s="2101"/>
      <c r="D2" s="2101"/>
      <c r="E2" s="2101"/>
      <c r="F2" s="2101"/>
      <c r="G2" s="2101"/>
      <c r="H2" s="2101"/>
      <c r="I2" s="2101"/>
      <c r="J2" s="2101"/>
      <c r="K2" s="2101"/>
      <c r="L2" s="2101"/>
      <c r="M2" s="2101"/>
      <c r="N2" s="2101"/>
      <c r="O2" s="2101"/>
      <c r="P2" s="2101"/>
      <c r="Q2" s="1729"/>
      <c r="R2" s="1729"/>
      <c r="S2" s="1729"/>
      <c r="T2" s="1729"/>
      <c r="U2" s="1729"/>
      <c r="V2" s="1730"/>
      <c r="W2" s="1729"/>
      <c r="X2" s="1729"/>
      <c r="Y2" s="1726"/>
      <c r="Z2" s="1725"/>
      <c r="AA2" s="1727"/>
      <c r="AB2" s="1725"/>
    </row>
    <row customHeight="1" ht="15.75">
      <c r="A3" s="1725"/>
      <c r="B3" s="2102" t="s">
        <v>2</v>
      </c>
      <c r="C3" s="2102"/>
      <c r="D3" s="2102"/>
      <c r="E3" s="2102"/>
      <c r="F3" s="2102"/>
      <c r="G3" s="2102"/>
      <c r="H3" s="2102"/>
      <c r="I3" s="2102"/>
      <c r="J3" s="2102"/>
      <c r="K3" s="2102"/>
      <c r="L3" s="2102"/>
      <c r="M3" s="2102"/>
      <c r="N3" s="2102"/>
      <c r="O3" s="2102"/>
      <c r="P3" s="2102"/>
      <c r="Q3" s="1730"/>
      <c r="R3" s="1730"/>
      <c r="S3" s="1729"/>
      <c r="T3" s="1729"/>
      <c r="U3" s="1729"/>
      <c r="V3" s="1730"/>
      <c r="W3" s="1730"/>
      <c r="X3" s="1730"/>
      <c r="Y3" s="1730"/>
      <c r="Z3" s="1725"/>
      <c r="AA3" s="1727"/>
      <c r="AB3" s="1725"/>
    </row>
    <row customHeight="1" ht="17.25">
      <c r="A4" s="1725"/>
      <c r="B4" s="1731"/>
      <c r="C4" s="1725"/>
      <c r="D4" s="1730"/>
      <c r="E4" s="1730"/>
      <c r="F4" s="1730"/>
      <c r="G4" s="1730"/>
      <c r="H4" s="1730"/>
      <c r="I4" s="1730"/>
      <c r="J4" s="1730"/>
      <c r="K4" s="1730"/>
      <c r="L4" s="1730"/>
      <c r="M4" s="1730"/>
      <c r="N4" s="1730"/>
      <c r="O4" s="1730"/>
      <c r="P4" s="1730"/>
      <c r="Q4" s="1730"/>
      <c r="R4" s="1730"/>
      <c r="S4" s="1730"/>
      <c r="T4" s="1730"/>
      <c r="U4" s="1730"/>
      <c r="V4" s="1730"/>
      <c r="W4" s="1730"/>
      <c r="X4" s="1730"/>
      <c r="Y4" s="1730"/>
      <c r="Z4" s="1725"/>
      <c r="AA4" s="1727"/>
      <c r="AB4" s="1725"/>
    </row>
    <row customHeight="1" ht="22.5">
      <c r="A5" s="1732"/>
      <c r="B5" s="210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104"/>
      <c r="D5" s="2104"/>
      <c r="E5" s="2104"/>
      <c r="F5" s="2104"/>
      <c r="G5" s="2104"/>
      <c r="H5" s="2104"/>
      <c r="I5" s="2104"/>
      <c r="J5" s="2104"/>
      <c r="K5" s="2104"/>
      <c r="L5" s="2104"/>
      <c r="M5" s="2104"/>
      <c r="N5" s="2104"/>
      <c r="O5" s="2104"/>
      <c r="P5" s="2104"/>
      <c r="Q5" s="2104"/>
      <c r="R5" s="2104"/>
      <c r="S5" s="2104"/>
      <c r="T5" s="2104"/>
      <c r="U5" s="2104"/>
      <c r="V5" s="2104"/>
      <c r="W5" s="2104"/>
      <c r="X5" s="2104"/>
      <c r="Y5" s="2105"/>
      <c r="Z5" s="1732"/>
      <c r="AA5" s="1727"/>
      <c r="AB5" s="1732"/>
    </row>
    <row customHeight="1" ht="15">
      <c r="A6" s="1733"/>
      <c r="B6" s="2106" t="s">
        <v>3</v>
      </c>
      <c r="C6" s="2107"/>
      <c r="D6" s="1734"/>
      <c r="E6" s="1734"/>
      <c r="F6" s="1734"/>
      <c r="G6" s="1734"/>
      <c r="H6" s="1734"/>
      <c r="I6" s="1734"/>
      <c r="J6" s="1734"/>
      <c r="K6" s="1734"/>
      <c r="L6" s="1734"/>
      <c r="M6" s="1734"/>
      <c r="N6" s="1734"/>
      <c r="O6" s="1734"/>
      <c r="P6" s="1734"/>
      <c r="Q6" s="1734"/>
      <c r="R6" s="1734"/>
      <c r="S6" s="1734"/>
      <c r="T6" s="1734"/>
      <c r="U6" s="1734"/>
      <c r="V6" s="1734"/>
      <c r="W6" s="1734"/>
      <c r="X6" s="1734"/>
      <c r="Y6" s="1735"/>
      <c r="Z6" s="1736"/>
      <c r="AA6" s="1737"/>
      <c r="AB6" s="1737"/>
    </row>
    <row customHeight="1" ht="15">
      <c r="A7" s="1733"/>
      <c r="B7" s="2106"/>
      <c r="C7" s="2107"/>
      <c r="D7" s="1734"/>
      <c r="E7" s="1734"/>
      <c r="F7" s="1738"/>
      <c r="G7" s="1738"/>
      <c r="H7" s="1738"/>
      <c r="I7" s="1738"/>
      <c r="J7" s="1738"/>
      <c r="K7" s="1738"/>
      <c r="L7" s="1738"/>
      <c r="M7" s="1738"/>
      <c r="N7" s="1738"/>
      <c r="O7" s="1734"/>
      <c r="P7" s="1738"/>
      <c r="Q7" s="1738"/>
      <c r="R7" s="1738"/>
      <c r="S7" s="1738"/>
      <c r="T7" s="1738"/>
      <c r="U7" s="1738"/>
      <c r="V7" s="1738"/>
      <c r="W7" s="1738"/>
      <c r="X7" s="1738"/>
      <c r="Y7" s="1735"/>
      <c r="Z7" s="1736"/>
      <c r="AA7" s="1737"/>
      <c r="AB7" s="1737"/>
    </row>
    <row customHeight="1" ht="15">
      <c r="A8" s="1733"/>
      <c r="B8" s="2106"/>
      <c r="C8" s="2107"/>
      <c r="D8" s="1739"/>
      <c r="E8" s="1740" t="s">
        <v>4</v>
      </c>
      <c r="F8" s="2109" t="s">
        <v>5</v>
      </c>
      <c r="G8" s="2110"/>
      <c r="H8" s="2110"/>
      <c r="I8" s="2110"/>
      <c r="J8" s="2110"/>
      <c r="K8" s="2110"/>
      <c r="L8" s="2110"/>
      <c r="M8" s="2110"/>
      <c r="N8" s="1739"/>
      <c r="O8" s="1741" t="s">
        <v>4</v>
      </c>
      <c r="P8" s="2111" t="s">
        <v>6</v>
      </c>
      <c r="Q8" s="2112"/>
      <c r="R8" s="2112"/>
      <c r="S8" s="2112"/>
      <c r="T8" s="2112"/>
      <c r="U8" s="2112"/>
      <c r="V8" s="2112"/>
      <c r="W8" s="2112"/>
      <c r="X8" s="2112"/>
      <c r="Y8" s="1735"/>
      <c r="Z8" s="1736"/>
      <c r="AA8" s="1737"/>
      <c r="AB8" s="1737"/>
    </row>
    <row customHeight="1" ht="15">
      <c r="A9" s="1733"/>
      <c r="B9" s="2106"/>
      <c r="C9" s="2107"/>
      <c r="D9" s="1739"/>
      <c r="E9" s="1742" t="s">
        <v>4</v>
      </c>
      <c r="F9" s="2109" t="s">
        <v>7</v>
      </c>
      <c r="G9" s="2110"/>
      <c r="H9" s="2110"/>
      <c r="I9" s="2110"/>
      <c r="J9" s="2110"/>
      <c r="K9" s="2110"/>
      <c r="L9" s="2110"/>
      <c r="M9" s="2110"/>
      <c r="N9" s="1739"/>
      <c r="O9" s="1743" t="s">
        <v>4</v>
      </c>
      <c r="P9" s="2111" t="s">
        <v>8</v>
      </c>
      <c r="Q9" s="2112"/>
      <c r="R9" s="2112"/>
      <c r="S9" s="2112"/>
      <c r="T9" s="2112"/>
      <c r="U9" s="2112"/>
      <c r="V9" s="2112"/>
      <c r="W9" s="2112"/>
      <c r="X9" s="2112"/>
      <c r="Y9" s="1735"/>
      <c r="Z9" s="1736"/>
      <c r="AA9" s="1737"/>
      <c r="AB9" s="1737"/>
    </row>
    <row customHeight="1" ht="30">
      <c r="A10" s="1733"/>
      <c r="B10" s="2106"/>
      <c r="C10" s="2108"/>
      <c r="D10" s="1744"/>
      <c r="E10" s="1745"/>
      <c r="F10" s="1738"/>
      <c r="G10" s="1738"/>
      <c r="H10" s="1738"/>
      <c r="I10" s="1738"/>
      <c r="J10" s="1738"/>
      <c r="K10" s="1738"/>
      <c r="L10" s="1738"/>
      <c r="M10" s="1738"/>
      <c r="N10" s="1738"/>
      <c r="O10" s="1745"/>
      <c r="P10" s="1738"/>
      <c r="Q10" s="1738"/>
      <c r="R10" s="1738"/>
      <c r="S10" s="1738"/>
      <c r="T10" s="1738"/>
      <c r="U10" s="1738"/>
      <c r="V10" s="1738"/>
      <c r="W10" s="1738"/>
      <c r="X10" s="1738"/>
      <c r="Y10" s="1735"/>
      <c r="Z10" s="1736"/>
      <c r="AA10" s="1737"/>
      <c r="AB10" s="1737"/>
    </row>
    <row customHeight="1" ht="19.5">
      <c r="A11" s="1733"/>
      <c r="B11" s="2113" t="s">
        <v>9</v>
      </c>
      <c r="C11" s="2114"/>
      <c r="D11" s="1739"/>
      <c r="E11" s="1746"/>
      <c r="F11" s="1746"/>
      <c r="G11" s="1746"/>
      <c r="H11" s="1746"/>
      <c r="I11" s="1746"/>
      <c r="J11" s="1746"/>
      <c r="K11" s="1746"/>
      <c r="L11" s="1746"/>
      <c r="M11" s="1746"/>
      <c r="N11" s="1746"/>
      <c r="O11" s="1746"/>
      <c r="P11" s="1746"/>
      <c r="Q11" s="1746"/>
      <c r="R11" s="1746"/>
      <c r="S11" s="1746"/>
      <c r="T11" s="1746"/>
      <c r="U11" s="1746"/>
      <c r="V11" s="1746"/>
      <c r="W11" s="1746"/>
      <c r="X11" s="1746"/>
      <c r="Y11" s="1735"/>
      <c r="Z11" s="1736"/>
      <c r="AA11" s="1737"/>
      <c r="AB11" s="1737"/>
    </row>
    <row customHeight="1" ht="69">
      <c r="A12" s="1733"/>
      <c r="B12" s="2106"/>
      <c r="C12" s="2108"/>
      <c r="D12" s="1747"/>
      <c r="E12" s="2110" t="s">
        <v>10</v>
      </c>
      <c r="F12" s="2110"/>
      <c r="G12" s="2110"/>
      <c r="H12" s="2110"/>
      <c r="I12" s="2110"/>
      <c r="J12" s="2110"/>
      <c r="K12" s="2110"/>
      <c r="L12" s="2110"/>
      <c r="M12" s="2110"/>
      <c r="N12" s="2110"/>
      <c r="O12" s="2110"/>
      <c r="P12" s="2110"/>
      <c r="Q12" s="2110"/>
      <c r="R12" s="2110"/>
      <c r="S12" s="2110"/>
      <c r="T12" s="2110"/>
      <c r="U12" s="2110"/>
      <c r="V12" s="2110"/>
      <c r="W12" s="2110"/>
      <c r="X12" s="2110"/>
      <c r="Y12" s="1735"/>
      <c r="Z12" s="1736"/>
      <c r="AA12" s="1737"/>
      <c r="AB12" s="1737"/>
    </row>
    <row customHeight="1" ht="15">
      <c r="A13" s="1733"/>
      <c r="B13" s="2113" t="s">
        <v>11</v>
      </c>
      <c r="C13" s="2114"/>
      <c r="D13" s="1734"/>
      <c r="E13" s="1746"/>
      <c r="F13" s="1746"/>
      <c r="G13" s="1746"/>
      <c r="H13" s="1746"/>
      <c r="I13" s="1746"/>
      <c r="J13" s="1746"/>
      <c r="K13" s="1746"/>
      <c r="L13" s="1746"/>
      <c r="M13" s="1746"/>
      <c r="N13" s="1746"/>
      <c r="O13" s="1746"/>
      <c r="P13" s="1746"/>
      <c r="Q13" s="1746"/>
      <c r="R13" s="1746"/>
      <c r="S13" s="1746"/>
      <c r="T13" s="1746"/>
      <c r="U13" s="1746"/>
      <c r="V13" s="1746"/>
      <c r="W13" s="1746"/>
      <c r="X13" s="1746"/>
      <c r="Y13" s="1735"/>
      <c r="Z13" s="1736"/>
      <c r="AA13" s="1737"/>
      <c r="AB13" s="1737"/>
    </row>
    <row customHeight="1" ht="57">
      <c r="A14" s="1733"/>
      <c r="B14" s="2106"/>
      <c r="C14" s="2107"/>
      <c r="D14" s="1739"/>
      <c r="E14" s="2117" t="s">
        <v>12</v>
      </c>
      <c r="F14" s="2117"/>
      <c r="G14" s="2117"/>
      <c r="H14" s="2117"/>
      <c r="I14" s="2117"/>
      <c r="J14" s="2117"/>
      <c r="K14" s="2117"/>
      <c r="L14" s="2117"/>
      <c r="M14" s="2117"/>
      <c r="N14" s="2117"/>
      <c r="O14" s="2117"/>
      <c r="P14" s="2117"/>
      <c r="Q14" s="2117"/>
      <c r="R14" s="2117"/>
      <c r="S14" s="2117"/>
      <c r="T14" s="2117"/>
      <c r="U14" s="2117"/>
      <c r="V14" s="2117"/>
      <c r="W14" s="2117"/>
      <c r="X14" s="2117"/>
      <c r="Y14" s="1735"/>
      <c r="Z14" s="1736"/>
      <c r="AA14" s="1737"/>
      <c r="AB14" s="1737"/>
    </row>
    <row customHeight="1" ht="16.5">
      <c r="A15" s="1733"/>
      <c r="B15" s="2115"/>
      <c r="C15" s="2116"/>
      <c r="D15" s="1748"/>
      <c r="E15" s="1749"/>
      <c r="F15" s="1749"/>
      <c r="G15" s="1749"/>
      <c r="H15" s="1749"/>
      <c r="I15" s="1749"/>
      <c r="J15" s="1749"/>
      <c r="K15" s="1749"/>
      <c r="L15" s="1749"/>
      <c r="M15" s="1749"/>
      <c r="N15" s="1749"/>
      <c r="O15" s="1749"/>
      <c r="P15" s="1749"/>
      <c r="Q15" s="1749"/>
      <c r="R15" s="1749"/>
      <c r="S15" s="1749"/>
      <c r="T15" s="1749"/>
      <c r="U15" s="1749"/>
      <c r="V15" s="1749"/>
      <c r="W15" s="1749"/>
      <c r="X15" s="1749"/>
      <c r="Y15" s="1750"/>
      <c r="Z15" s="1736"/>
      <c r="AA15" s="1751"/>
      <c r="AB15" s="1737"/>
    </row>
    <row customHeight="1" ht="95.25">
      <c r="A16" s="1725"/>
      <c r="B16" s="2117"/>
      <c r="C16" s="2118"/>
      <c r="D16" s="2118"/>
      <c r="E16" s="2118"/>
      <c r="F16" s="2118"/>
      <c r="G16" s="2118"/>
      <c r="H16" s="2118"/>
      <c r="I16" s="2118"/>
      <c r="J16" s="2118"/>
      <c r="K16" s="2118"/>
      <c r="L16" s="2118"/>
      <c r="M16" s="2118"/>
      <c r="N16" s="2118"/>
      <c r="O16" s="2118"/>
      <c r="P16" s="2118"/>
      <c r="Q16" s="2118"/>
      <c r="R16" s="2118"/>
      <c r="S16" s="2118"/>
      <c r="T16" s="2118"/>
      <c r="U16" s="2118"/>
      <c r="V16" s="2118"/>
      <c r="W16" s="2118"/>
      <c r="X16" s="2118"/>
      <c r="Y16" s="2118"/>
      <c r="Z16" s="1725"/>
      <c r="AA16" s="1727"/>
      <c r="AB16" s="1725"/>
    </row>
    <row customHeight="1" ht="14.25">
      <c r="A17" s="1725"/>
      <c r="B17" s="1725"/>
      <c r="C17" s="1725"/>
      <c r="D17" s="1725"/>
      <c r="E17" s="1725"/>
      <c r="F17" s="1725"/>
      <c r="G17" s="1725"/>
      <c r="H17" s="1725"/>
      <c r="I17" s="1725"/>
      <c r="J17" s="1725"/>
      <c r="K17" s="1725"/>
      <c r="L17" s="1725"/>
      <c r="M17" s="1725"/>
      <c r="N17" s="1725"/>
      <c r="O17" s="1725"/>
      <c r="P17" s="1725"/>
      <c r="Q17" s="1725"/>
      <c r="R17" s="1725"/>
      <c r="S17" s="1725"/>
      <c r="T17" s="1725"/>
      <c r="U17" s="1725"/>
      <c r="V17" s="1725"/>
      <c r="W17" s="1725"/>
      <c r="X17" s="1725"/>
      <c r="Y17" s="1726"/>
      <c r="Z17" s="1725"/>
      <c r="AA17" s="1727"/>
      <c r="AB17" s="1725"/>
    </row>
    <row customHeight="1" ht="14.25">
      <c r="A18" s="1725"/>
      <c r="B18" s="1725"/>
      <c r="C18" s="1725"/>
      <c r="D18" s="1725"/>
      <c r="E18" s="1725"/>
      <c r="F18" s="1725"/>
      <c r="G18" s="1725"/>
      <c r="H18" s="1725"/>
      <c r="I18" s="1725"/>
      <c r="J18" s="1725"/>
      <c r="K18" s="1725"/>
      <c r="L18" s="1725"/>
      <c r="M18" s="1725"/>
      <c r="N18" s="1725"/>
      <c r="O18" s="1725"/>
      <c r="P18" s="1725"/>
      <c r="Q18" s="1725"/>
      <c r="R18" s="1725"/>
      <c r="S18" s="1725"/>
      <c r="T18" s="1725"/>
      <c r="U18" s="1725"/>
      <c r="V18" s="1725"/>
      <c r="W18" s="1725"/>
      <c r="X18" s="1725"/>
      <c r="Y18" s="1726"/>
      <c r="Z18" s="1725"/>
      <c r="AA18" s="1727"/>
      <c r="AB18" s="1725"/>
    </row>
    <row customHeight="1" ht="14.25">
      <c r="A19" s="1725"/>
      <c r="B19" s="1725"/>
      <c r="C19" s="1725"/>
      <c r="D19" s="1725"/>
      <c r="E19" s="1725"/>
      <c r="F19" s="1725"/>
      <c r="G19" s="1725"/>
      <c r="H19" s="1725"/>
      <c r="I19" s="1725"/>
      <c r="J19" s="1725"/>
      <c r="K19" s="1725"/>
      <c r="L19" s="1725"/>
      <c r="M19" s="1725"/>
      <c r="N19" s="1725"/>
      <c r="O19" s="1725"/>
      <c r="P19" s="1725"/>
      <c r="Q19" s="1725"/>
      <c r="R19" s="1725"/>
      <c r="S19" s="1725"/>
      <c r="T19" s="1725"/>
      <c r="U19" s="1725"/>
      <c r="V19" s="1725"/>
      <c r="W19" s="1725"/>
      <c r="X19" s="1725"/>
      <c r="Y19" s="1726"/>
      <c r="Z19" s="1725"/>
      <c r="AA19" s="1727"/>
      <c r="AB19" s="1725"/>
    </row>
    <row customHeight="1" ht="14.25">
      <c r="A20" s="1725"/>
      <c r="B20" s="1725"/>
      <c r="C20" s="1725"/>
      <c r="D20" s="1725"/>
      <c r="E20" s="1725"/>
      <c r="F20" s="1725"/>
      <c r="G20" s="1725"/>
      <c r="H20" s="1725"/>
      <c r="I20" s="1725"/>
      <c r="J20" s="1725"/>
      <c r="K20" s="1725"/>
      <c r="L20" s="1725"/>
      <c r="M20" s="1725"/>
      <c r="N20" s="1725"/>
      <c r="O20" s="1725"/>
      <c r="P20" s="1725"/>
      <c r="Q20" s="1725"/>
      <c r="R20" s="1725"/>
      <c r="S20" s="1725"/>
      <c r="T20" s="1725"/>
      <c r="U20" s="1725"/>
      <c r="V20" s="1725"/>
      <c r="W20" s="1725"/>
      <c r="X20" s="1725"/>
      <c r="Y20" s="1726"/>
      <c r="Z20" s="1725"/>
      <c r="AA20" s="1727"/>
      <c r="AB20" s="1725"/>
    </row>
    <row customHeight="1" ht="14.25">
      <c r="A21" s="1725"/>
      <c r="B21" s="1725"/>
      <c r="C21" s="1725"/>
      <c r="D21" s="1725"/>
      <c r="E21" s="1725"/>
      <c r="F21" s="1725"/>
      <c r="G21" s="1725"/>
      <c r="H21" s="1725"/>
      <c r="I21" s="1725"/>
      <c r="J21" s="1725"/>
      <c r="K21" s="1725"/>
      <c r="L21" s="1725"/>
      <c r="M21" s="1725"/>
      <c r="N21" s="1725"/>
      <c r="O21" s="1725"/>
      <c r="P21" s="1725"/>
      <c r="Q21" s="1725"/>
      <c r="R21" s="1725"/>
      <c r="S21" s="1725"/>
      <c r="T21" s="1725"/>
      <c r="U21" s="1725"/>
      <c r="V21" s="1725"/>
      <c r="W21" s="1725"/>
      <c r="X21" s="1725"/>
      <c r="Y21" s="1726"/>
      <c r="Z21" s="1725"/>
      <c r="AA21" s="1727"/>
      <c r="AB21" s="1725"/>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38C5FF-9263-9626-D968-0.9AF78831}"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56" width="9.140625" hidden="1" customWidth="1"/>
    <col min="2" max="3" style="1659" width="9.140625" hidden="1" customWidth="1"/>
    <col min="4" max="4" style="1866" width="3.00390625" customWidth="1"/>
    <col min="5" max="5" style="1659" width="6.00390625" customWidth="1"/>
    <col min="6" max="6" style="1659" width="1.7109375" hidden="1" customWidth="1"/>
    <col min="7" max="8" style="1659" width="30.00390625" customWidth="1"/>
    <col min="9" max="9" style="1659" width="8.00390625" customWidth="1"/>
    <col min="10" max="10" style="1659" width="12.140625" customWidth="1"/>
    <col min="11" max="11" style="1659" width="46.00390625" customWidth="1"/>
    <col min="12" max="12" style="1659" width="100.00390625" customWidth="1"/>
    <col min="13" max="13" style="1843" width="7.00390625" customWidth="1"/>
    <col min="14" max="22" style="1659" width="10.00390625" customWidth="1"/>
    <col min="23" max="23" style="1659" width="10.57421875" hidden="1"/>
  </cols>
  <sheetData>
    <row s="1666" customFormat="1" customHeight="1" ht="5.25" hidden="1">
      <c r="C1" s="535"/>
      <c r="D1" s="518"/>
      <c r="F1" s="535"/>
      <c r="G1" s="513" t="s">
        <v>83</v>
      </c>
      <c r="H1" s="513" t="s">
        <v>84</v>
      </c>
      <c r="I1" s="513" t="s">
        <v>85</v>
      </c>
      <c r="P1" s="513" t="s">
        <v>83</v>
      </c>
      <c r="Q1" s="513" t="s">
        <v>84</v>
      </c>
      <c r="R1" s="513" t="s">
        <v>85</v>
      </c>
      <c r="W1" s="513" t="s">
        <v>14</v>
      </c>
    </row>
    <row s="1666" customFormat="1" customHeight="1" ht="5.25" hidden="1">
      <c r="C2" s="535"/>
      <c r="D2" s="518"/>
      <c r="F2" s="535"/>
      <c r="W2" s="513">
        <v>0</v>
      </c>
    </row>
    <row s="1636" customFormat="1" customHeight="1" ht="5.25">
      <c r="A3" s="503"/>
      <c r="D3" s="510"/>
      <c r="E3" s="505"/>
      <c r="F3" s="505"/>
      <c r="G3" s="505"/>
      <c r="H3" s="505"/>
      <c r="I3" s="506"/>
      <c r="J3" s="507"/>
      <c r="K3" s="507"/>
      <c r="L3" s="507"/>
      <c r="W3" s="504">
        <v>5</v>
      </c>
    </row>
    <row customHeight="1" ht="23.25">
      <c r="D4" s="474"/>
      <c r="E4" s="2262" t="s">
        <v>472</v>
      </c>
      <c r="F4" s="2262"/>
      <c r="G4" s="2263"/>
      <c r="H4" s="2263"/>
      <c r="I4" s="2264"/>
      <c r="J4" s="515"/>
      <c r="K4" s="477"/>
      <c r="L4" s="477"/>
      <c r="W4" s="471">
        <v>22</v>
      </c>
    </row>
    <row s="1659" customFormat="1" customHeight="1" ht="18">
      <c r="A5" s="783"/>
      <c r="D5" s="846"/>
      <c r="E5" s="2238" t="str">
        <f>IF(org=0,"Не определено",org)</f>
        <v>АО "ДГК"</v>
      </c>
      <c r="F5" s="2238"/>
      <c r="G5" s="2239"/>
      <c r="H5" s="2239"/>
      <c r="I5" s="2240"/>
      <c r="J5" s="515"/>
      <c r="K5" s="477"/>
      <c r="L5" s="477"/>
      <c r="M5" s="531"/>
      <c r="W5" s="782">
        <v>17</v>
      </c>
    </row>
    <row s="1636" customFormat="1" customHeight="1" ht="11.549999999999999">
      <c r="A6" s="503"/>
      <c r="D6" s="510"/>
      <c r="E6" s="505"/>
      <c r="F6" s="505"/>
      <c r="G6" s="508"/>
      <c r="H6" s="508"/>
      <c r="I6" s="509"/>
      <c r="J6" s="509"/>
      <c r="K6" s="776"/>
      <c r="L6" s="509"/>
      <c r="W6" s="504">
        <v>11</v>
      </c>
    </row>
    <row customHeight="1" ht="14.699999999999998">
      <c r="D7" s="474"/>
      <c r="E7" s="2232" t="s">
        <v>384</v>
      </c>
      <c r="F7" s="2232"/>
      <c r="G7" s="2233"/>
      <c r="H7" s="2233"/>
      <c r="I7" s="2233"/>
      <c r="J7" s="2233"/>
      <c r="K7" s="2233"/>
      <c r="L7" s="2247" t="s">
        <v>385</v>
      </c>
      <c r="W7" s="471">
        <v>14</v>
      </c>
    </row>
    <row customHeight="1" ht="48.29999999999999">
      <c r="D8" s="474"/>
      <c r="E8" s="497" t="s">
        <v>88</v>
      </c>
      <c r="F8" s="847"/>
      <c r="G8" s="489" t="s">
        <v>86</v>
      </c>
      <c r="H8" s="489" t="s">
        <v>87</v>
      </c>
      <c r="I8" s="438" t="s">
        <v>85</v>
      </c>
      <c r="J8" s="438" t="s">
        <v>473</v>
      </c>
      <c r="K8" s="438" t="s">
        <v>474</v>
      </c>
      <c r="L8" s="2247"/>
      <c r="W8" s="471">
        <v>46</v>
      </c>
    </row>
    <row customHeight="1" ht="12" hidden="1">
      <c r="D9" s="511"/>
      <c r="E9" s="517"/>
      <c r="F9" s="854"/>
      <c r="G9" s="517"/>
      <c r="H9" s="517"/>
      <c r="I9" s="517"/>
      <c r="J9" s="517"/>
      <c r="K9" s="517"/>
      <c r="L9" s="517"/>
      <c r="M9" s="471"/>
      <c r="W9" s="471">
        <v>0</v>
      </c>
    </row>
    <row customHeight="1" ht="14.25" hidden="1">
      <c r="A10" s="529"/>
      <c r="B10" s="529"/>
      <c r="D10" s="530"/>
      <c r="E10" s="536">
        <v>0</v>
      </c>
      <c r="F10" s="845"/>
      <c r="G10" s="532"/>
      <c r="H10" s="532"/>
      <c r="I10" s="532"/>
      <c r="J10" s="532"/>
      <c r="K10" s="532"/>
      <c r="L10" s="2245" t="s">
        <v>475</v>
      </c>
      <c r="M10" s="531"/>
      <c r="N10" s="529"/>
      <c r="O10" s="529"/>
      <c r="P10" s="529"/>
      <c r="Q10" s="529"/>
      <c r="R10" s="529"/>
      <c r="S10" s="529"/>
      <c r="T10" s="529"/>
      <c r="U10" s="529"/>
      <c r="V10" s="529"/>
      <c r="W10" s="471">
        <v>0</v>
      </c>
    </row>
    <row customHeight="1" ht="15" hidden="1">
      <c r="A11" s="2123"/>
      <c r="B11" s="528"/>
      <c r="C11" s="528"/>
      <c r="D11" s="889"/>
      <c r="E11" s="537"/>
      <c r="F11" s="537"/>
      <c r="G11" s="537"/>
      <c r="H11" s="537"/>
      <c r="I11" s="538"/>
      <c r="J11" s="539"/>
      <c r="K11" s="737"/>
      <c r="L11" s="2265"/>
      <c r="M11" s="535"/>
      <c r="N11" s="535"/>
      <c r="O11" s="535"/>
      <c r="P11" s="540"/>
      <c r="Q11" s="540"/>
      <c r="R11" s="541"/>
      <c r="S11" s="535"/>
      <c r="T11" s="535"/>
      <c r="U11" s="535"/>
      <c r="V11" s="535"/>
      <c r="W11" s="471">
        <v>0</v>
      </c>
    </row>
    <row s="1636" customFormat="1" customHeight="1" ht="15">
      <c r="A12" s="2123"/>
      <c r="B12" s="528"/>
      <c r="C12" s="528"/>
      <c r="D12" s="890"/>
      <c r="E12" s="847">
        <v>1</v>
      </c>
      <c r="F12" s="888">
        <v>23</v>
      </c>
      <c r="G12" s="887"/>
      <c r="H12" s="817"/>
      <c r="I12" s="815"/>
      <c r="J12" s="544" t="s">
        <v>66</v>
      </c>
      <c r="K12" s="1188" t="s">
        <v>22</v>
      </c>
      <c r="L12" s="2265"/>
      <c r="M12" s="535"/>
      <c r="N12" s="535"/>
      <c r="O12" s="535"/>
      <c r="P12" s="540" t="s">
        <v>476</v>
      </c>
      <c r="Q12" s="540" t="s">
        <v>477</v>
      </c>
      <c r="R12" s="541" t="s">
        <v>478</v>
      </c>
      <c r="S12" s="535" t="s">
        <v>479</v>
      </c>
      <c r="T12" s="535"/>
      <c r="U12" s="535"/>
      <c r="V12" s="535"/>
      <c r="W12" s="504">
        <v>14</v>
      </c>
    </row>
    <row customHeight="1" ht="15.75">
      <c r="A13" s="2123"/>
      <c r="B13" s="529"/>
      <c r="D13" s="530"/>
      <c r="E13" s="429"/>
      <c r="F13" s="553"/>
      <c r="G13" s="440" t="s">
        <v>102</v>
      </c>
      <c r="H13" s="428"/>
      <c r="I13" s="428"/>
      <c r="J13" s="428"/>
      <c r="K13" s="427"/>
      <c r="L13" s="2246"/>
      <c r="M13" s="533"/>
      <c r="N13" s="529"/>
      <c r="O13" s="529"/>
      <c r="P13" s="529"/>
      <c r="Q13" s="529"/>
      <c r="R13" s="529"/>
      <c r="S13" s="529"/>
      <c r="T13" s="529"/>
      <c r="U13" s="529"/>
      <c r="V13" s="529"/>
      <c r="W13" s="471">
        <v>15</v>
      </c>
    </row>
    <row customHeight="1" ht="11.549999999999999">
      <c r="A14" s="503"/>
      <c r="B14" s="504"/>
      <c r="C14" s="504"/>
      <c r="D14" s="519"/>
      <c r="E14" s="504"/>
      <c r="F14" s="504"/>
      <c r="G14" s="504"/>
      <c r="H14" s="504"/>
      <c r="I14" s="504"/>
      <c r="J14" s="504"/>
      <c r="K14" s="504"/>
      <c r="L14" s="504"/>
      <c r="M14" s="504"/>
      <c r="N14" s="504"/>
      <c r="O14" s="504"/>
      <c r="P14" s="504"/>
      <c r="Q14" s="504"/>
      <c r="R14" s="504"/>
      <c r="S14" s="504"/>
      <c r="T14" s="504"/>
      <c r="U14" s="504"/>
      <c r="V14" s="504"/>
      <c r="W14" s="471">
        <v>11</v>
      </c>
    </row>
    <row customHeight="1" ht="14.699999999999998">
      <c r="D15" s="490"/>
      <c r="E15" s="360"/>
      <c r="F15" s="360"/>
      <c r="G15" s="68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90"/>
      <c r="I15" s="490"/>
      <c r="J15" s="490"/>
      <c r="K15" s="490"/>
      <c r="L15" s="490"/>
      <c r="W15" s="471">
        <v>14</v>
      </c>
    </row>
    <row customHeight="1" ht="14.699999999999998">
      <c r="W16" s="471">
        <v>14</v>
      </c>
    </row>
    <row customHeight="1" ht="14.699999999999998">
      <c r="W17" s="471">
        <v>14</v>
      </c>
    </row>
    <row customHeight="1" ht="14.699999999999998">
      <c r="G18" s="529"/>
      <c r="W18" s="471">
        <v>14</v>
      </c>
    </row>
    <row customHeight="1" ht="22.5" hidden="1">
      <c r="A19" s="473" t="s">
        <v>82</v>
      </c>
      <c r="B19" s="471">
        <v>0</v>
      </c>
      <c r="C19" s="782">
        <v>0</v>
      </c>
      <c r="D19" s="475">
        <v>3</v>
      </c>
      <c r="E19" s="471">
        <v>6</v>
      </c>
      <c r="F19" s="782">
        <v>0</v>
      </c>
      <c r="G19" s="471">
        <v>30</v>
      </c>
      <c r="H19" s="471">
        <v>30</v>
      </c>
      <c r="I19" s="471">
        <v>8</v>
      </c>
      <c r="J19" s="471">
        <v>12</v>
      </c>
      <c r="K19" s="471">
        <v>46</v>
      </c>
      <c r="L19" s="471">
        <v>100</v>
      </c>
      <c r="M19" s="476">
        <v>7</v>
      </c>
      <c r="N19" s="471">
        <v>10</v>
      </c>
      <c r="O19" s="471">
        <v>10</v>
      </c>
      <c r="P19" s="471">
        <v>10</v>
      </c>
      <c r="Q19" s="471">
        <v>10</v>
      </c>
      <c r="R19" s="471">
        <v>10</v>
      </c>
      <c r="S19" s="471">
        <v>10</v>
      </c>
      <c r="T19" s="471">
        <v>10</v>
      </c>
      <c r="U19" s="471">
        <v>10</v>
      </c>
      <c r="V19" s="471">
        <v>10</v>
      </c>
      <c r="W19" s="471">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0287C8-DD5C-4024-D56E-0.22B2340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2.00390625" hidden="1" customWidth="1"/>
    <col min="10" max="10" style="1390" width="9.8515625" hidden="1" customWidth="1"/>
    <col min="11" max="11" style="1390" width="11.421875" hidden="1" customWidth="1"/>
    <col min="12" max="12" style="2631" width="19.140625" hidden="1" customWidth="1"/>
    <col min="13" max="14" style="1800" width="12.28125" hidden="1" customWidth="1"/>
    <col min="15" max="15" style="1800" width="23.421875" hidden="1" customWidth="1"/>
    <col min="16" max="16" style="2421" width="3.00390625" customWidth="1"/>
    <col min="17" max="18" style="368" width="3.00390625" customWidth="1"/>
    <col min="19" max="19" style="2431" width="12.00390625" customWidth="1"/>
    <col min="20" max="20" style="1659" width="35.00390625" customWidth="1"/>
    <col min="21" max="21" style="1659" width="0.140625" customWidth="1"/>
    <col min="22" max="22" style="1659" width="24.7109375" hidden="1" customWidth="1"/>
    <col min="23" max="23" style="1659" width="0.140625" hidden="1" customWidth="1"/>
    <col min="24" max="25" style="1659" width="24.7109375" hidden="1" customWidth="1"/>
    <col min="26" max="26" style="1659" width="11.7109375" hidden="1" customWidth="1"/>
    <col min="27" max="27" style="1659" width="3.7109375" hidden="1" customWidth="1"/>
    <col min="28" max="28" style="1659" width="11.7109375" hidden="1" customWidth="1"/>
    <col min="29" max="29" style="1659" width="8.57421875" hidden="1" customWidth="1"/>
    <col min="30" max="30" style="1659" width="24.7109375" customWidth="1"/>
    <col min="31" max="31" style="1659" width="0.140625" customWidth="1"/>
    <col min="32" max="33" style="1659" width="24.00390625" customWidth="1"/>
    <col min="34" max="34" style="1659" width="11.00390625" customWidth="1"/>
    <col min="35" max="35" style="1659" width="3.7109375" customWidth="1"/>
    <col min="36" max="36" style="1659" width="11.00390625" customWidth="1"/>
    <col min="37" max="37" style="1659" width="8.57421875" hidden="1" customWidth="1"/>
    <col min="38" max="38" style="1659" width="4.00390625" customWidth="1"/>
    <col min="39" max="39" style="1659" width="115.00390625" customWidth="1"/>
    <col min="40" max="44" style="1666" width="10.00390625" customWidth="1"/>
    <col min="45" max="45" style="1659" width="10.57421875" hidden="1"/>
  </cols>
  <sheetData>
    <row customHeight="1" ht="22.5" hidden="1">
      <c r="Y1" s="351"/>
      <c r="Z1" s="351"/>
      <c r="AG1" s="351"/>
      <c r="AH1" s="351"/>
      <c r="AS1" s="1179" t="s">
        <v>14</v>
      </c>
    </row>
    <row customHeight="1" ht="21" hidden="1">
      <c r="A2" s="1387"/>
      <c r="B2" s="1387"/>
      <c r="C2" s="1387"/>
      <c r="D2" s="1387"/>
      <c r="E2" s="2282">
        <v>1</v>
      </c>
      <c r="F2" s="1387"/>
      <c r="G2" s="1387"/>
      <c r="H2" s="1387"/>
      <c r="I2" s="1387"/>
      <c r="J2" s="1387"/>
      <c r="K2" s="1387"/>
      <c r="L2" s="1388"/>
      <c r="M2" s="1389"/>
      <c r="N2" s="1389"/>
      <c r="O2" s="1389"/>
      <c r="P2" s="385"/>
      <c r="Q2" s="384"/>
      <c r="R2" s="379"/>
      <c r="S2" s="1333">
        <f>INDEX(PT_DIFFERENTIATION_NUM_NTAR,MATCH(A2,PT_DIFFERENTIATION_NTAR_ID,0))</f>
      </c>
      <c r="T2" s="322" t="s">
        <v>211</v>
      </c>
      <c r="U2" s="324"/>
      <c r="V2" s="2266"/>
      <c r="W2" s="2267"/>
      <c r="X2" s="2267"/>
      <c r="Y2" s="2267"/>
      <c r="Z2" s="2267"/>
      <c r="AA2" s="2267"/>
      <c r="AB2" s="2267"/>
      <c r="AC2" s="2268"/>
      <c r="AD2" s="2266">
        <f>INDEX(PT_DIFFERENTIATION_NTAR,MATCH(A2,PT_DIFFERENTIATION_NTAR_ID,0))</f>
      </c>
      <c r="AE2" s="2267"/>
      <c r="AF2" s="2267"/>
      <c r="AG2" s="2267"/>
      <c r="AH2" s="2267"/>
      <c r="AI2" s="2267"/>
      <c r="AJ2" s="2267"/>
      <c r="AK2" s="2267"/>
      <c r="AL2" s="2268"/>
      <c r="AM2" s="1282" t="s">
        <v>480</v>
      </c>
      <c r="AO2" s="524"/>
      <c r="AP2" s="524" t="str">
        <f>IF(T2="","",T2)</f>
        <v>Наименование тарифа</v>
      </c>
      <c r="AQ2" s="524"/>
      <c r="AR2" s="524"/>
      <c r="AS2" s="1179">
        <v>0</v>
      </c>
    </row>
    <row customHeight="1" ht="21" hidden="1">
      <c r="A3" s="1387"/>
      <c r="B3" s="1387"/>
      <c r="C3" s="1387"/>
      <c r="D3" s="1387"/>
      <c r="E3" s="2283"/>
      <c r="F3" s="2282">
        <v>1</v>
      </c>
      <c r="G3" s="1387"/>
      <c r="H3" s="1387"/>
      <c r="I3" s="1387"/>
      <c r="J3" s="1387"/>
      <c r="K3" s="1387"/>
      <c r="L3" s="1388"/>
      <c r="M3" s="1389"/>
      <c r="N3" s="1389"/>
      <c r="O3" s="1389"/>
      <c r="P3" s="1328"/>
      <c r="Q3" s="376"/>
      <c r="R3" s="377"/>
      <c r="S3" s="1333">
        <f>INDEX(PT_DIFFERENTIATION_NUM_TER,MATCH(B3,PT_DIFFERENTIATION_TER_ID,0))</f>
      </c>
      <c r="T3" s="332" t="s">
        <v>481</v>
      </c>
      <c r="U3" s="324"/>
      <c r="V3" s="2266"/>
      <c r="W3" s="2267"/>
      <c r="X3" s="2267"/>
      <c r="Y3" s="2267"/>
      <c r="Z3" s="2267"/>
      <c r="AA3" s="2267"/>
      <c r="AB3" s="2267"/>
      <c r="AC3" s="2268"/>
      <c r="AD3" s="2266">
        <f>INDEX(PT_DIFFERENTIATION_TER,MATCH(B3,PT_DIFFERENTIATION_TER_ID,0))</f>
      </c>
      <c r="AE3" s="2267"/>
      <c r="AF3" s="2267"/>
      <c r="AG3" s="2267"/>
      <c r="AH3" s="2267"/>
      <c r="AI3" s="2267"/>
      <c r="AJ3" s="2267"/>
      <c r="AK3" s="2267"/>
      <c r="AL3" s="2268"/>
      <c r="AM3" s="1282" t="s">
        <v>482</v>
      </c>
      <c r="AO3" s="524"/>
      <c r="AP3" s="524" t="str">
        <f>IF(T3="","",T3)</f>
        <v>Территория действия тарифа</v>
      </c>
      <c r="AQ3" s="524"/>
      <c r="AR3" s="524"/>
      <c r="AS3" s="1179">
        <v>0</v>
      </c>
    </row>
    <row customHeight="1" ht="23.25" hidden="1">
      <c r="A4" s="1387"/>
      <c r="B4" s="1387"/>
      <c r="C4" s="1387"/>
      <c r="D4" s="1387"/>
      <c r="E4" s="2283"/>
      <c r="F4" s="2283"/>
      <c r="G4" s="2282">
        <v>1</v>
      </c>
      <c r="H4" s="1387"/>
      <c r="I4" s="1387"/>
      <c r="J4" s="1387"/>
      <c r="K4" s="1387"/>
      <c r="L4" s="1388"/>
      <c r="M4" s="1389"/>
      <c r="N4" s="1389"/>
      <c r="O4" s="1389"/>
      <c r="P4" s="378"/>
      <c r="Q4" s="376"/>
      <c r="R4" s="377"/>
      <c r="S4" s="1333">
        <f>INDEX(PT_DIFFERENTIATION_NUM_CS,MATCH(C4,PT_DIFFERENTIATION_CS_ID,0))</f>
      </c>
      <c r="T4" s="333" t="s">
        <v>483</v>
      </c>
      <c r="U4" s="324"/>
      <c r="V4" s="2266"/>
      <c r="W4" s="2267"/>
      <c r="X4" s="2267"/>
      <c r="Y4" s="2267"/>
      <c r="Z4" s="2267"/>
      <c r="AA4" s="2267"/>
      <c r="AB4" s="2267"/>
      <c r="AC4" s="2268"/>
      <c r="AD4" s="2266">
        <f>INDEX(PT_DIFFERENTIATION_CS,MATCH(C4,PT_DIFFERENTIATION_CS_ID,0))</f>
      </c>
      <c r="AE4" s="2267"/>
      <c r="AF4" s="2267"/>
      <c r="AG4" s="2267"/>
      <c r="AH4" s="2267"/>
      <c r="AI4" s="2267"/>
      <c r="AJ4" s="2267"/>
      <c r="AK4" s="2267"/>
      <c r="AL4" s="2268"/>
      <c r="AM4" s="1282" t="s">
        <v>484</v>
      </c>
      <c r="AO4" s="524"/>
      <c r="AP4" s="524" t="str">
        <f>IF(T4="","",T4)</f>
        <v>Наименование системы теплоснабжения </v>
      </c>
      <c r="AQ4" s="524"/>
      <c r="AR4" s="524"/>
      <c r="AS4" s="1179">
        <v>0</v>
      </c>
    </row>
    <row customHeight="1" ht="21" hidden="1">
      <c r="A5" s="1387"/>
      <c r="B5" s="1387"/>
      <c r="C5" s="1387"/>
      <c r="D5" s="1387"/>
      <c r="E5" s="2283"/>
      <c r="F5" s="2283"/>
      <c r="G5" s="2283"/>
      <c r="H5" s="2282">
        <v>1</v>
      </c>
      <c r="I5" s="1387"/>
      <c r="J5" s="1387"/>
      <c r="K5" s="1387"/>
      <c r="L5" s="1388"/>
      <c r="M5" s="1389"/>
      <c r="N5" s="1389"/>
      <c r="O5" s="1389"/>
      <c r="P5" s="378"/>
      <c r="Q5" s="376"/>
      <c r="R5" s="377"/>
      <c r="S5" s="1333">
        <f>INDEX(PT_DIFFERENTIATION_NUM_IST_TE,MATCH(D5,PT_DIFFERENTIATION_IST_TE_ID,0))</f>
      </c>
      <c r="T5" s="334" t="s">
        <v>485</v>
      </c>
      <c r="U5" s="324"/>
      <c r="V5" s="2266"/>
      <c r="W5" s="2267"/>
      <c r="X5" s="2267"/>
      <c r="Y5" s="2267"/>
      <c r="Z5" s="2267"/>
      <c r="AA5" s="2267"/>
      <c r="AB5" s="2267"/>
      <c r="AC5" s="2268"/>
      <c r="AD5" s="2266">
        <f>INDEX(PT_DIFFERENTIATION_IST_TE,MATCH(D5,PT_DIFFERENTIATION_IST_TE_ID,0))</f>
      </c>
      <c r="AE5" s="2267"/>
      <c r="AF5" s="2267"/>
      <c r="AG5" s="2267"/>
      <c r="AH5" s="2267"/>
      <c r="AI5" s="2267"/>
      <c r="AJ5" s="2267"/>
      <c r="AK5" s="2267"/>
      <c r="AL5" s="2268"/>
      <c r="AM5" s="1282" t="s">
        <v>486</v>
      </c>
      <c r="AO5" s="524"/>
      <c r="AP5" s="524" t="str">
        <f>IF(T5="","",T5)</f>
        <v>Источник тепловой энергии  </v>
      </c>
      <c r="AQ5" s="524"/>
      <c r="AR5" s="524"/>
      <c r="AS5" s="1179">
        <v>0</v>
      </c>
    </row>
    <row customHeight="1" ht="47.25" hidden="1">
      <c r="A6" s="1387"/>
      <c r="B6" s="1387"/>
      <c r="C6" s="1387"/>
      <c r="D6" s="1387"/>
      <c r="E6" s="2283"/>
      <c r="F6" s="2283"/>
      <c r="G6" s="2283"/>
      <c r="H6" s="2283"/>
      <c r="I6" s="2280">
        <f>S5&amp;".1"</f>
      </c>
      <c r="J6" s="1387"/>
      <c r="K6" s="1387"/>
      <c r="L6" s="1388" t="s">
        <v>487</v>
      </c>
      <c r="M6" s="561"/>
      <c r="P6" s="2281">
        <v>1</v>
      </c>
      <c r="Q6" s="1329"/>
      <c r="R6" s="380"/>
      <c r="S6" s="1333">
        <f>$I6</f>
      </c>
      <c r="T6" s="309" t="s">
        <v>488</v>
      </c>
      <c r="U6" s="324"/>
      <c r="V6" s="2269"/>
      <c r="W6" s="2270"/>
      <c r="X6" s="2270"/>
      <c r="Y6" s="2270"/>
      <c r="Z6" s="2270"/>
      <c r="AA6" s="2270"/>
      <c r="AB6" s="2270"/>
      <c r="AC6" s="2271"/>
      <c r="AD6" s="2269"/>
      <c r="AE6" s="2270"/>
      <c r="AF6" s="2270"/>
      <c r="AG6" s="2270"/>
      <c r="AH6" s="2270"/>
      <c r="AI6" s="2270"/>
      <c r="AJ6" s="2270"/>
      <c r="AK6" s="2270"/>
      <c r="AL6" s="2271"/>
      <c r="AM6" s="1282" t="s">
        <v>489</v>
      </c>
      <c r="AO6" s="524"/>
      <c r="AP6" s="524" t="str">
        <f>IF(T6="","",T6)</f>
        <v>Схема подключения теплопотребляющей установки к коллектору источника тепловой энергии</v>
      </c>
      <c r="AQ6" s="524"/>
      <c r="AR6" s="524"/>
      <c r="AS6" s="1179">
        <v>0</v>
      </c>
    </row>
    <row customHeight="1" ht="21" hidden="1">
      <c r="A7" s="1387"/>
      <c r="B7" s="1387"/>
      <c r="C7" s="1387"/>
      <c r="D7" s="1387"/>
      <c r="E7" s="2283"/>
      <c r="F7" s="2283"/>
      <c r="G7" s="2283"/>
      <c r="H7" s="2283"/>
      <c r="I7" s="2310"/>
      <c r="J7" s="2280">
        <f>I6&amp;".1"</f>
      </c>
      <c r="K7" s="1387"/>
      <c r="L7" s="1388" t="s">
        <v>490</v>
      </c>
      <c r="M7" s="561"/>
      <c r="N7" s="1390"/>
      <c r="P7" s="2281"/>
      <c r="Q7" s="2281">
        <v>1</v>
      </c>
      <c r="R7" s="381"/>
      <c r="S7" s="1333">
        <f>$J7</f>
      </c>
      <c r="T7" s="310" t="s">
        <v>491</v>
      </c>
      <c r="U7" s="324"/>
      <c r="V7" s="2269"/>
      <c r="W7" s="2270"/>
      <c r="X7" s="2270"/>
      <c r="Y7" s="2270"/>
      <c r="Z7" s="2270"/>
      <c r="AA7" s="2270"/>
      <c r="AB7" s="2270"/>
      <c r="AC7" s="2271"/>
      <c r="AD7" s="2269"/>
      <c r="AE7" s="2270"/>
      <c r="AF7" s="2270"/>
      <c r="AG7" s="2270"/>
      <c r="AH7" s="2270"/>
      <c r="AI7" s="2270"/>
      <c r="AJ7" s="2270"/>
      <c r="AK7" s="2270"/>
      <c r="AL7" s="2271"/>
      <c r="AM7" s="1282" t="s">
        <v>492</v>
      </c>
      <c r="AO7" s="524"/>
      <c r="AP7" s="524" t="str">
        <f>IF(T7="","",T7)</f>
        <v>Группа потребителей</v>
      </c>
      <c r="AQ7" s="524"/>
      <c r="AR7" s="524"/>
      <c r="AS7" s="1179">
        <v>0</v>
      </c>
    </row>
    <row customHeight="1" ht="21" hidden="1">
      <c r="A8" s="1387"/>
      <c r="B8" s="1387"/>
      <c r="C8" s="1387"/>
      <c r="D8" s="1387"/>
      <c r="E8" s="2283"/>
      <c r="F8" s="2283"/>
      <c r="G8" s="2283"/>
      <c r="H8" s="2283"/>
      <c r="I8" s="2310"/>
      <c r="J8" s="2310"/>
      <c r="K8" s="2280">
        <f>J7&amp;".1"</f>
      </c>
      <c r="L8" s="1388" t="s">
        <v>493</v>
      </c>
      <c r="M8" s="561"/>
      <c r="N8" s="1390"/>
      <c r="O8" s="1390"/>
      <c r="P8" s="2281"/>
      <c r="Q8" s="2281"/>
      <c r="R8" s="381">
        <v>1</v>
      </c>
      <c r="S8" s="1333">
        <f>$K8</f>
      </c>
      <c r="T8" s="1371"/>
      <c r="U8" s="324"/>
      <c r="V8" s="775"/>
      <c r="W8" s="349"/>
      <c r="X8" s="775"/>
      <c r="Y8" s="1281"/>
      <c r="Z8" s="2289"/>
      <c r="AA8" s="2131" t="s">
        <v>66</v>
      </c>
      <c r="AB8" s="2289"/>
      <c r="AC8" s="2131" t="s">
        <v>66</v>
      </c>
      <c r="AD8" s="775"/>
      <c r="AE8" s="349"/>
      <c r="AF8" s="775"/>
      <c r="AG8" s="1281"/>
      <c r="AH8" s="2289"/>
      <c r="AI8" s="2131" t="s">
        <v>66</v>
      </c>
      <c r="AJ8" s="2289"/>
      <c r="AK8" s="2131" t="s">
        <v>66</v>
      </c>
      <c r="AL8" s="349"/>
      <c r="AM8" s="2277" t="s">
        <v>494</v>
      </c>
      <c r="AN8" s="535">
        <f>STRCHECKDATE(V9:AL9)</f>
      </c>
      <c r="AO8" s="524"/>
      <c r="AP8" s="524" t="str">
        <f>IF(T8="","",T8)</f>
        <v/>
      </c>
      <c r="AQ8" s="524"/>
      <c r="AR8" s="524"/>
      <c r="AS8" s="1179">
        <v>0</v>
      </c>
    </row>
    <row customHeight="1" ht="0.75" hidden="1">
      <c r="A9" s="1387"/>
      <c r="B9" s="1387"/>
      <c r="C9" s="1387"/>
      <c r="D9" s="1387"/>
      <c r="E9" s="2283"/>
      <c r="F9" s="2283"/>
      <c r="G9" s="2283"/>
      <c r="H9" s="2283"/>
      <c r="I9" s="2310"/>
      <c r="J9" s="2310"/>
      <c r="K9" s="2280"/>
      <c r="L9" s="1388"/>
      <c r="M9" s="561"/>
      <c r="N9" s="1390"/>
      <c r="O9" s="1390"/>
      <c r="P9" s="2281"/>
      <c r="Q9" s="2281"/>
      <c r="R9" s="381"/>
      <c r="S9" s="1330"/>
      <c r="T9" s="324"/>
      <c r="U9" s="324"/>
      <c r="V9" s="349"/>
      <c r="W9" s="349"/>
      <c r="X9" s="349"/>
      <c r="Y9" s="352" t="str">
        <f>Z8&amp;"-"&amp;AB8</f>
        <v>-</v>
      </c>
      <c r="Z9" s="2290"/>
      <c r="AA9" s="2131"/>
      <c r="AB9" s="2290"/>
      <c r="AC9" s="2131"/>
      <c r="AD9" s="349"/>
      <c r="AE9" s="349"/>
      <c r="AF9" s="349"/>
      <c r="AG9" s="352" t="str">
        <f>AH8&amp;"-"&amp;AJ8</f>
        <v>-</v>
      </c>
      <c r="AH9" s="2290"/>
      <c r="AI9" s="2131"/>
      <c r="AJ9" s="2290"/>
      <c r="AK9" s="2131"/>
      <c r="AL9" s="349"/>
      <c r="AM9" s="2278"/>
      <c r="AO9" s="524"/>
      <c r="AP9" s="524" t="str">
        <f>IF(T9="","",T9)</f>
        <v/>
      </c>
      <c r="AQ9" s="524"/>
      <c r="AR9" s="524"/>
      <c r="AS9" s="1179">
        <v>0</v>
      </c>
    </row>
    <row customHeight="1" ht="15" hidden="1">
      <c r="A10" s="1387"/>
      <c r="B10" s="1387"/>
      <c r="C10" s="1387"/>
      <c r="D10" s="1387"/>
      <c r="E10" s="2283"/>
      <c r="F10" s="2283"/>
      <c r="G10" s="2283"/>
      <c r="H10" s="2283"/>
      <c r="I10" s="2310"/>
      <c r="J10" s="2280"/>
      <c r="K10" s="1387"/>
      <c r="L10" s="1388"/>
      <c r="M10" s="561"/>
      <c r="N10" s="1390"/>
      <c r="P10" s="2281"/>
      <c r="Q10" s="2281"/>
      <c r="R10" s="380"/>
      <c r="S10" s="1302"/>
      <c r="T10" s="312" t="s">
        <v>495</v>
      </c>
      <c r="U10" s="391"/>
      <c r="V10" s="391"/>
      <c r="W10" s="391"/>
      <c r="X10" s="391"/>
      <c r="Y10" s="391"/>
      <c r="Z10" s="391"/>
      <c r="AA10" s="391"/>
      <c r="AB10" s="391"/>
      <c r="AC10" s="391"/>
      <c r="AD10" s="391"/>
      <c r="AE10" s="391"/>
      <c r="AF10" s="391"/>
      <c r="AG10" s="391"/>
      <c r="AH10" s="391"/>
      <c r="AI10" s="391"/>
      <c r="AJ10" s="391"/>
      <c r="AK10" s="391"/>
      <c r="AL10" s="348"/>
      <c r="AM10" s="2279"/>
      <c r="AO10" s="524"/>
      <c r="AP10" s="524" t="str">
        <f>IF(T10="","",T10)</f>
        <v>Добавить вид теплоносителя (параметры теплоносителя)</v>
      </c>
      <c r="AQ10" s="524"/>
      <c r="AR10" s="524"/>
      <c r="AS10" s="1179">
        <v>0</v>
      </c>
    </row>
    <row customHeight="1" ht="15" hidden="1">
      <c r="A11" s="1387"/>
      <c r="B11" s="1387"/>
      <c r="C11" s="1387"/>
      <c r="D11" s="1387"/>
      <c r="E11" s="2283"/>
      <c r="F11" s="2283"/>
      <c r="G11" s="2283"/>
      <c r="H11" s="2283"/>
      <c r="I11" s="2280"/>
      <c r="J11" s="1387"/>
      <c r="K11" s="1387"/>
      <c r="L11" s="1388"/>
      <c r="M11" s="561"/>
      <c r="P11" s="2281"/>
      <c r="Q11" s="1329"/>
      <c r="R11" s="380"/>
      <c r="S11" s="1302"/>
      <c r="T11" s="311" t="s">
        <v>496</v>
      </c>
      <c r="U11" s="391"/>
      <c r="V11" s="391"/>
      <c r="W11" s="391"/>
      <c r="X11" s="391"/>
      <c r="Y11" s="391"/>
      <c r="Z11" s="391"/>
      <c r="AA11" s="391"/>
      <c r="AB11" s="391"/>
      <c r="AC11" s="390"/>
      <c r="AD11" s="391"/>
      <c r="AE11" s="391"/>
      <c r="AF11" s="391"/>
      <c r="AG11" s="391"/>
      <c r="AH11" s="391"/>
      <c r="AI11" s="391"/>
      <c r="AJ11" s="391"/>
      <c r="AK11" s="390"/>
      <c r="AL11" s="391"/>
      <c r="AM11" s="327"/>
      <c r="AO11" s="524"/>
      <c r="AP11" s="524" t="str">
        <f>IF(T11="","",T11)</f>
        <v>Добавить группу потребителей</v>
      </c>
      <c r="AQ11" s="524"/>
      <c r="AR11" s="524"/>
      <c r="AS11" s="1179">
        <v>0</v>
      </c>
    </row>
    <row customHeight="1" ht="14.25" hidden="1">
      <c r="A12" s="1387"/>
      <c r="B12" s="1387"/>
      <c r="C12" s="1387"/>
      <c r="D12" s="1387"/>
      <c r="E12" s="2283"/>
      <c r="F12" s="2283"/>
      <c r="G12" s="2283"/>
      <c r="H12" s="2282"/>
      <c r="I12" s="1387"/>
      <c r="J12" s="1387"/>
      <c r="K12" s="1387"/>
      <c r="L12" s="1388"/>
      <c r="M12" s="1389"/>
      <c r="N12" s="1389"/>
      <c r="O12" s="561"/>
      <c r="P12" s="384"/>
      <c r="Q12" s="399"/>
      <c r="R12" s="379"/>
      <c r="S12" s="1302"/>
      <c r="T12" s="389" t="s">
        <v>497</v>
      </c>
      <c r="U12" s="391"/>
      <c r="V12" s="391"/>
      <c r="W12" s="391"/>
      <c r="X12" s="391"/>
      <c r="Y12" s="391"/>
      <c r="Z12" s="391"/>
      <c r="AA12" s="391"/>
      <c r="AB12" s="391"/>
      <c r="AC12" s="390"/>
      <c r="AD12" s="391"/>
      <c r="AE12" s="391"/>
      <c r="AF12" s="391"/>
      <c r="AG12" s="391"/>
      <c r="AH12" s="391"/>
      <c r="AI12" s="391"/>
      <c r="AJ12" s="391"/>
      <c r="AK12" s="390"/>
      <c r="AL12" s="391"/>
      <c r="AM12" s="327"/>
      <c r="AO12" s="524"/>
      <c r="AP12" s="524" t="str">
        <f>IF(T12="","",T12)</f>
        <v>Добавить схему подключения</v>
      </c>
      <c r="AQ12" s="524"/>
      <c r="AR12" s="524"/>
      <c r="AS12" s="1179">
        <v>0</v>
      </c>
    </row>
    <row s="1666" customFormat="1" customHeight="1" ht="0.75" hidden="1">
      <c r="A13" s="1338"/>
      <c r="B13" s="1338"/>
      <c r="C13" s="1338"/>
      <c r="D13" s="1338"/>
      <c r="E13" s="2283"/>
      <c r="F13" s="2283"/>
      <c r="G13" s="2282"/>
      <c r="H13" s="1338"/>
      <c r="I13" s="1338"/>
      <c r="J13" s="1338"/>
      <c r="K13" s="1338"/>
      <c r="L13" s="1363"/>
      <c r="M13" s="1339"/>
      <c r="N13" s="1339"/>
      <c r="P13" s="1340"/>
      <c r="Q13" s="1341"/>
      <c r="R13" s="1340"/>
      <c r="S13" s="1342"/>
      <c r="T13" s="1343" t="s">
        <v>498</v>
      </c>
      <c r="U13" s="1344"/>
      <c r="V13" s="1344"/>
      <c r="W13" s="1344"/>
      <c r="X13" s="1344"/>
      <c r="Y13" s="1344"/>
      <c r="Z13" s="1344"/>
      <c r="AA13" s="1344"/>
      <c r="AB13" s="1344"/>
      <c r="AC13" s="1344"/>
      <c r="AD13" s="1344"/>
      <c r="AE13" s="1344"/>
      <c r="AF13" s="1344"/>
      <c r="AG13" s="1344"/>
      <c r="AH13" s="1344"/>
      <c r="AI13" s="1344"/>
      <c r="AJ13" s="1344"/>
      <c r="AK13" s="1344"/>
      <c r="AL13" s="1344"/>
      <c r="AM13" s="1344"/>
      <c r="AO13" s="813"/>
      <c r="AP13" s="813" t="str">
        <f>IF(T13="","",T13)</f>
        <v>Добавить источник для дифференциации</v>
      </c>
      <c r="AQ13" s="813"/>
      <c r="AR13" s="813"/>
      <c r="AS13" s="542">
        <v>0</v>
      </c>
    </row>
    <row s="1666" customFormat="1" customHeight="1" ht="0.75" hidden="1">
      <c r="A14" s="1338"/>
      <c r="B14" s="1338"/>
      <c r="C14" s="1338"/>
      <c r="D14" s="1338"/>
      <c r="E14" s="2283"/>
      <c r="F14" s="2282"/>
      <c r="G14" s="1338"/>
      <c r="H14" s="1338"/>
      <c r="I14" s="1338"/>
      <c r="J14" s="1338"/>
      <c r="K14" s="1338"/>
      <c r="L14" s="1363"/>
      <c r="M14" s="1345"/>
      <c r="N14" s="1345"/>
      <c r="P14" s="1340"/>
      <c r="Q14" s="1341"/>
      <c r="R14" s="1340"/>
      <c r="S14" s="1346"/>
      <c r="T14" s="1347" t="s">
        <v>499</v>
      </c>
      <c r="U14" s="1348"/>
      <c r="V14" s="1348"/>
      <c r="W14" s="1348"/>
      <c r="X14" s="1348"/>
      <c r="Y14" s="1348"/>
      <c r="Z14" s="1348"/>
      <c r="AA14" s="1348"/>
      <c r="AB14" s="1348"/>
      <c r="AC14" s="1348"/>
      <c r="AD14" s="1348"/>
      <c r="AE14" s="1348"/>
      <c r="AF14" s="1348"/>
      <c r="AG14" s="1348"/>
      <c r="AH14" s="1348"/>
      <c r="AI14" s="1348"/>
      <c r="AJ14" s="1348"/>
      <c r="AK14" s="1348"/>
      <c r="AL14" s="1348"/>
      <c r="AM14" s="1348"/>
      <c r="AO14" s="813"/>
      <c r="AP14" s="813" t="str">
        <f>IF(T14="","",T14)</f>
        <v>Добавить централизованную систему для дифференциации</v>
      </c>
      <c r="AQ14" s="813"/>
      <c r="AR14" s="813"/>
      <c r="AS14" s="542">
        <v>0</v>
      </c>
    </row>
    <row s="1666" customFormat="1" customHeight="1" ht="0.75" hidden="1">
      <c r="A15" s="1338"/>
      <c r="B15" s="1338"/>
      <c r="C15" s="1338"/>
      <c r="D15" s="1338"/>
      <c r="E15" s="2282"/>
      <c r="F15" s="1338"/>
      <c r="G15" s="1338"/>
      <c r="H15" s="1338"/>
      <c r="I15" s="1338"/>
      <c r="J15" s="1338"/>
      <c r="K15" s="1338"/>
      <c r="L15" s="1363"/>
      <c r="M15" s="1345"/>
      <c r="N15" s="1345"/>
      <c r="P15" s="1340"/>
      <c r="Q15" s="1341"/>
      <c r="R15" s="1340"/>
      <c r="S15" s="1346"/>
      <c r="T15" s="1349" t="s">
        <v>500</v>
      </c>
      <c r="U15" s="1348"/>
      <c r="V15" s="1348"/>
      <c r="W15" s="1348"/>
      <c r="X15" s="1348"/>
      <c r="Y15" s="1348"/>
      <c r="Z15" s="1348"/>
      <c r="AA15" s="1348"/>
      <c r="AB15" s="1348"/>
      <c r="AC15" s="1348"/>
      <c r="AD15" s="1348"/>
      <c r="AE15" s="1348"/>
      <c r="AF15" s="1348"/>
      <c r="AG15" s="1348"/>
      <c r="AH15" s="1348"/>
      <c r="AI15" s="1348"/>
      <c r="AJ15" s="1348"/>
      <c r="AK15" s="1348"/>
      <c r="AL15" s="1348"/>
      <c r="AM15" s="1348"/>
      <c r="AO15" s="813"/>
      <c r="AP15" s="813" t="str">
        <f>IF(T15="","",T15)</f>
        <v>Добавить территорию для дифференциации</v>
      </c>
      <c r="AQ15" s="813"/>
      <c r="AR15" s="813"/>
      <c r="AS15" s="542">
        <v>0</v>
      </c>
    </row>
    <row customHeight="1" ht="14.25" hidden="1">
      <c r="AC16" s="351"/>
      <c r="AK16" s="351"/>
      <c r="AS16" s="1179">
        <v>0</v>
      </c>
    </row>
    <row customHeight="1" ht="14.25" hidden="1">
      <c r="P17" s="1335"/>
      <c r="AD17" s="1384"/>
      <c r="AE17" s="1384"/>
      <c r="AF17" s="1384"/>
      <c r="AG17" s="1385"/>
      <c r="AH17" s="2291"/>
      <c r="AI17" s="2292" t="s">
        <v>66</v>
      </c>
      <c r="AJ17" s="2291"/>
      <c r="AK17" s="2292" t="s">
        <v>66</v>
      </c>
      <c r="AS17" s="1179">
        <v>0</v>
      </c>
    </row>
    <row customHeight="1" ht="14.25" hidden="1">
      <c r="P18" s="1335"/>
      <c r="AD18" s="1384"/>
      <c r="AE18" s="1384"/>
      <c r="AF18" s="1384"/>
      <c r="AG18" s="352" t="str">
        <f>AH17&amp;"-"&amp;AJ17</f>
        <v>-</v>
      </c>
      <c r="AH18" s="2292"/>
      <c r="AI18" s="2292"/>
      <c r="AJ18" s="2292"/>
      <c r="AK18" s="2292"/>
      <c r="AS18" s="1179">
        <v>0</v>
      </c>
    </row>
    <row customHeight="1" ht="14.25" hidden="1">
      <c r="P19" s="1335"/>
      <c r="AK19" s="351"/>
      <c r="AS19" s="1179">
        <v>0</v>
      </c>
    </row>
    <row s="1390" customFormat="1" customHeight="1" ht="22.5" hidden="1">
      <c r="L20" s="1353"/>
      <c r="M20" s="1386"/>
      <c r="N20" s="1386"/>
      <c r="O20" s="1391" t="s">
        <v>501</v>
      </c>
      <c r="P20" s="1386"/>
      <c r="Q20" s="1395"/>
      <c r="R20" s="1395"/>
      <c r="S20" s="753"/>
      <c r="Z20" s="1391"/>
      <c r="AB20" s="1391"/>
      <c r="AC20" s="1390"/>
      <c r="AH20" s="1391"/>
      <c r="AJ20" s="1391"/>
      <c r="AK20" s="1390"/>
      <c r="AN20" s="535"/>
      <c r="AO20" s="535"/>
      <c r="AP20" s="535"/>
      <c r="AQ20" s="535"/>
      <c r="AR20" s="535"/>
      <c r="AS20" s="1184">
        <v>0</v>
      </c>
    </row>
    <row s="1390" customFormat="1" customHeight="1" ht="14.25" hidden="1">
      <c r="L21" s="1353"/>
      <c r="M21" s="1386"/>
      <c r="N21" s="1386"/>
      <c r="O21" s="1386"/>
      <c r="P21" s="1386"/>
      <c r="Q21" s="1395"/>
      <c r="R21" s="1395"/>
      <c r="S21" s="753"/>
      <c r="AC21" s="1390"/>
      <c r="AK21" s="1390"/>
      <c r="AN21" s="535"/>
      <c r="AO21" s="535"/>
      <c r="AP21" s="535"/>
      <c r="AQ21" s="535"/>
      <c r="AR21" s="535"/>
      <c r="AS21" s="1184">
        <v>0</v>
      </c>
    </row>
    <row s="1390" customFormat="1" customHeight="1" ht="14.25" hidden="1">
      <c r="L22" s="1353"/>
      <c r="M22" s="1386"/>
      <c r="N22" s="1386"/>
      <c r="O22" s="1388" t="s">
        <v>502</v>
      </c>
      <c r="P22" s="1386"/>
      <c r="Q22" s="1395"/>
      <c r="R22" s="1395"/>
      <c r="S22" s="753"/>
      <c r="T22" s="1184" t="s">
        <v>503</v>
      </c>
      <c r="AA22" s="210" t="s">
        <v>504</v>
      </c>
      <c r="AC22" s="210" t="s">
        <v>505</v>
      </c>
      <c r="AD22" s="1184" t="s">
        <v>503</v>
      </c>
      <c r="AI22" s="210" t="s">
        <v>506</v>
      </c>
      <c r="AK22" s="210" t="s">
        <v>505</v>
      </c>
      <c r="AN22" s="535"/>
      <c r="AO22" s="535"/>
      <c r="AP22" s="535"/>
      <c r="AQ22" s="535"/>
      <c r="AR22" s="535"/>
      <c r="AS22" s="1184">
        <v>0</v>
      </c>
    </row>
    <row customHeight="1" ht="14.25" hidden="1">
      <c r="O23" s="1388"/>
      <c r="P23" s="1335"/>
      <c r="AS23" s="1179">
        <v>0</v>
      </c>
    </row>
    <row customHeight="1" ht="14.25" hidden="1">
      <c r="O24" s="1388"/>
      <c r="P24" s="1335"/>
      <c r="AS24" s="1179">
        <v>0</v>
      </c>
    </row>
    <row customHeight="1" ht="14.699999999999998">
      <c r="Q25" s="400"/>
      <c r="R25" s="400"/>
      <c r="S25" s="1299"/>
      <c r="T25" s="387"/>
      <c r="U25" s="387"/>
      <c r="V25" s="533"/>
      <c r="W25" s="533"/>
      <c r="X25" s="533"/>
      <c r="Y25" s="533"/>
      <c r="Z25" s="533"/>
      <c r="AA25" s="533"/>
      <c r="AB25" s="533"/>
      <c r="AC25" s="533"/>
      <c r="AD25" s="533"/>
      <c r="AE25" s="533"/>
      <c r="AF25" s="533"/>
      <c r="AG25" s="533"/>
      <c r="AH25" s="533"/>
      <c r="AI25" s="533"/>
      <c r="AJ25" s="533"/>
      <c r="AK25" s="533"/>
      <c r="AS25" s="1179">
        <v>14</v>
      </c>
    </row>
    <row customHeight="1" ht="14.699999999999998">
      <c r="Q26" s="400"/>
      <c r="R26" s="400"/>
      <c r="S26" s="22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2"/>
      <c r="U26" s="2272"/>
      <c r="V26" s="2272"/>
      <c r="W26" s="2272"/>
      <c r="X26" s="2272"/>
      <c r="Y26" s="2272"/>
      <c r="Z26" s="2272"/>
      <c r="AA26" s="2272"/>
      <c r="AB26" s="2272"/>
      <c r="AC26" s="2272"/>
      <c r="AD26" s="2272"/>
      <c r="AE26" s="2272"/>
      <c r="AF26" s="2272"/>
      <c r="AG26" s="2272"/>
      <c r="AH26" s="2272"/>
      <c r="AI26" s="2272"/>
      <c r="AJ26" s="2272"/>
      <c r="AK26" s="1267"/>
      <c r="AS26" s="1179">
        <v>14</v>
      </c>
    </row>
    <row customHeight="1" ht="14.699999999999998">
      <c r="Q27" s="400"/>
      <c r="R27" s="400"/>
      <c r="S27" s="2273" t="str">
        <f>IF(org=0,"Не определено",org)</f>
        <v>АО "ДГК"</v>
      </c>
      <c r="T27" s="2273"/>
      <c r="U27" s="2273"/>
      <c r="V27" s="2273"/>
      <c r="W27" s="2273"/>
      <c r="X27" s="2273"/>
      <c r="Y27" s="2273"/>
      <c r="Z27" s="2273"/>
      <c r="AA27" s="2273"/>
      <c r="AB27" s="2273"/>
      <c r="AC27" s="2273"/>
      <c r="AD27" s="2273"/>
      <c r="AE27" s="2273"/>
      <c r="AF27" s="2273"/>
      <c r="AG27" s="2273"/>
      <c r="AH27" s="2273"/>
      <c r="AI27" s="2273"/>
      <c r="AJ27" s="2273"/>
      <c r="AK27" s="1267"/>
      <c r="AS27" s="1179">
        <v>14</v>
      </c>
    </row>
    <row customHeight="1" ht="14.25" hidden="1">
      <c r="Q28" s="400"/>
      <c r="R28" s="400"/>
      <c r="S28" s="1299"/>
      <c r="T28" s="387"/>
      <c r="U28" s="387"/>
      <c r="V28" s="346"/>
      <c r="W28" s="346"/>
      <c r="X28" s="346"/>
      <c r="Y28" s="346"/>
      <c r="Z28" s="346"/>
      <c r="AA28" s="346"/>
      <c r="AB28" s="346"/>
      <c r="AC28" s="346"/>
      <c r="AD28" s="346"/>
      <c r="AE28" s="346"/>
      <c r="AF28" s="346"/>
      <c r="AG28" s="346"/>
      <c r="AH28" s="346"/>
      <c r="AI28" s="346"/>
      <c r="AJ28" s="346"/>
      <c r="AK28" s="346"/>
      <c r="AL28" s="533"/>
      <c r="AS28" s="1179">
        <v>0</v>
      </c>
    </row>
    <row s="1877" customFormat="1" customHeight="1" ht="25.5" hidden="1">
      <c r="A29" s="1392"/>
      <c r="B29" s="1392"/>
      <c r="C29" s="1392"/>
      <c r="D29" s="1392"/>
      <c r="E29" s="1392"/>
      <c r="F29" s="1392"/>
      <c r="G29" s="1392"/>
      <c r="H29" s="1392"/>
      <c r="I29" s="1392"/>
      <c r="J29" s="1392"/>
      <c r="K29" s="1392"/>
      <c r="L29" s="1393"/>
      <c r="M29" s="1392"/>
      <c r="N29" s="1392"/>
      <c r="O29" s="1392"/>
      <c r="S29" s="2274" t="s">
        <v>42</v>
      </c>
      <c r="T29" s="2274"/>
      <c r="U29" s="1396"/>
      <c r="V29" s="2275" t="str">
        <f>IF(TITLE_NAME_OR_PR_CHANGE="",IF(TITLE_NAME_OR_PR="","",TITLE_NAME_OR_PR),TITLE_NAME_OR_PR_CHANGE)</f>
        <v/>
      </c>
      <c r="W29" s="2275"/>
      <c r="X29" s="2275"/>
      <c r="Y29" s="2275"/>
      <c r="Z29" s="2275"/>
      <c r="AA29" s="2275"/>
      <c r="AB29" s="2275"/>
      <c r="AC29" s="350"/>
      <c r="AD29" s="2275" t="str">
        <f>IF(TITLE_NAME_OR_PR_CHANGE="",IF(TITLE_NAME_OR_PR="","",TITLE_NAME_OR_PR),TITLE_NAME_OR_PR_CHANGE)</f>
        <v/>
      </c>
      <c r="AE29" s="2275"/>
      <c r="AF29" s="2275"/>
      <c r="AG29" s="2275"/>
      <c r="AH29" s="2275"/>
      <c r="AI29" s="2275"/>
      <c r="AJ29" s="2275"/>
      <c r="AK29" s="350"/>
      <c r="AL29" s="350"/>
      <c r="AM29" s="304"/>
      <c r="AN29" s="392"/>
      <c r="AO29" s="392"/>
      <c r="AP29" s="392"/>
      <c r="AQ29" s="392"/>
      <c r="AR29" s="392"/>
      <c r="AS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507</v>
      </c>
      <c r="T30" s="2274"/>
      <c r="U30" s="1396"/>
      <c r="V30" s="2288" t="str">
        <f>IF(TITLE_DATE_PR_CHANGE="",IF(TITLE_DATE_PR="","",TITLE_DATE_PR),TITLE_DATE_PR_CHANGE)</f>
        <v/>
      </c>
      <c r="W30" s="2288"/>
      <c r="X30" s="2288"/>
      <c r="Y30" s="2288"/>
      <c r="Z30" s="2288"/>
      <c r="AA30" s="2288"/>
      <c r="AB30" s="2288"/>
      <c r="AC30" s="350"/>
      <c r="AD30" s="2288" t="str">
        <f>IF(TITLE_DATE_PR_CHANGE="",IF(TITLE_DATE_PR="","",TITLE_DATE_PR),TITLE_DATE_PR_CHANGE)</f>
        <v/>
      </c>
      <c r="AE30" s="2288"/>
      <c r="AF30" s="2288"/>
      <c r="AG30" s="2288"/>
      <c r="AH30" s="2288"/>
      <c r="AI30" s="2288"/>
      <c r="AJ30" s="2288"/>
      <c r="AK30" s="350"/>
      <c r="AL30" s="350"/>
      <c r="AM30" s="304"/>
      <c r="AN30" s="392"/>
      <c r="AO30" s="392"/>
      <c r="AP30" s="392"/>
      <c r="AQ30" s="392"/>
      <c r="AR30" s="392"/>
      <c r="AS30" s="442">
        <v>0</v>
      </c>
    </row>
    <row s="1877" customFormat="1" customHeight="1" ht="18.75" hidden="1">
      <c r="A31" s="1392"/>
      <c r="B31" s="1392"/>
      <c r="C31" s="1392"/>
      <c r="D31" s="1392"/>
      <c r="E31" s="1392"/>
      <c r="F31" s="1392"/>
      <c r="G31" s="1392"/>
      <c r="H31" s="1392"/>
      <c r="I31" s="1392"/>
      <c r="J31" s="1392"/>
      <c r="K31" s="1392"/>
      <c r="L31" s="1393"/>
      <c r="M31" s="1392"/>
      <c r="N31" s="1392"/>
      <c r="O31" s="1392"/>
      <c r="S31" s="2274" t="s">
        <v>508</v>
      </c>
      <c r="T31" s="2274"/>
      <c r="U31" s="1396"/>
      <c r="V31" s="2275" t="str">
        <f>IF(TITLE_NUMBER_PR_CHANGE="",IF(TITLE_NUMBER_PR="","",TITLE_NUMBER_PR),TITLE_NUMBER_PR_CHANGE)</f>
        <v/>
      </c>
      <c r="W31" s="2275"/>
      <c r="X31" s="2275"/>
      <c r="Y31" s="2275"/>
      <c r="Z31" s="2275"/>
      <c r="AA31" s="2275"/>
      <c r="AB31" s="2275"/>
      <c r="AC31" s="350"/>
      <c r="AD31" s="2275" t="str">
        <f>IF(TITLE_NUMBER_PR_CHANGE="",IF(TITLE_NUMBER_PR="","",TITLE_NUMBER_PR),TITLE_NUMBER_PR_CHANGE)</f>
        <v/>
      </c>
      <c r="AE31" s="2275"/>
      <c r="AF31" s="2275"/>
      <c r="AG31" s="2275"/>
      <c r="AH31" s="2275"/>
      <c r="AI31" s="2275"/>
      <c r="AJ31" s="2275"/>
      <c r="AK31" s="350"/>
      <c r="AL31" s="350"/>
      <c r="AM31" s="304"/>
      <c r="AN31" s="392"/>
      <c r="AO31" s="392"/>
      <c r="AP31" s="392"/>
      <c r="AQ31" s="392"/>
      <c r="AR31" s="392"/>
      <c r="AS31" s="442">
        <v>0</v>
      </c>
    </row>
    <row s="1877" customFormat="1" customHeight="1" ht="18.75" hidden="1">
      <c r="A32" s="1392"/>
      <c r="B32" s="1392"/>
      <c r="C32" s="1392"/>
      <c r="D32" s="1392"/>
      <c r="E32" s="1392"/>
      <c r="F32" s="1392"/>
      <c r="G32" s="1392"/>
      <c r="H32" s="1392"/>
      <c r="I32" s="1392"/>
      <c r="J32" s="1392"/>
      <c r="K32" s="1392"/>
      <c r="L32" s="1393"/>
      <c r="M32" s="1392"/>
      <c r="N32" s="1392"/>
      <c r="O32" s="1392"/>
      <c r="S32" s="2274" t="s">
        <v>43</v>
      </c>
      <c r="T32" s="2274"/>
      <c r="U32" s="1396"/>
      <c r="V32" s="2275" t="str">
        <f>IF(TITLE_IST_PUB_CHANGE="",IF(TITLE_IST_PUB="","",TITLE_IST_PUB),TITLE_IST_PUB_CHANGE)</f>
        <v/>
      </c>
      <c r="W32" s="2275"/>
      <c r="X32" s="2275"/>
      <c r="Y32" s="2275"/>
      <c r="Z32" s="2275"/>
      <c r="AA32" s="2275"/>
      <c r="AB32" s="2275"/>
      <c r="AC32" s="350"/>
      <c r="AD32" s="2275" t="str">
        <f>IF(TITLE_IST_PUB_CHANGE="",IF(TITLE_IST_PUB="","",TITLE_IST_PUB),TITLE_IST_PUB_CHANGE)</f>
        <v/>
      </c>
      <c r="AE32" s="2275"/>
      <c r="AF32" s="2275"/>
      <c r="AG32" s="2275"/>
      <c r="AH32" s="2275"/>
      <c r="AI32" s="2275"/>
      <c r="AJ32" s="2275"/>
      <c r="AK32" s="350"/>
      <c r="AL32" s="350"/>
      <c r="AM32" s="304"/>
      <c r="AN32" s="392"/>
      <c r="AO32" s="392"/>
      <c r="AP32" s="392"/>
      <c r="AQ32" s="392"/>
      <c r="AR32" s="392"/>
      <c r="AS32" s="442">
        <v>0</v>
      </c>
    </row>
    <row customHeight="1" ht="14.25" hidden="1">
      <c r="P33" s="1352"/>
      <c r="Q33" s="400"/>
      <c r="R33" s="400"/>
      <c r="S33" s="1299"/>
      <c r="T33" s="387"/>
      <c r="U33" s="387"/>
      <c r="V33" s="346"/>
      <c r="W33" s="346"/>
      <c r="X33" s="346"/>
      <c r="Y33" s="346"/>
      <c r="Z33" s="346"/>
      <c r="AA33" s="346"/>
      <c r="AB33" s="346"/>
      <c r="AC33" s="346"/>
      <c r="AD33" s="346"/>
      <c r="AE33" s="346"/>
      <c r="AF33" s="346"/>
      <c r="AG33" s="346"/>
      <c r="AH33" s="346"/>
      <c r="AI33" s="346"/>
      <c r="AJ33" s="346"/>
      <c r="AK33" s="346"/>
      <c r="AL33" s="533"/>
      <c r="AS33" s="1179">
        <v>0</v>
      </c>
    </row>
    <row s="1877" customFormat="1" customHeight="1" ht="18.75" hidden="1">
      <c r="A34" s="1392"/>
      <c r="B34" s="1392"/>
      <c r="C34" s="1392"/>
      <c r="D34" s="1392"/>
      <c r="E34" s="1392"/>
      <c r="F34" s="1392"/>
      <c r="G34" s="1392"/>
      <c r="H34" s="1392"/>
      <c r="I34" s="1392"/>
      <c r="J34" s="1392"/>
      <c r="K34" s="1392"/>
      <c r="L34" s="1393"/>
      <c r="M34" s="1392"/>
      <c r="N34" s="1392"/>
      <c r="O34" s="1392"/>
      <c r="S34" s="2274" t="s">
        <v>509</v>
      </c>
      <c r="T34" s="2274"/>
      <c r="U34" s="1396"/>
      <c r="V34" s="2288" t="str">
        <f>IF(TITLE_DATE_PR_CHANGE="",IF(TITLE_DATE_PR="","",TITLE_DATE_PR),TITLE_DATE_PR_CHANGE)</f>
        <v/>
      </c>
      <c r="W34" s="2288"/>
      <c r="X34" s="2288"/>
      <c r="Y34" s="2288"/>
      <c r="Z34" s="2288"/>
      <c r="AA34" s="2288"/>
      <c r="AB34" s="2288"/>
      <c r="AC34" s="350"/>
      <c r="AD34" s="2288" t="str">
        <f>IF(TITLE_DATE_PR_CHANGE="",IF(TITLE_DATE_PR="","",TITLE_DATE_PR),TITLE_DATE_PR_CHANGE)</f>
        <v/>
      </c>
      <c r="AE34" s="2288"/>
      <c r="AF34" s="2288"/>
      <c r="AG34" s="2288"/>
      <c r="AH34" s="2288"/>
      <c r="AI34" s="2288"/>
      <c r="AJ34" s="2288"/>
      <c r="AK34" s="350"/>
      <c r="AL34" s="350"/>
      <c r="AM34" s="304"/>
      <c r="AN34" s="392"/>
      <c r="AO34" s="392"/>
      <c r="AP34" s="392"/>
      <c r="AQ34" s="392"/>
      <c r="AR34" s="392"/>
      <c r="AS34" s="442">
        <v>0</v>
      </c>
    </row>
    <row s="1877" customFormat="1" customHeight="1" ht="18.75" hidden="1">
      <c r="A35" s="1392"/>
      <c r="B35" s="1392"/>
      <c r="C35" s="1392"/>
      <c r="D35" s="1392"/>
      <c r="E35" s="1392"/>
      <c r="F35" s="1392"/>
      <c r="G35" s="1392"/>
      <c r="H35" s="1392"/>
      <c r="I35" s="1392"/>
      <c r="J35" s="1392"/>
      <c r="K35" s="1392"/>
      <c r="L35" s="1393"/>
      <c r="M35" s="1392"/>
      <c r="N35" s="1392"/>
      <c r="O35" s="1392"/>
      <c r="S35" s="2274" t="s">
        <v>510</v>
      </c>
      <c r="T35" s="2274"/>
      <c r="U35" s="1396"/>
      <c r="V35" s="2275" t="str">
        <f>IF(TITLE_NUMBER_PR_CHANGE="",IF(TITLE_NUMBER_PR="","",TITLE_NUMBER_PR),TITLE_NUMBER_PR_CHANGE)</f>
        <v/>
      </c>
      <c r="W35" s="2275"/>
      <c r="X35" s="2275"/>
      <c r="Y35" s="2275"/>
      <c r="Z35" s="2275"/>
      <c r="AA35" s="2275"/>
      <c r="AB35" s="2275"/>
      <c r="AC35" s="350"/>
      <c r="AD35" s="2275" t="str">
        <f>IF(TITLE_NUMBER_PR_CHANGE="",IF(TITLE_NUMBER_PR="","",TITLE_NUMBER_PR),TITLE_NUMBER_PR_CHANGE)</f>
        <v/>
      </c>
      <c r="AE35" s="2275"/>
      <c r="AF35" s="2275"/>
      <c r="AG35" s="2275"/>
      <c r="AH35" s="2275"/>
      <c r="AI35" s="2275"/>
      <c r="AJ35" s="2275"/>
      <c r="AK35" s="350"/>
      <c r="AL35" s="350"/>
      <c r="AM35" s="304"/>
      <c r="AN35" s="392"/>
      <c r="AO35" s="392"/>
      <c r="AP35" s="392"/>
      <c r="AQ35" s="392"/>
      <c r="AR35" s="392"/>
      <c r="AS35" s="442">
        <v>0</v>
      </c>
    </row>
    <row s="1877" customFormat="1" customHeight="1" ht="0">
      <c r="A36" s="1392"/>
      <c r="B36" s="1392"/>
      <c r="C36" s="1392"/>
      <c r="D36" s="1392"/>
      <c r="E36" s="1392"/>
      <c r="F36" s="1392"/>
      <c r="G36" s="1392"/>
      <c r="H36" s="1392"/>
      <c r="I36" s="1392"/>
      <c r="J36" s="1392"/>
      <c r="K36" s="1392"/>
      <c r="L36" s="1393"/>
      <c r="M36" s="1392"/>
      <c r="N36" s="1392"/>
      <c r="O36" s="1392"/>
      <c r="S36" s="347"/>
      <c r="T36" s="347"/>
      <c r="U36" s="1243"/>
      <c r="V36" s="350"/>
      <c r="W36" s="350"/>
      <c r="X36" s="350"/>
      <c r="Y36" s="350"/>
      <c r="Z36" s="350"/>
      <c r="AA36" s="350"/>
      <c r="AB36" s="350"/>
      <c r="AC36" s="302" t="s">
        <v>511</v>
      </c>
      <c r="AD36" s="350"/>
      <c r="AE36" s="350"/>
      <c r="AF36" s="350"/>
      <c r="AG36" s="350"/>
      <c r="AH36" s="350"/>
      <c r="AI36" s="350"/>
      <c r="AJ36" s="350"/>
      <c r="AK36" s="302" t="s">
        <v>511</v>
      </c>
      <c r="AN36" s="392"/>
      <c r="AO36" s="392"/>
      <c r="AP36" s="392"/>
      <c r="AQ36" s="392"/>
      <c r="AR36" s="392"/>
      <c r="AS36" s="442">
        <v>0</v>
      </c>
    </row>
    <row customHeight="1" ht="14.699999999999998">
      <c r="Q37" s="400"/>
      <c r="R37" s="400"/>
      <c r="S37" s="1299"/>
      <c r="T37" s="387"/>
      <c r="U37" s="1268"/>
      <c r="V37" s="2276"/>
      <c r="W37" s="2276"/>
      <c r="X37" s="2276"/>
      <c r="Y37" s="2276"/>
      <c r="Z37" s="2276"/>
      <c r="AA37" s="2276"/>
      <c r="AB37" s="2276"/>
      <c r="AC37" s="2276"/>
      <c r="AD37" s="2276"/>
      <c r="AE37" s="2276"/>
      <c r="AF37" s="2276"/>
      <c r="AG37" s="2276"/>
      <c r="AH37" s="2276"/>
      <c r="AI37" s="2276"/>
      <c r="AJ37" s="2276"/>
      <c r="AK37" s="2276"/>
      <c r="AS37" s="1179">
        <v>14</v>
      </c>
    </row>
    <row customHeight="1" ht="14.699999999999998">
      <c r="Q38" s="400"/>
      <c r="R38" s="400"/>
      <c r="S38" s="2151" t="s">
        <v>384</v>
      </c>
      <c r="T38" s="2151"/>
      <c r="U38" s="2151"/>
      <c r="V38" s="2151"/>
      <c r="W38" s="2151"/>
      <c r="X38" s="2151"/>
      <c r="Y38" s="2151"/>
      <c r="Z38" s="2151"/>
      <c r="AA38" s="2151"/>
      <c r="AB38" s="2151"/>
      <c r="AC38" s="2151"/>
      <c r="AD38" s="2151"/>
      <c r="AE38" s="2151"/>
      <c r="AF38" s="2151"/>
      <c r="AG38" s="2151"/>
      <c r="AH38" s="2151"/>
      <c r="AI38" s="2151"/>
      <c r="AJ38" s="2151"/>
      <c r="AK38" s="2151"/>
      <c r="AL38" s="2151"/>
      <c r="AM38" s="2151" t="s">
        <v>385</v>
      </c>
      <c r="AS38" s="1179">
        <v>14</v>
      </c>
    </row>
    <row customHeight="1" ht="14.699999999999998">
      <c r="Q39" s="400"/>
      <c r="R39" s="400"/>
      <c r="S39" s="2297" t="s">
        <v>88</v>
      </c>
      <c r="T39" s="2233" t="s">
        <v>512</v>
      </c>
      <c r="U39" s="325"/>
      <c r="V39" s="2298" t="s">
        <v>513</v>
      </c>
      <c r="W39" s="2299"/>
      <c r="X39" s="2299"/>
      <c r="Y39" s="2299"/>
      <c r="Z39" s="2299"/>
      <c r="AA39" s="2299"/>
      <c r="AB39" s="2300"/>
      <c r="AC39" s="2301" t="s">
        <v>514</v>
      </c>
      <c r="AD39" s="2298" t="s">
        <v>513</v>
      </c>
      <c r="AE39" s="2299"/>
      <c r="AF39" s="2299"/>
      <c r="AG39" s="2299"/>
      <c r="AH39" s="2299"/>
      <c r="AI39" s="2299"/>
      <c r="AJ39" s="2300"/>
      <c r="AK39" s="2301" t="s">
        <v>515</v>
      </c>
      <c r="AL39" s="2304" t="s">
        <v>516</v>
      </c>
      <c r="AM39" s="2151"/>
      <c r="AS39" s="1179">
        <v>14</v>
      </c>
    </row>
    <row customHeight="1" ht="35.699999999999996">
      <c r="Q40" s="400"/>
      <c r="R40" s="400"/>
      <c r="S40" s="2297"/>
      <c r="T40" s="2233"/>
      <c r="U40" s="1055"/>
      <c r="V40" s="2284" t="s">
        <v>517</v>
      </c>
      <c r="W40" s="2634" t="s">
        <v>518</v>
      </c>
      <c r="X40" s="2286" t="s">
        <v>519</v>
      </c>
      <c r="Y40" s="2287"/>
      <c r="Z40" s="2286" t="s">
        <v>520</v>
      </c>
      <c r="AA40" s="2293"/>
      <c r="AB40" s="2287"/>
      <c r="AC40" s="2302"/>
      <c r="AD40" s="2284" t="s">
        <v>517</v>
      </c>
      <c r="AE40" s="2307" t="s">
        <v>518</v>
      </c>
      <c r="AF40" s="2286" t="s">
        <v>519</v>
      </c>
      <c r="AG40" s="2287"/>
      <c r="AH40" s="2286" t="s">
        <v>520</v>
      </c>
      <c r="AI40" s="2293"/>
      <c r="AJ40" s="2287"/>
      <c r="AK40" s="2302"/>
      <c r="AL40" s="2305"/>
      <c r="AM40" s="2151"/>
      <c r="AS40" s="1179">
        <v>34</v>
      </c>
    </row>
    <row customHeight="1" ht="35.699999999999996">
      <c r="A41" s="1394"/>
      <c r="B41" s="1394" t="s">
        <v>223</v>
      </c>
      <c r="C41" s="1394" t="s">
        <v>224</v>
      </c>
      <c r="D41" s="1394" t="s">
        <v>225</v>
      </c>
      <c r="E41" s="1388" t="s">
        <v>521</v>
      </c>
      <c r="F41" s="1388" t="s">
        <v>522</v>
      </c>
      <c r="G41" s="1388" t="s">
        <v>523</v>
      </c>
      <c r="H41" s="1388" t="s">
        <v>524</v>
      </c>
      <c r="I41" s="1388" t="s">
        <v>525</v>
      </c>
      <c r="J41" s="1388" t="s">
        <v>526</v>
      </c>
      <c r="K41" s="1388" t="s">
        <v>527</v>
      </c>
      <c r="L41" s="1388" t="s">
        <v>502</v>
      </c>
      <c r="Q41" s="400"/>
      <c r="R41" s="400"/>
      <c r="S41" s="2297"/>
      <c r="T41" s="2233"/>
      <c r="U41" s="326"/>
      <c r="V41" s="2285"/>
      <c r="W41" s="2308"/>
      <c r="X41" s="1246" t="s">
        <v>528</v>
      </c>
      <c r="Y41" s="1246" t="s">
        <v>529</v>
      </c>
      <c r="Z41" s="1245" t="s">
        <v>530</v>
      </c>
      <c r="AA41" s="2294" t="s">
        <v>531</v>
      </c>
      <c r="AB41" s="2295"/>
      <c r="AC41" s="2303"/>
      <c r="AD41" s="2285"/>
      <c r="AE41" s="2308"/>
      <c r="AF41" s="1246" t="s">
        <v>528</v>
      </c>
      <c r="AG41" s="1246" t="s">
        <v>529</v>
      </c>
      <c r="AH41" s="1337" t="s">
        <v>530</v>
      </c>
      <c r="AI41" s="2294" t="s">
        <v>531</v>
      </c>
      <c r="AJ41" s="2295"/>
      <c r="AK41" s="2303"/>
      <c r="AL41" s="2306"/>
      <c r="AM41" s="2151"/>
      <c r="AS41" s="1179">
        <v>34</v>
      </c>
    </row>
    <row s="1665" customFormat="1" customHeight="1" ht="11.25" hidden="1">
      <c r="A42" s="1394"/>
      <c r="B42" s="1394"/>
      <c r="C42" s="1394"/>
      <c r="D42" s="1394"/>
      <c r="E42" s="1394"/>
      <c r="F42" s="1394"/>
      <c r="G42" s="1394"/>
      <c r="H42" s="1394"/>
      <c r="I42" s="1394"/>
      <c r="J42" s="1394"/>
      <c r="K42" s="1394"/>
      <c r="L42" s="1388"/>
      <c r="M42" s="1386"/>
      <c r="N42" s="1386"/>
      <c r="O42" s="1386"/>
      <c r="P42" s="1270"/>
      <c r="Q42" s="1271"/>
      <c r="R42" s="1278">
        <v>1</v>
      </c>
      <c r="S42" s="1301" t="s">
        <v>170</v>
      </c>
      <c r="T42" s="1279" t="s">
        <v>103</v>
      </c>
      <c r="U42" s="1269" t="str">
        <f>OFFSET(U42,0,-1)</f>
        <v>2</v>
      </c>
      <c r="V42" s="1280">
        <f>OFFSET(V42,0,-1)+1</f>
        <v>3</v>
      </c>
      <c r="W42" s="1280"/>
      <c r="X42" s="1280">
        <f>OFFSET(X42,0,-1)+1</f>
        <v>1</v>
      </c>
      <c r="Y42" s="1280">
        <f>OFFSET(Y42,0,-1)+1</f>
        <v>2</v>
      </c>
      <c r="Z42" s="1280">
        <f>OFFSET(Z42,0,-1)+1</f>
        <v>3</v>
      </c>
      <c r="AA42" s="2296">
        <f>OFFSET(AA42,0,-1)+1</f>
        <v>4</v>
      </c>
      <c r="AB42" s="2296"/>
      <c r="AC42" s="1280">
        <f>OFFSET(AC42,0,-2)+1</f>
        <v>5</v>
      </c>
      <c r="AD42" s="1336">
        <f>OFFSET(AD42,0,-1)+1</f>
        <v>6</v>
      </c>
      <c r="AE42" s="1336"/>
      <c r="AF42" s="1336">
        <f>OFFSET(AF42,0,-1)+1</f>
        <v>1</v>
      </c>
      <c r="AG42" s="1336">
        <f>OFFSET(AG42,0,-1)+1</f>
        <v>2</v>
      </c>
      <c r="AH42" s="1336">
        <f>OFFSET(AH42,0,-1)+1</f>
        <v>3</v>
      </c>
      <c r="AI42" s="2296">
        <f>OFFSET(AI42,0,-1)+1</f>
        <v>4</v>
      </c>
      <c r="AJ42" s="2296"/>
      <c r="AK42" s="1336">
        <f>OFFSET(AK42,0,-2)+1</f>
        <v>5</v>
      </c>
      <c r="AL42" s="1269">
        <f>OFFSET(AL42,0,-1)</f>
        <v>5</v>
      </c>
      <c r="AM42" s="1280">
        <f>OFFSET(AM42,0,-1)+1</f>
        <v>6</v>
      </c>
      <c r="AN42" s="535"/>
      <c r="AO42" s="535"/>
      <c r="AP42" s="535"/>
      <c r="AQ42" s="535"/>
      <c r="AR42" s="535"/>
      <c r="AS42" s="520">
        <v>0</v>
      </c>
    </row>
    <row customHeight="1" ht="24">
      <c r="A43" s="1387" t="s">
        <v>242</v>
      </c>
      <c r="B43" s="1387"/>
      <c r="C43" s="1387"/>
      <c r="D43" s="1387"/>
      <c r="E43" s="2282">
        <v>1</v>
      </c>
      <c r="F43" s="1387"/>
      <c r="G43" s="1387"/>
      <c r="H43" s="1387"/>
      <c r="I43" s="1387"/>
      <c r="J43" s="1387"/>
      <c r="K43" s="1387"/>
      <c r="L43" s="1388"/>
      <c r="M43" s="1389"/>
      <c r="N43" s="1389"/>
      <c r="O43" s="1389"/>
      <c r="P43" s="385"/>
      <c r="Q43" s="384"/>
      <c r="R43" s="379"/>
      <c r="S43" s="1248">
        <f>INDEX(PT_DIFFERENTIATION_NUM_NTAR,MATCH(A43,PT_DIFFERENTIATION_NTAR_ID,0))</f>
        <v>0</v>
      </c>
      <c r="T43" s="322" t="s">
        <v>211</v>
      </c>
      <c r="U43" s="324"/>
      <c r="V43" s="2266"/>
      <c r="W43" s="2267"/>
      <c r="X43" s="2267"/>
      <c r="Y43" s="2267"/>
      <c r="Z43" s="2267"/>
      <c r="AA43" s="2267"/>
      <c r="AB43" s="2267"/>
      <c r="AC43" s="2268"/>
      <c r="AD43" s="2266" t="str">
        <f>INDEX(PT_DIFFERENTIATION_NTAR,MATCH(A43,PT_DIFFERENTIATION_NTAR_ID,0))</f>
        <v/>
      </c>
      <c r="AE43" s="2267"/>
      <c r="AF43" s="2267"/>
      <c r="AG43" s="2267"/>
      <c r="AH43" s="2267"/>
      <c r="AI43" s="2267"/>
      <c r="AJ43" s="2267"/>
      <c r="AK43" s="2267"/>
      <c r="AL43" s="2268"/>
      <c r="AM43" s="12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24"/>
      <c r="AP43" s="524" t="str">
        <f>IF(T43="","",T43)</f>
        <v>Наименование тарифа</v>
      </c>
      <c r="AQ43" s="524"/>
      <c r="AR43" s="524"/>
      <c r="AS43" s="1179">
        <v>23</v>
      </c>
    </row>
    <row customHeight="1" ht="24">
      <c r="A44" s="1387" t="s">
        <v>242</v>
      </c>
      <c r="B44" s="1387" t="s">
        <v>243</v>
      </c>
      <c r="C44" s="1387"/>
      <c r="D44" s="1387"/>
      <c r="E44" s="2283"/>
      <c r="F44" s="2282">
        <v>1</v>
      </c>
      <c r="G44" s="1387"/>
      <c r="H44" s="1387"/>
      <c r="I44" s="1387"/>
      <c r="J44" s="1387"/>
      <c r="K44" s="1387"/>
      <c r="L44" s="1388"/>
      <c r="M44" s="1389"/>
      <c r="N44" s="1389"/>
      <c r="O44" s="1389"/>
      <c r="P44" s="546"/>
      <c r="Q44" s="376"/>
      <c r="R44" s="377"/>
      <c r="S44" s="1248" t="str">
        <f>INDEX(PT_DIFFERENTIATION_NUM_TER,MATCH(B44,PT_DIFFERENTIATION_TER_ID,0))</f>
        <v>.</v>
      </c>
      <c r="T44" s="332" t="s">
        <v>481</v>
      </c>
      <c r="U44" s="324"/>
      <c r="V44" s="2266"/>
      <c r="W44" s="2267"/>
      <c r="X44" s="2267"/>
      <c r="Y44" s="2267"/>
      <c r="Z44" s="2267"/>
      <c r="AA44" s="2267"/>
      <c r="AB44" s="2267"/>
      <c r="AC44" s="2268"/>
      <c r="AD44" s="2266" t="str">
        <f>INDEX(PT_DIFFERENTIATION_TER,MATCH(B44,PT_DIFFERENTIATION_TER_ID,0))</f>
        <v/>
      </c>
      <c r="AE44" s="2267"/>
      <c r="AF44" s="2267"/>
      <c r="AG44" s="2267"/>
      <c r="AH44" s="2267"/>
      <c r="AI44" s="2267"/>
      <c r="AJ44" s="2267"/>
      <c r="AK44" s="2267"/>
      <c r="AL44" s="2268"/>
      <c r="AM44" s="1282" t="s">
        <v>482</v>
      </c>
      <c r="AO44" s="524"/>
      <c r="AP44" s="524" t="str">
        <f>IF(T44="","",T44)</f>
        <v>Территория действия тарифа</v>
      </c>
      <c r="AQ44" s="524"/>
      <c r="AR44" s="524"/>
      <c r="AS44" s="1179">
        <v>23</v>
      </c>
    </row>
    <row customHeight="1" ht="24">
      <c r="A45" s="1387" t="s">
        <v>242</v>
      </c>
      <c r="B45" s="1387" t="s">
        <v>243</v>
      </c>
      <c r="C45" s="1387" t="s">
        <v>244</v>
      </c>
      <c r="D45" s="1387"/>
      <c r="E45" s="2283"/>
      <c r="F45" s="2283"/>
      <c r="G45" s="2282">
        <v>1</v>
      </c>
      <c r="H45" s="1387"/>
      <c r="I45" s="1387"/>
      <c r="J45" s="1387"/>
      <c r="K45" s="1387"/>
      <c r="L45" s="1388"/>
      <c r="M45" s="1389"/>
      <c r="N45" s="1389"/>
      <c r="O45" s="1389"/>
      <c r="P45" s="378"/>
      <c r="Q45" s="376"/>
      <c r="R45" s="377"/>
      <c r="S45" s="1248" t="str">
        <f>INDEX(PT_DIFFERENTIATION_NUM_CS,MATCH(C45,PT_DIFFERENTIATION_CS_ID,0))</f>
        <v>..</v>
      </c>
      <c r="T45" s="333" t="s">
        <v>483</v>
      </c>
      <c r="U45" s="324"/>
      <c r="V45" s="2266"/>
      <c r="W45" s="2267"/>
      <c r="X45" s="2267"/>
      <c r="Y45" s="2267"/>
      <c r="Z45" s="2267"/>
      <c r="AA45" s="2267"/>
      <c r="AB45" s="2267"/>
      <c r="AC45" s="2268"/>
      <c r="AD45" s="2266" t="str">
        <f>INDEX(PT_DIFFERENTIATION_CS,MATCH(C45,PT_DIFFERENTIATION_CS_ID,0))</f>
        <v/>
      </c>
      <c r="AE45" s="2267"/>
      <c r="AF45" s="2267"/>
      <c r="AG45" s="2267"/>
      <c r="AH45" s="2267"/>
      <c r="AI45" s="2267"/>
      <c r="AJ45" s="2267"/>
      <c r="AK45" s="2267"/>
      <c r="AL45" s="2268"/>
      <c r="AM45" s="1282" t="s">
        <v>484</v>
      </c>
      <c r="AO45" s="524"/>
      <c r="AP45" s="524" t="str">
        <f>IF(T45="","",T45)</f>
        <v>Наименование системы теплоснабжения </v>
      </c>
      <c r="AQ45" s="524"/>
      <c r="AR45" s="524"/>
      <c r="AS45" s="1179">
        <v>23</v>
      </c>
    </row>
    <row customHeight="1" ht="24">
      <c r="A46" s="1387" t="s">
        <v>242</v>
      </c>
      <c r="B46" s="1387" t="s">
        <v>243</v>
      </c>
      <c r="C46" s="1387" t="s">
        <v>244</v>
      </c>
      <c r="D46" s="1387" t="s">
        <v>245</v>
      </c>
      <c r="E46" s="2283"/>
      <c r="F46" s="2283"/>
      <c r="G46" s="2283"/>
      <c r="H46" s="2282">
        <v>1</v>
      </c>
      <c r="I46" s="1387"/>
      <c r="J46" s="1387"/>
      <c r="K46" s="1387"/>
      <c r="L46" s="1388"/>
      <c r="M46" s="1389"/>
      <c r="N46" s="1389"/>
      <c r="O46" s="1389"/>
      <c r="P46" s="378"/>
      <c r="Q46" s="376"/>
      <c r="R46" s="377"/>
      <c r="S46" s="1248" t="str">
        <f>INDEX(PT_DIFFERENTIATION_NUM_IST_TE,MATCH(D46,PT_DIFFERENTIATION_IST_TE_ID,0))</f>
        <v>...</v>
      </c>
      <c r="T46" s="334" t="s">
        <v>485</v>
      </c>
      <c r="U46" s="324"/>
      <c r="V46" s="2266"/>
      <c r="W46" s="2267"/>
      <c r="X46" s="2267"/>
      <c r="Y46" s="2267"/>
      <c r="Z46" s="2267"/>
      <c r="AA46" s="2267"/>
      <c r="AB46" s="2267"/>
      <c r="AC46" s="2268"/>
      <c r="AD46" s="2266" t="str">
        <f>INDEX(PT_DIFFERENTIATION_IST_TE,MATCH(D46,PT_DIFFERENTIATION_IST_TE_ID,0))</f>
        <v/>
      </c>
      <c r="AE46" s="2267"/>
      <c r="AF46" s="2267"/>
      <c r="AG46" s="2267"/>
      <c r="AH46" s="2267"/>
      <c r="AI46" s="2267"/>
      <c r="AJ46" s="2267"/>
      <c r="AK46" s="2267"/>
      <c r="AL46" s="2268"/>
      <c r="AM46" s="1282" t="s">
        <v>486</v>
      </c>
      <c r="AO46" s="524"/>
      <c r="AP46" s="524" t="str">
        <f>IF(T46="","",T46)</f>
        <v>Источник тепловой энергии  </v>
      </c>
      <c r="AQ46" s="524"/>
      <c r="AR46" s="524"/>
      <c r="AS46" s="1179">
        <v>23</v>
      </c>
    </row>
    <row customHeight="1" ht="49.5">
      <c r="A47" s="1387" t="s">
        <v>242</v>
      </c>
      <c r="B47" s="1387" t="s">
        <v>243</v>
      </c>
      <c r="C47" s="1387" t="s">
        <v>244</v>
      </c>
      <c r="D47" s="1387" t="s">
        <v>245</v>
      </c>
      <c r="E47" s="2283"/>
      <c r="F47" s="2283"/>
      <c r="G47" s="2283"/>
      <c r="H47" s="2283"/>
      <c r="I47" s="2280" t="str">
        <f>S46&amp;".1"</f>
        <v>....1</v>
      </c>
      <c r="J47" s="1387"/>
      <c r="K47" s="1387"/>
      <c r="L47" s="1388" t="s">
        <v>487</v>
      </c>
      <c r="P47" s="2281">
        <v>1</v>
      </c>
      <c r="Q47" s="1244"/>
      <c r="R47" s="380"/>
      <c r="S47" s="1248" t="str">
        <f>$I47</f>
        <v>....1</v>
      </c>
      <c r="T47" s="309" t="s">
        <v>488</v>
      </c>
      <c r="U47" s="324"/>
      <c r="V47" s="2269"/>
      <c r="W47" s="2270"/>
      <c r="X47" s="2270"/>
      <c r="Y47" s="2270"/>
      <c r="Z47" s="2270"/>
      <c r="AA47" s="2270"/>
      <c r="AB47" s="2270"/>
      <c r="AC47" s="2271"/>
      <c r="AD47" s="2269"/>
      <c r="AE47" s="2270"/>
      <c r="AF47" s="2270"/>
      <c r="AG47" s="2270"/>
      <c r="AH47" s="2270"/>
      <c r="AI47" s="2270"/>
      <c r="AJ47" s="2270"/>
      <c r="AK47" s="2270"/>
      <c r="AL47" s="2271"/>
      <c r="AM47" s="1282" t="s">
        <v>489</v>
      </c>
      <c r="AO47" s="524"/>
      <c r="AP47" s="524" t="str">
        <f>IF(T47="","",T47)</f>
        <v>Схема подключения теплопотребляющей установки к коллектору источника тепловой энергии</v>
      </c>
      <c r="AQ47" s="524"/>
      <c r="AR47" s="524"/>
      <c r="AS47" s="1179">
        <v>47</v>
      </c>
    </row>
    <row customHeight="1" ht="24">
      <c r="A48" s="1387" t="s">
        <v>242</v>
      </c>
      <c r="B48" s="1387" t="s">
        <v>243</v>
      </c>
      <c r="C48" s="1387" t="s">
        <v>244</v>
      </c>
      <c r="D48" s="1387" t="s">
        <v>245</v>
      </c>
      <c r="E48" s="2283"/>
      <c r="F48" s="2283"/>
      <c r="G48" s="2283"/>
      <c r="H48" s="2283"/>
      <c r="I48" s="2310"/>
      <c r="J48" s="2280" t="str">
        <f>I47&amp;".1"</f>
        <v>....1.1</v>
      </c>
      <c r="K48" s="1387"/>
      <c r="L48" s="1388" t="s">
        <v>490</v>
      </c>
      <c r="P48" s="2281"/>
      <c r="Q48" s="2281">
        <v>1</v>
      </c>
      <c r="R48" s="381"/>
      <c r="S48" s="1248" t="str">
        <f>$J48</f>
        <v>....1.1</v>
      </c>
      <c r="T48" s="310" t="s">
        <v>491</v>
      </c>
      <c r="U48" s="324"/>
      <c r="V48" s="2269"/>
      <c r="W48" s="2270"/>
      <c r="X48" s="2270"/>
      <c r="Y48" s="2270"/>
      <c r="Z48" s="2270"/>
      <c r="AA48" s="2270"/>
      <c r="AB48" s="2270"/>
      <c r="AC48" s="2271"/>
      <c r="AD48" s="2269"/>
      <c r="AE48" s="2270"/>
      <c r="AF48" s="2270"/>
      <c r="AG48" s="2270"/>
      <c r="AH48" s="2270"/>
      <c r="AI48" s="2270"/>
      <c r="AJ48" s="2270"/>
      <c r="AK48" s="2270"/>
      <c r="AL48" s="2271"/>
      <c r="AM48" s="1282" t="s">
        <v>492</v>
      </c>
      <c r="AO48" s="524"/>
      <c r="AP48" s="524" t="str">
        <f>IF(T48="","",T48)</f>
        <v>Группа потребителей</v>
      </c>
      <c r="AQ48" s="524"/>
      <c r="AR48" s="524"/>
      <c r="AS48" s="1179">
        <v>23</v>
      </c>
    </row>
    <row customHeight="1" ht="24">
      <c r="A49" s="1387" t="s">
        <v>242</v>
      </c>
      <c r="B49" s="1387" t="s">
        <v>243</v>
      </c>
      <c r="C49" s="1387" t="s">
        <v>244</v>
      </c>
      <c r="D49" s="1387" t="s">
        <v>245</v>
      </c>
      <c r="E49" s="2283"/>
      <c r="F49" s="2283"/>
      <c r="G49" s="2283"/>
      <c r="H49" s="2283"/>
      <c r="I49" s="2310"/>
      <c r="J49" s="2310"/>
      <c r="K49" s="2280" t="str">
        <f>J48&amp;".1"</f>
        <v>....1.1.1</v>
      </c>
      <c r="L49" s="1388" t="s">
        <v>493</v>
      </c>
      <c r="P49" s="2281"/>
      <c r="Q49" s="2281"/>
      <c r="R49" s="381">
        <v>1</v>
      </c>
      <c r="S49" s="1248" t="str">
        <f>$K49</f>
        <v>....1.1.1</v>
      </c>
      <c r="T49" s="1371"/>
      <c r="U49" s="324"/>
      <c r="V49" s="775"/>
      <c r="W49" s="349"/>
      <c r="X49" s="775"/>
      <c r="Y49" s="1281"/>
      <c r="Z49" s="2289"/>
      <c r="AA49" s="2131" t="s">
        <v>66</v>
      </c>
      <c r="AB49" s="2289"/>
      <c r="AC49" s="2131" t="s">
        <v>66</v>
      </c>
      <c r="AD49" s="775"/>
      <c r="AE49" s="349"/>
      <c r="AF49" s="775"/>
      <c r="AG49" s="1281"/>
      <c r="AH49" s="2289"/>
      <c r="AI49" s="2131" t="s">
        <v>66</v>
      </c>
      <c r="AJ49" s="2311"/>
      <c r="AK49" s="2131" t="s">
        <v>66</v>
      </c>
      <c r="AL49" s="1372"/>
      <c r="AM49" s="2277" t="s">
        <v>494</v>
      </c>
      <c r="AN49" s="535">
        <f>STRCHECKDATE(V50:AL50)</f>
      </c>
      <c r="AO49" s="524"/>
      <c r="AP49" s="524" t="str">
        <f>IF(T49="","",T49)</f>
        <v/>
      </c>
      <c r="AQ49" s="524"/>
      <c r="AR49" s="524"/>
      <c r="AS49" s="1179">
        <v>23</v>
      </c>
    </row>
    <row customHeight="1" ht="1.05">
      <c r="A50" s="1387" t="s">
        <v>242</v>
      </c>
      <c r="B50" s="1387" t="s">
        <v>243</v>
      </c>
      <c r="C50" s="1387" t="s">
        <v>244</v>
      </c>
      <c r="D50" s="1387" t="s">
        <v>245</v>
      </c>
      <c r="E50" s="2283"/>
      <c r="F50" s="2283"/>
      <c r="G50" s="2283"/>
      <c r="H50" s="2283"/>
      <c r="I50" s="2310"/>
      <c r="J50" s="2310"/>
      <c r="K50" s="2280"/>
      <c r="L50" s="1388"/>
      <c r="P50" s="2281"/>
      <c r="Q50" s="2281"/>
      <c r="R50" s="381"/>
      <c r="S50" s="1247"/>
      <c r="T50" s="324"/>
      <c r="U50" s="324"/>
      <c r="V50" s="349"/>
      <c r="W50" s="349"/>
      <c r="X50" s="349"/>
      <c r="Y50" s="352" t="str">
        <f>Z49&amp;"-"&amp;AB49</f>
        <v>-</v>
      </c>
      <c r="Z50" s="2290"/>
      <c r="AA50" s="2131"/>
      <c r="AB50" s="2290"/>
      <c r="AC50" s="2131"/>
      <c r="AD50" s="349"/>
      <c r="AE50" s="349"/>
      <c r="AF50" s="349"/>
      <c r="AG50" s="352" t="str">
        <f>AH49&amp;"-"&amp;AJ49</f>
        <v>-</v>
      </c>
      <c r="AH50" s="2290"/>
      <c r="AI50" s="2131"/>
      <c r="AJ50" s="2312"/>
      <c r="AK50" s="2131"/>
      <c r="AL50" s="1373"/>
      <c r="AM50" s="2278"/>
      <c r="AO50" s="524"/>
      <c r="AP50" s="524" t="str">
        <f>IF(T50="","",T50)</f>
        <v/>
      </c>
      <c r="AQ50" s="524"/>
      <c r="AR50" s="524"/>
      <c r="AS50" s="1179">
        <v>1</v>
      </c>
    </row>
    <row customHeight="1" ht="11.549999999999999">
      <c r="A51" s="1387" t="s">
        <v>242</v>
      </c>
      <c r="B51" s="1387" t="s">
        <v>243</v>
      </c>
      <c r="C51" s="1387" t="s">
        <v>244</v>
      </c>
      <c r="D51" s="1387" t="s">
        <v>245</v>
      </c>
      <c r="E51" s="2283"/>
      <c r="F51" s="2283"/>
      <c r="G51" s="2283"/>
      <c r="H51" s="2283"/>
      <c r="I51" s="2310"/>
      <c r="J51" s="2280"/>
      <c r="K51" s="1387"/>
      <c r="L51" s="1388"/>
      <c r="P51" s="2281"/>
      <c r="Q51" s="2281"/>
      <c r="R51" s="380"/>
      <c r="S51" s="1302"/>
      <c r="T51" s="312" t="s">
        <v>495</v>
      </c>
      <c r="U51" s="391"/>
      <c r="V51" s="391"/>
      <c r="W51" s="391"/>
      <c r="X51" s="391"/>
      <c r="Y51" s="391"/>
      <c r="Z51" s="391"/>
      <c r="AA51" s="391"/>
      <c r="AB51" s="391"/>
      <c r="AC51" s="391"/>
      <c r="AD51" s="391"/>
      <c r="AE51" s="391"/>
      <c r="AF51" s="391"/>
      <c r="AG51" s="391"/>
      <c r="AH51" s="391"/>
      <c r="AI51" s="391"/>
      <c r="AJ51" s="391"/>
      <c r="AK51" s="391"/>
      <c r="AL51" s="348"/>
      <c r="AM51" s="2279"/>
      <c r="AO51" s="524"/>
      <c r="AP51" s="524" t="str">
        <f>IF(T51="","",T51)</f>
        <v>Добавить вид теплоносителя (параметры теплоносителя)</v>
      </c>
      <c r="AQ51" s="524"/>
      <c r="AR51" s="524"/>
      <c r="AS51" s="1179">
        <v>11</v>
      </c>
    </row>
    <row customHeight="1" ht="11.549999999999999">
      <c r="A52" s="1387" t="s">
        <v>242</v>
      </c>
      <c r="B52" s="1387" t="s">
        <v>243</v>
      </c>
      <c r="C52" s="1387" t="s">
        <v>244</v>
      </c>
      <c r="D52" s="1387" t="s">
        <v>245</v>
      </c>
      <c r="E52" s="2283"/>
      <c r="F52" s="2283"/>
      <c r="G52" s="2283"/>
      <c r="H52" s="2283"/>
      <c r="I52" s="2280"/>
      <c r="J52" s="1387"/>
      <c r="K52" s="1387"/>
      <c r="L52" s="1388"/>
      <c r="P52" s="2281"/>
      <c r="Q52" s="1244"/>
      <c r="R52" s="380"/>
      <c r="S52" s="1302"/>
      <c r="T52" s="311" t="s">
        <v>496</v>
      </c>
      <c r="U52" s="391"/>
      <c r="V52" s="391"/>
      <c r="W52" s="391"/>
      <c r="X52" s="391"/>
      <c r="Y52" s="391"/>
      <c r="Z52" s="391"/>
      <c r="AA52" s="391"/>
      <c r="AB52" s="391"/>
      <c r="AC52" s="390"/>
      <c r="AD52" s="391"/>
      <c r="AE52" s="391"/>
      <c r="AF52" s="391"/>
      <c r="AG52" s="391"/>
      <c r="AH52" s="391"/>
      <c r="AI52" s="391"/>
      <c r="AJ52" s="391"/>
      <c r="AK52" s="390"/>
      <c r="AL52" s="391"/>
      <c r="AM52" s="327"/>
      <c r="AO52" s="524"/>
      <c r="AP52" s="524" t="str">
        <f>IF(T52="","",T52)</f>
        <v>Добавить группу потребителей</v>
      </c>
      <c r="AQ52" s="524"/>
      <c r="AR52" s="524"/>
      <c r="AS52" s="1179">
        <v>11</v>
      </c>
    </row>
    <row customHeight="1" ht="14.699999999999998">
      <c r="A53" s="1387" t="s">
        <v>242</v>
      </c>
      <c r="B53" s="1387" t="s">
        <v>243</v>
      </c>
      <c r="C53" s="1387" t="s">
        <v>244</v>
      </c>
      <c r="D53" s="1387" t="s">
        <v>245</v>
      </c>
      <c r="E53" s="2283"/>
      <c r="F53" s="2283"/>
      <c r="G53" s="2283"/>
      <c r="H53" s="2282"/>
      <c r="I53" s="1387"/>
      <c r="J53" s="1387"/>
      <c r="K53" s="1387"/>
      <c r="L53" s="1388"/>
      <c r="M53" s="1389"/>
      <c r="N53" s="1389"/>
      <c r="O53" s="561"/>
      <c r="P53" s="384"/>
      <c r="Q53" s="399"/>
      <c r="R53" s="379"/>
      <c r="S53" s="1302"/>
      <c r="T53" s="389" t="s">
        <v>497</v>
      </c>
      <c r="U53" s="391"/>
      <c r="V53" s="391"/>
      <c r="W53" s="391"/>
      <c r="X53" s="391"/>
      <c r="Y53" s="391"/>
      <c r="Z53" s="391"/>
      <c r="AA53" s="391"/>
      <c r="AB53" s="391"/>
      <c r="AC53" s="390"/>
      <c r="AD53" s="391"/>
      <c r="AE53" s="391"/>
      <c r="AF53" s="391"/>
      <c r="AG53" s="391"/>
      <c r="AH53" s="391"/>
      <c r="AI53" s="391"/>
      <c r="AJ53" s="391"/>
      <c r="AK53" s="390"/>
      <c r="AL53" s="391"/>
      <c r="AM53" s="327"/>
      <c r="AO53" s="524"/>
      <c r="AP53" s="524" t="str">
        <f>IF(T53="","",T53)</f>
        <v>Добавить схему подключения</v>
      </c>
      <c r="AQ53" s="524"/>
      <c r="AR53" s="524"/>
      <c r="AS53" s="1179">
        <v>14</v>
      </c>
    </row>
    <row s="1666" customFormat="1" customHeight="1" ht="1.05">
      <c r="A54" s="1367" t="s">
        <v>242</v>
      </c>
      <c r="B54" s="1367" t="s">
        <v>243</v>
      </c>
      <c r="C54" s="1367" t="s">
        <v>244</v>
      </c>
      <c r="D54" s="1338"/>
      <c r="E54" s="2283"/>
      <c r="F54" s="2283"/>
      <c r="G54" s="2282"/>
      <c r="H54" s="1338"/>
      <c r="I54" s="1338"/>
      <c r="J54" s="1338"/>
      <c r="K54" s="1338"/>
      <c r="L54" s="1363"/>
      <c r="M54" s="1339"/>
      <c r="N54" s="1339"/>
      <c r="P54" s="1340"/>
      <c r="Q54" s="1341"/>
      <c r="R54" s="1340"/>
      <c r="S54" s="1346"/>
      <c r="T54" s="1349" t="s">
        <v>498</v>
      </c>
      <c r="U54" s="1348"/>
      <c r="V54" s="1348"/>
      <c r="W54" s="1348"/>
      <c r="X54" s="1348"/>
      <c r="Y54" s="1348"/>
      <c r="Z54" s="1348"/>
      <c r="AA54" s="1348"/>
      <c r="AB54" s="1348"/>
      <c r="AC54" s="1348"/>
      <c r="AD54" s="1348"/>
      <c r="AE54" s="1348"/>
      <c r="AF54" s="1348"/>
      <c r="AG54" s="1348"/>
      <c r="AH54" s="1348"/>
      <c r="AI54" s="1348"/>
      <c r="AJ54" s="1348"/>
      <c r="AK54" s="1348"/>
      <c r="AL54" s="1348"/>
      <c r="AM54" s="1348"/>
      <c r="AO54" s="813"/>
      <c r="AP54" s="813" t="str">
        <f>IF(T54="","",T54)</f>
        <v>Добавить источник для дифференциации</v>
      </c>
      <c r="AQ54" s="813"/>
      <c r="AR54" s="813"/>
      <c r="AS54" s="542">
        <v>1</v>
      </c>
    </row>
    <row s="1666" customFormat="1" customHeight="1" ht="1.05">
      <c r="A55" s="1367" t="s">
        <v>242</v>
      </c>
      <c r="B55" s="1367" t="s">
        <v>243</v>
      </c>
      <c r="C55" s="1338"/>
      <c r="D55" s="1338"/>
      <c r="E55" s="2283"/>
      <c r="F55" s="2282"/>
      <c r="G55" s="1338"/>
      <c r="H55" s="1338"/>
      <c r="I55" s="1338"/>
      <c r="J55" s="1338"/>
      <c r="K55" s="1338"/>
      <c r="L55" s="1363"/>
      <c r="M55" s="1345"/>
      <c r="N55" s="1345"/>
      <c r="P55" s="1340"/>
      <c r="Q55" s="1341"/>
      <c r="R55" s="1340"/>
      <c r="S55" s="1346"/>
      <c r="T55" s="1349" t="s">
        <v>499</v>
      </c>
      <c r="U55" s="1348"/>
      <c r="V55" s="1348"/>
      <c r="W55" s="1348"/>
      <c r="X55" s="1348"/>
      <c r="Y55" s="1348"/>
      <c r="Z55" s="1348"/>
      <c r="AA55" s="1348"/>
      <c r="AB55" s="1348"/>
      <c r="AC55" s="1348"/>
      <c r="AD55" s="1348"/>
      <c r="AE55" s="1348"/>
      <c r="AF55" s="1348"/>
      <c r="AG55" s="1348"/>
      <c r="AH55" s="1348"/>
      <c r="AI55" s="1348"/>
      <c r="AJ55" s="1348"/>
      <c r="AK55" s="1348"/>
      <c r="AL55" s="1348"/>
      <c r="AM55" s="1348"/>
      <c r="AO55" s="813"/>
      <c r="AP55" s="813" t="str">
        <f>IF(T55="","",T55)</f>
        <v>Добавить централизованную систему для дифференциации</v>
      </c>
      <c r="AQ55" s="813"/>
      <c r="AR55" s="813"/>
      <c r="AS55" s="542">
        <v>1</v>
      </c>
    </row>
    <row s="1666" customFormat="1" customHeight="1" ht="1.05">
      <c r="A56" s="1367" t="s">
        <v>242</v>
      </c>
      <c r="B56" s="1367"/>
      <c r="C56" s="1367"/>
      <c r="D56" s="1367"/>
      <c r="E56" s="2282"/>
      <c r="F56" s="1367"/>
      <c r="G56" s="1367"/>
      <c r="H56" s="1367"/>
      <c r="I56" s="1367"/>
      <c r="J56" s="1367"/>
      <c r="K56" s="1367"/>
      <c r="L56" s="1370"/>
      <c r="M56" s="1345"/>
      <c r="N56" s="1345"/>
      <c r="O56" s="542"/>
      <c r="P56" s="404"/>
      <c r="Q56" s="1368"/>
      <c r="R56" s="404"/>
      <c r="S56" s="1346"/>
      <c r="T56" s="1349" t="s">
        <v>500</v>
      </c>
      <c r="U56" s="1348"/>
      <c r="V56" s="1348"/>
      <c r="W56" s="1348"/>
      <c r="X56" s="1348"/>
      <c r="Y56" s="1348"/>
      <c r="Z56" s="1348"/>
      <c r="AA56" s="1348"/>
      <c r="AB56" s="1348"/>
      <c r="AC56" s="1348"/>
      <c r="AD56" s="1348"/>
      <c r="AE56" s="1348"/>
      <c r="AF56" s="1348"/>
      <c r="AG56" s="1348"/>
      <c r="AH56" s="1348"/>
      <c r="AI56" s="1348"/>
      <c r="AJ56" s="1348"/>
      <c r="AK56" s="1348"/>
      <c r="AL56" s="1348"/>
      <c r="AM56" s="1348"/>
      <c r="AO56" s="524"/>
      <c r="AP56" s="524" t="str">
        <f>IF(T56="","",T56)</f>
        <v>Добавить территорию для дифференциации</v>
      </c>
      <c r="AQ56" s="524"/>
      <c r="AR56" s="524"/>
      <c r="AS56" s="535">
        <v>1</v>
      </c>
    </row>
    <row s="1666" customFormat="1" customHeight="1" ht="1.05">
      <c r="A57" s="1338"/>
      <c r="B57" s="1338"/>
      <c r="C57" s="1338"/>
      <c r="D57" s="1338"/>
      <c r="E57" s="1367"/>
      <c r="F57" s="1338"/>
      <c r="G57" s="1338"/>
      <c r="H57" s="1338"/>
      <c r="I57" s="1338"/>
      <c r="J57" s="1338"/>
      <c r="K57" s="1338"/>
      <c r="L57" s="1363"/>
      <c r="M57" s="1345"/>
      <c r="N57" s="1345"/>
      <c r="P57" s="1340"/>
      <c r="Q57" s="1341"/>
      <c r="R57" s="1340"/>
      <c r="S57" s="1346"/>
      <c r="T57" s="1349" t="s">
        <v>532</v>
      </c>
      <c r="U57" s="1348"/>
      <c r="V57" s="1348"/>
      <c r="W57" s="1348"/>
      <c r="X57" s="1348"/>
      <c r="Y57" s="1348"/>
      <c r="Z57" s="1348"/>
      <c r="AA57" s="1348"/>
      <c r="AB57" s="1348"/>
      <c r="AC57" s="1348"/>
      <c r="AD57" s="1348"/>
      <c r="AE57" s="1348"/>
      <c r="AF57" s="1348"/>
      <c r="AG57" s="1348"/>
      <c r="AH57" s="1348"/>
      <c r="AI57" s="1348"/>
      <c r="AJ57" s="1348"/>
      <c r="AK57" s="1348"/>
      <c r="AL57" s="1348"/>
      <c r="AM57" s="1348"/>
      <c r="AO57" s="813"/>
      <c r="AP57" s="813" t="str">
        <f>IF(T57="","",T57)</f>
        <v>Добавить наименование тарифа</v>
      </c>
      <c r="AQ57" s="813"/>
      <c r="AR57" s="813"/>
      <c r="AS57" s="542">
        <v>1</v>
      </c>
    </row>
    <row customHeight="1" ht="11.549999999999999">
      <c r="M58" s="1184"/>
      <c r="N58" s="1184"/>
      <c r="O58" s="561"/>
      <c r="P58" s="1179"/>
      <c r="Q58" s="1179"/>
      <c r="R58" s="1179"/>
      <c r="S58" s="1179"/>
      <c r="AN58" s="1179"/>
      <c r="AO58" s="1179"/>
      <c r="AP58" s="1179"/>
      <c r="AQ58" s="1179"/>
      <c r="AR58" s="1179"/>
      <c r="AS58" s="1179">
        <v>11</v>
      </c>
    </row>
    <row customHeight="1" ht="28.5">
      <c r="O59" s="561"/>
      <c r="S59" s="1277"/>
      <c r="T59" s="2309"/>
      <c r="U59" s="2309"/>
      <c r="V59" s="2309"/>
      <c r="W59" s="2309"/>
      <c r="X59" s="2309"/>
      <c r="Y59" s="2309"/>
      <c r="Z59" s="2309"/>
      <c r="AA59" s="2309"/>
      <c r="AB59" s="2309"/>
      <c r="AC59" s="2309"/>
      <c r="AD59" s="2309"/>
      <c r="AE59" s="2309"/>
      <c r="AF59" s="2309"/>
      <c r="AG59" s="2309"/>
      <c r="AH59" s="2309"/>
      <c r="AI59" s="2309"/>
      <c r="AJ59" s="2309"/>
      <c r="AK59" s="2309"/>
      <c r="AL59" s="2309"/>
      <c r="AM59" s="2309"/>
      <c r="AS59" s="1179">
        <v>27</v>
      </c>
    </row>
    <row customHeight="1" ht="67.2">
      <c r="O60" s="561"/>
      <c r="P60" s="1327"/>
      <c r="T60" s="2309"/>
      <c r="U60" s="2309"/>
      <c r="V60" s="2309"/>
      <c r="W60" s="2309"/>
      <c r="X60" s="2309"/>
      <c r="Y60" s="2309"/>
      <c r="Z60" s="2309"/>
      <c r="AA60" s="2309"/>
      <c r="AB60" s="2309"/>
      <c r="AC60" s="2309"/>
      <c r="AD60" s="2309"/>
      <c r="AE60" s="2309"/>
      <c r="AF60" s="2309"/>
      <c r="AG60" s="2309"/>
      <c r="AH60" s="2309"/>
      <c r="AI60" s="2309"/>
      <c r="AJ60" s="2309"/>
      <c r="AK60" s="2309"/>
      <c r="AL60" s="2309"/>
      <c r="AM60" s="2309"/>
      <c r="AS60" s="1179">
        <v>64</v>
      </c>
    </row>
    <row customHeight="1" ht="14.699999999999998">
      <c r="O61" s="561"/>
      <c r="AS61" s="1179">
        <v>14</v>
      </c>
    </row>
    <row customHeight="1" ht="18.75">
      <c r="O62" s="561"/>
      <c r="P62" s="1352"/>
      <c r="S62" s="1277"/>
      <c r="T62" s="2309"/>
      <c r="U62" s="2309"/>
      <c r="V62" s="2309"/>
      <c r="W62" s="2309"/>
      <c r="X62" s="2309"/>
      <c r="Y62" s="2309"/>
      <c r="Z62" s="2309"/>
      <c r="AA62" s="2309"/>
      <c r="AB62" s="2309"/>
      <c r="AC62" s="2309"/>
      <c r="AD62" s="2309"/>
      <c r="AE62" s="2309"/>
      <c r="AF62" s="2309"/>
      <c r="AG62" s="2309"/>
      <c r="AH62" s="2309"/>
      <c r="AI62" s="2309"/>
      <c r="AJ62" s="2309"/>
      <c r="AK62" s="2309"/>
      <c r="AL62" s="2309"/>
      <c r="AM62" s="2309"/>
      <c r="AS62" s="1179">
        <v>18</v>
      </c>
    </row>
    <row customHeight="1" ht="18.75">
      <c r="O63" s="561"/>
      <c r="P63" s="1352"/>
      <c r="T63" s="2309"/>
      <c r="U63" s="2309"/>
      <c r="V63" s="2309"/>
      <c r="W63" s="2309"/>
      <c r="X63" s="2309"/>
      <c r="Y63" s="2309"/>
      <c r="Z63" s="2309"/>
      <c r="AA63" s="2309"/>
      <c r="AB63" s="2309"/>
      <c r="AC63" s="2309"/>
      <c r="AD63" s="2309"/>
      <c r="AE63" s="2309"/>
      <c r="AF63" s="2309"/>
      <c r="AG63" s="2309"/>
      <c r="AH63" s="2309"/>
      <c r="AI63" s="2309"/>
      <c r="AJ63" s="2309"/>
      <c r="AK63" s="2309"/>
      <c r="AL63" s="2309"/>
      <c r="AM63" s="2309"/>
      <c r="AS63" s="1179">
        <v>18</v>
      </c>
    </row>
    <row customHeight="1" ht="29.25">
      <c r="O64" s="561"/>
      <c r="P64" s="1352"/>
      <c r="S64" s="1277"/>
      <c r="T64" s="2309"/>
      <c r="U64" s="2309"/>
      <c r="V64" s="2309"/>
      <c r="W64" s="2309"/>
      <c r="X64" s="2309"/>
      <c r="Y64" s="2309"/>
      <c r="Z64" s="2309"/>
      <c r="AA64" s="2309"/>
      <c r="AB64" s="2309"/>
      <c r="AC64" s="2309"/>
      <c r="AD64" s="2309"/>
      <c r="AE64" s="2309"/>
      <c r="AF64" s="2309"/>
      <c r="AG64" s="2309"/>
      <c r="AH64" s="2309"/>
      <c r="AI64" s="2309"/>
      <c r="AJ64" s="2309"/>
      <c r="AK64" s="2309"/>
      <c r="AL64" s="2309"/>
      <c r="AM64" s="2309"/>
      <c r="AS64" s="1179">
        <v>28</v>
      </c>
    </row>
    <row customHeight="1" ht="22.5" hidden="1">
      <c r="A65" s="1184" t="s">
        <v>82</v>
      </c>
      <c r="B65" s="1184">
        <v>0</v>
      </c>
      <c r="C65" s="1184">
        <v>0</v>
      </c>
      <c r="D65" s="1184">
        <v>0</v>
      </c>
      <c r="E65" s="1184">
        <v>0</v>
      </c>
      <c r="F65" s="1184">
        <v>0</v>
      </c>
      <c r="G65" s="1184">
        <v>0</v>
      </c>
      <c r="H65" s="1184">
        <v>0</v>
      </c>
      <c r="I65" s="1184">
        <v>0</v>
      </c>
      <c r="J65" s="1184">
        <v>0</v>
      </c>
      <c r="K65" s="1184">
        <v>0</v>
      </c>
      <c r="L65" s="1353">
        <v>0</v>
      </c>
      <c r="M65" s="1386">
        <v>0</v>
      </c>
      <c r="N65" s="1386">
        <v>0</v>
      </c>
      <c r="O65" s="1386">
        <v>0</v>
      </c>
      <c r="P65" s="1242">
        <v>3</v>
      </c>
      <c r="Q65" s="368">
        <v>3</v>
      </c>
      <c r="R65" s="368">
        <v>3</v>
      </c>
      <c r="S65" s="605">
        <v>12</v>
      </c>
      <c r="T65" s="1179">
        <v>35</v>
      </c>
      <c r="U65" s="1179">
        <v>0</v>
      </c>
      <c r="V65" s="1179">
        <v>0</v>
      </c>
      <c r="W65" s="1179">
        <v>0</v>
      </c>
      <c r="X65" s="1179">
        <v>0</v>
      </c>
      <c r="Y65" s="1179">
        <v>0</v>
      </c>
      <c r="Z65" s="1179">
        <v>0</v>
      </c>
      <c r="AA65" s="1179">
        <v>0</v>
      </c>
      <c r="AB65" s="1179">
        <v>0</v>
      </c>
      <c r="AC65" s="1179">
        <v>0</v>
      </c>
      <c r="AD65" s="1179">
        <v>24</v>
      </c>
      <c r="AE65" s="1179">
        <v>0</v>
      </c>
      <c r="AF65" s="1179">
        <v>24</v>
      </c>
      <c r="AG65" s="1179">
        <v>24</v>
      </c>
      <c r="AH65" s="1179">
        <v>11</v>
      </c>
      <c r="AI65" s="1179">
        <v>3</v>
      </c>
      <c r="AJ65" s="1179">
        <v>11</v>
      </c>
      <c r="AK65" s="1179">
        <v>0</v>
      </c>
      <c r="AL65" s="1179">
        <v>4</v>
      </c>
      <c r="AM65" s="1179">
        <v>115</v>
      </c>
      <c r="AN65" s="535">
        <v>10</v>
      </c>
      <c r="AO65" s="535">
        <v>10</v>
      </c>
      <c r="AP65" s="535">
        <v>10</v>
      </c>
      <c r="AQ65" s="535">
        <v>10</v>
      </c>
      <c r="AR65" s="535">
        <v>10</v>
      </c>
      <c r="AS65" s="1179">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93E5F5-6B9C-71C4-3284-0.54CB81E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2.00390625" hidden="1" customWidth="1"/>
    <col min="10" max="10" style="1390" width="9.8515625" hidden="1" customWidth="1"/>
    <col min="11" max="11" style="1390" width="11.421875" hidden="1" customWidth="1"/>
    <col min="12" max="12" style="2631" width="19.140625" hidden="1" customWidth="1"/>
    <col min="13" max="14" style="1800" width="12.28125" hidden="1" customWidth="1"/>
    <col min="15" max="15" style="1800" width="23.421875" hidden="1" customWidth="1"/>
    <col min="16" max="16" style="2421" width="3.00390625" customWidth="1"/>
    <col min="17" max="18" style="368" width="3.00390625" customWidth="1"/>
    <col min="19" max="19" style="2431" width="12.00390625" customWidth="1"/>
    <col min="20" max="20" style="1659" width="31.00390625" customWidth="1"/>
    <col min="21" max="21" style="1659" width="0.140625" customWidth="1"/>
    <col min="22" max="22" style="1659" width="24.7109375" hidden="1" customWidth="1"/>
    <col min="23" max="23" style="1659" width="0.140625" hidden="1" customWidth="1"/>
    <col min="24" max="25" style="1659" width="24.7109375" hidden="1" customWidth="1"/>
    <col min="26" max="26" style="1659" width="11.7109375" hidden="1" customWidth="1"/>
    <col min="27" max="27" style="1659" width="3.7109375" hidden="1" customWidth="1"/>
    <col min="28" max="28" style="1659" width="11.7109375" hidden="1" customWidth="1"/>
    <col min="29" max="29" style="1659" width="8.57421875" hidden="1" customWidth="1"/>
    <col min="30" max="30" style="1659" width="24.7109375" customWidth="1"/>
    <col min="31" max="31" style="1659" width="0.140625" customWidth="1"/>
    <col min="32" max="33" style="1659" width="24.00390625" customWidth="1"/>
    <col min="34" max="34" style="1659" width="11.00390625" customWidth="1"/>
    <col min="35" max="35" style="1659" width="3.7109375" customWidth="1"/>
    <col min="36" max="36" style="1659" width="11.00390625" customWidth="1"/>
    <col min="37" max="37" style="1659" width="8.57421875" hidden="1" customWidth="1"/>
    <col min="38" max="38" style="1659" width="4.00390625" customWidth="1"/>
    <col min="39" max="39" style="1659" width="115.00390625" customWidth="1"/>
    <col min="40" max="44" style="1666" width="10.00390625" customWidth="1"/>
    <col min="45" max="45" style="1659" width="10.57421875" hidden="1"/>
  </cols>
  <sheetData>
    <row customHeight="1" ht="22.5" hidden="1">
      <c r="Y1" s="351"/>
      <c r="Z1" s="351"/>
      <c r="AG1" s="351"/>
      <c r="AH1" s="351"/>
      <c r="AS1" s="1179" t="s">
        <v>14</v>
      </c>
    </row>
    <row customHeight="1" ht="21" hidden="1">
      <c r="A2" s="1387"/>
      <c r="B2" s="1387"/>
      <c r="C2" s="1387"/>
      <c r="D2" s="1387"/>
      <c r="E2" s="2282">
        <v>1</v>
      </c>
      <c r="F2" s="1387"/>
      <c r="G2" s="1387"/>
      <c r="H2" s="1387"/>
      <c r="I2" s="1387"/>
      <c r="J2" s="1387"/>
      <c r="K2" s="1387"/>
      <c r="L2" s="1388"/>
      <c r="M2" s="1389"/>
      <c r="N2" s="1389"/>
      <c r="O2" s="1389"/>
      <c r="P2" s="385"/>
      <c r="Q2" s="384"/>
      <c r="R2" s="379"/>
      <c r="S2" s="1360">
        <f>INDEX(PT_DIFFERENTIATION_NUM_NTAR,MATCH(A2,PT_DIFFERENTIATION_NTAR_ID,0))</f>
      </c>
      <c r="T2" s="322" t="s">
        <v>211</v>
      </c>
      <c r="U2" s="324"/>
      <c r="V2" s="2266"/>
      <c r="W2" s="2267"/>
      <c r="X2" s="2267"/>
      <c r="Y2" s="2267"/>
      <c r="Z2" s="2267"/>
      <c r="AA2" s="2267"/>
      <c r="AB2" s="2267"/>
      <c r="AC2" s="2268"/>
      <c r="AD2" s="2266">
        <f>INDEX(PT_DIFFERENTIATION_NTAR,MATCH(A2,PT_DIFFERENTIATION_NTAR_ID,0))</f>
      </c>
      <c r="AE2" s="2267"/>
      <c r="AF2" s="2267"/>
      <c r="AG2" s="2267"/>
      <c r="AH2" s="2267"/>
      <c r="AI2" s="2267"/>
      <c r="AJ2" s="2267"/>
      <c r="AK2" s="2267"/>
      <c r="AL2" s="2268"/>
      <c r="AM2" s="1282" t="s">
        <v>480</v>
      </c>
      <c r="AO2" s="524"/>
      <c r="AP2" s="524" t="str">
        <f>IF(T2="","",T2)</f>
        <v>Наименование тарифа</v>
      </c>
      <c r="AQ2" s="524"/>
      <c r="AR2" s="524"/>
      <c r="AS2" s="1179">
        <v>0</v>
      </c>
    </row>
    <row customHeight="1" ht="21" hidden="1">
      <c r="A3" s="1387"/>
      <c r="B3" s="1387"/>
      <c r="C3" s="1387"/>
      <c r="D3" s="1387"/>
      <c r="E3" s="2283"/>
      <c r="F3" s="2282">
        <v>1</v>
      </c>
      <c r="G3" s="1387"/>
      <c r="H3" s="1387"/>
      <c r="I3" s="1387"/>
      <c r="J3" s="1387"/>
      <c r="K3" s="1387"/>
      <c r="L3" s="1388"/>
      <c r="M3" s="1389"/>
      <c r="N3" s="1389"/>
      <c r="O3" s="1389"/>
      <c r="P3" s="1356"/>
      <c r="Q3" s="376"/>
      <c r="R3" s="377"/>
      <c r="S3" s="1360">
        <f>INDEX(PT_DIFFERENTIATION_NUM_TER,MATCH(B3,PT_DIFFERENTIATION_TER_ID,0))</f>
      </c>
      <c r="T3" s="332" t="s">
        <v>481</v>
      </c>
      <c r="U3" s="324"/>
      <c r="V3" s="2266"/>
      <c r="W3" s="2267"/>
      <c r="X3" s="2267"/>
      <c r="Y3" s="2267"/>
      <c r="Z3" s="2267"/>
      <c r="AA3" s="2267"/>
      <c r="AB3" s="2267"/>
      <c r="AC3" s="2268"/>
      <c r="AD3" s="2266">
        <f>INDEX(PT_DIFFERENTIATION_TER,MATCH(B3,PT_DIFFERENTIATION_TER_ID,0))</f>
      </c>
      <c r="AE3" s="2267"/>
      <c r="AF3" s="2267"/>
      <c r="AG3" s="2267"/>
      <c r="AH3" s="2267"/>
      <c r="AI3" s="2267"/>
      <c r="AJ3" s="2267"/>
      <c r="AK3" s="2267"/>
      <c r="AL3" s="2268"/>
      <c r="AM3" s="1282" t="s">
        <v>482</v>
      </c>
      <c r="AO3" s="524"/>
      <c r="AP3" s="524" t="str">
        <f>IF(T3="","",T3)</f>
        <v>Территория действия тарифа</v>
      </c>
      <c r="AQ3" s="524"/>
      <c r="AR3" s="524"/>
      <c r="AS3" s="1179">
        <v>0</v>
      </c>
    </row>
    <row customHeight="1" ht="23.25" hidden="1">
      <c r="A4" s="1387"/>
      <c r="B4" s="1387"/>
      <c r="C4" s="1387"/>
      <c r="D4" s="1387"/>
      <c r="E4" s="2283"/>
      <c r="F4" s="2283"/>
      <c r="G4" s="2282">
        <v>1</v>
      </c>
      <c r="H4" s="1387"/>
      <c r="I4" s="1387"/>
      <c r="J4" s="1387"/>
      <c r="K4" s="1387"/>
      <c r="L4" s="1388"/>
      <c r="M4" s="1389"/>
      <c r="N4" s="1389"/>
      <c r="O4" s="1389"/>
      <c r="P4" s="378"/>
      <c r="Q4" s="376"/>
      <c r="R4" s="377"/>
      <c r="S4" s="1360">
        <f>INDEX(PT_DIFFERENTIATION_NUM_CS,MATCH(C4,PT_DIFFERENTIATION_CS_ID,0))</f>
      </c>
      <c r="T4" s="333" t="s">
        <v>483</v>
      </c>
      <c r="U4" s="324"/>
      <c r="V4" s="2266"/>
      <c r="W4" s="2267"/>
      <c r="X4" s="2267"/>
      <c r="Y4" s="2267"/>
      <c r="Z4" s="2267"/>
      <c r="AA4" s="2267"/>
      <c r="AB4" s="2267"/>
      <c r="AC4" s="2268"/>
      <c r="AD4" s="2266">
        <f>INDEX(PT_DIFFERENTIATION_CS,MATCH(C4,PT_DIFFERENTIATION_CS_ID,0))</f>
      </c>
      <c r="AE4" s="2267"/>
      <c r="AF4" s="2267"/>
      <c r="AG4" s="2267"/>
      <c r="AH4" s="2267"/>
      <c r="AI4" s="2267"/>
      <c r="AJ4" s="2267"/>
      <c r="AK4" s="2267"/>
      <c r="AL4" s="2268"/>
      <c r="AM4" s="1282" t="s">
        <v>484</v>
      </c>
      <c r="AO4" s="524"/>
      <c r="AP4" s="524" t="str">
        <f>IF(T4="","",T4)</f>
        <v>Наименование системы теплоснабжения </v>
      </c>
      <c r="AQ4" s="524"/>
      <c r="AR4" s="524"/>
      <c r="AS4" s="1179">
        <v>0</v>
      </c>
    </row>
    <row customHeight="1" ht="21" hidden="1">
      <c r="A5" s="1387"/>
      <c r="B5" s="1387"/>
      <c r="C5" s="1387"/>
      <c r="D5" s="1387"/>
      <c r="E5" s="2283"/>
      <c r="F5" s="2283"/>
      <c r="G5" s="2283"/>
      <c r="H5" s="2282">
        <v>1</v>
      </c>
      <c r="I5" s="1387"/>
      <c r="J5" s="1387"/>
      <c r="K5" s="1387"/>
      <c r="L5" s="1388"/>
      <c r="M5" s="1389"/>
      <c r="N5" s="1389"/>
      <c r="O5" s="1389"/>
      <c r="P5" s="378"/>
      <c r="Q5" s="376"/>
      <c r="R5" s="377"/>
      <c r="S5" s="1360">
        <f>INDEX(PT_DIFFERENTIATION_NUM_IST_TE,MATCH(D5,PT_DIFFERENTIATION_IST_TE_ID,0))</f>
      </c>
      <c r="T5" s="334" t="s">
        <v>485</v>
      </c>
      <c r="U5" s="324"/>
      <c r="V5" s="2266"/>
      <c r="W5" s="2267"/>
      <c r="X5" s="2267"/>
      <c r="Y5" s="2267"/>
      <c r="Z5" s="2267"/>
      <c r="AA5" s="2267"/>
      <c r="AB5" s="2267"/>
      <c r="AC5" s="2268"/>
      <c r="AD5" s="2266">
        <f>INDEX(PT_DIFFERENTIATION_IST_TE,MATCH(D5,PT_DIFFERENTIATION_IST_TE_ID,0))</f>
      </c>
      <c r="AE5" s="2267"/>
      <c r="AF5" s="2267"/>
      <c r="AG5" s="2267"/>
      <c r="AH5" s="2267"/>
      <c r="AI5" s="2267"/>
      <c r="AJ5" s="2267"/>
      <c r="AK5" s="2267"/>
      <c r="AL5" s="2268"/>
      <c r="AM5" s="1282" t="s">
        <v>486</v>
      </c>
      <c r="AO5" s="524"/>
      <c r="AP5" s="524" t="str">
        <f>IF(T5="","",T5)</f>
        <v>Источник тепловой энергии  </v>
      </c>
      <c r="AQ5" s="524"/>
      <c r="AR5" s="524"/>
      <c r="AS5" s="1179">
        <v>0</v>
      </c>
    </row>
    <row customHeight="1" ht="47.25" hidden="1">
      <c r="A6" s="1387"/>
      <c r="B6" s="1387"/>
      <c r="C6" s="1387"/>
      <c r="D6" s="1387"/>
      <c r="E6" s="2283"/>
      <c r="F6" s="2283"/>
      <c r="G6" s="2283"/>
      <c r="H6" s="2283"/>
      <c r="I6" s="2280">
        <f>S5&amp;".1"</f>
      </c>
      <c r="J6" s="1387"/>
      <c r="K6" s="1387"/>
      <c r="L6" s="1388" t="s">
        <v>487</v>
      </c>
      <c r="M6" s="561"/>
      <c r="P6" s="2281">
        <v>1</v>
      </c>
      <c r="Q6" s="1355"/>
      <c r="R6" s="380"/>
      <c r="S6" s="1360">
        <f>$I6</f>
      </c>
      <c r="T6" s="309" t="s">
        <v>488</v>
      </c>
      <c r="U6" s="324"/>
      <c r="V6" s="2269"/>
      <c r="W6" s="2270"/>
      <c r="X6" s="2270"/>
      <c r="Y6" s="2270"/>
      <c r="Z6" s="2270"/>
      <c r="AA6" s="2270"/>
      <c r="AB6" s="2270"/>
      <c r="AC6" s="2271"/>
      <c r="AD6" s="2269"/>
      <c r="AE6" s="2270"/>
      <c r="AF6" s="2270"/>
      <c r="AG6" s="2270"/>
      <c r="AH6" s="2270"/>
      <c r="AI6" s="2270"/>
      <c r="AJ6" s="2270"/>
      <c r="AK6" s="2270"/>
      <c r="AL6" s="2271"/>
      <c r="AM6" s="1282" t="s">
        <v>489</v>
      </c>
      <c r="AO6" s="524"/>
      <c r="AP6" s="524" t="str">
        <f>IF(T6="","",T6)</f>
        <v>Схема подключения теплопотребляющей установки к коллектору источника тепловой энергии</v>
      </c>
      <c r="AQ6" s="524"/>
      <c r="AR6" s="524"/>
      <c r="AS6" s="1179">
        <v>0</v>
      </c>
    </row>
    <row customHeight="1" ht="21" hidden="1">
      <c r="A7" s="1387"/>
      <c r="B7" s="1387"/>
      <c r="C7" s="1387"/>
      <c r="D7" s="1387"/>
      <c r="E7" s="2283"/>
      <c r="F7" s="2283"/>
      <c r="G7" s="2283"/>
      <c r="H7" s="2283"/>
      <c r="I7" s="2310"/>
      <c r="J7" s="2280">
        <f>I6&amp;".1"</f>
      </c>
      <c r="K7" s="1387"/>
      <c r="L7" s="1388" t="s">
        <v>490</v>
      </c>
      <c r="M7" s="561"/>
      <c r="N7" s="1390"/>
      <c r="P7" s="2281"/>
      <c r="Q7" s="2281">
        <v>1</v>
      </c>
      <c r="R7" s="381"/>
      <c r="S7" s="1360">
        <f>$J7</f>
      </c>
      <c r="T7" s="310" t="s">
        <v>491</v>
      </c>
      <c r="U7" s="324"/>
      <c r="V7" s="2269"/>
      <c r="W7" s="2270"/>
      <c r="X7" s="2270"/>
      <c r="Y7" s="2270"/>
      <c r="Z7" s="2270"/>
      <c r="AA7" s="2270"/>
      <c r="AB7" s="2270"/>
      <c r="AC7" s="2271"/>
      <c r="AD7" s="2269"/>
      <c r="AE7" s="2270"/>
      <c r="AF7" s="2270"/>
      <c r="AG7" s="2270"/>
      <c r="AH7" s="2270"/>
      <c r="AI7" s="2270"/>
      <c r="AJ7" s="2270"/>
      <c r="AK7" s="2270"/>
      <c r="AL7" s="2271"/>
      <c r="AM7" s="1282" t="s">
        <v>492</v>
      </c>
      <c r="AO7" s="524"/>
      <c r="AP7" s="524" t="str">
        <f>IF(T7="","",T7)</f>
        <v>Группа потребителей</v>
      </c>
      <c r="AQ7" s="524"/>
      <c r="AR7" s="524"/>
      <c r="AS7" s="1179">
        <v>0</v>
      </c>
    </row>
    <row customHeight="1" ht="21" hidden="1">
      <c r="A8" s="1387"/>
      <c r="B8" s="1387"/>
      <c r="C8" s="1387"/>
      <c r="D8" s="1387"/>
      <c r="E8" s="2283"/>
      <c r="F8" s="2283"/>
      <c r="G8" s="2283"/>
      <c r="H8" s="2283"/>
      <c r="I8" s="2310"/>
      <c r="J8" s="2310"/>
      <c r="K8" s="2280">
        <f>J7&amp;".1"</f>
      </c>
      <c r="L8" s="1388" t="s">
        <v>493</v>
      </c>
      <c r="M8" s="561"/>
      <c r="N8" s="1390"/>
      <c r="O8" s="1390"/>
      <c r="P8" s="2281"/>
      <c r="Q8" s="2281"/>
      <c r="R8" s="381">
        <v>1</v>
      </c>
      <c r="S8" s="1360">
        <f>$K8</f>
      </c>
      <c r="T8" s="1371"/>
      <c r="U8" s="324"/>
      <c r="V8" s="775"/>
      <c r="W8" s="349"/>
      <c r="X8" s="775"/>
      <c r="Y8" s="1281"/>
      <c r="Z8" s="2289"/>
      <c r="AA8" s="2131" t="s">
        <v>66</v>
      </c>
      <c r="AB8" s="2289"/>
      <c r="AC8" s="2131" t="s">
        <v>66</v>
      </c>
      <c r="AD8" s="775"/>
      <c r="AE8" s="349"/>
      <c r="AF8" s="775"/>
      <c r="AG8" s="1281"/>
      <c r="AH8" s="2289"/>
      <c r="AI8" s="2131" t="s">
        <v>66</v>
      </c>
      <c r="AJ8" s="2289"/>
      <c r="AK8" s="2131" t="s">
        <v>66</v>
      </c>
      <c r="AL8" s="349"/>
      <c r="AM8" s="2277" t="s">
        <v>494</v>
      </c>
      <c r="AN8" s="535">
        <f>STRCHECKDATE(V9:AL9)</f>
      </c>
      <c r="AO8" s="524"/>
      <c r="AP8" s="524" t="str">
        <f>IF(T8="","",T8)</f>
        <v/>
      </c>
      <c r="AQ8" s="524"/>
      <c r="AR8" s="524"/>
      <c r="AS8" s="1179">
        <v>0</v>
      </c>
    </row>
    <row customHeight="1" ht="0.75" hidden="1">
      <c r="A9" s="1387"/>
      <c r="B9" s="1387"/>
      <c r="C9" s="1387"/>
      <c r="D9" s="1387"/>
      <c r="E9" s="2283"/>
      <c r="F9" s="2283"/>
      <c r="G9" s="2283"/>
      <c r="H9" s="2283"/>
      <c r="I9" s="2310"/>
      <c r="J9" s="2310"/>
      <c r="K9" s="2280"/>
      <c r="L9" s="1388"/>
      <c r="M9" s="561"/>
      <c r="N9" s="1390"/>
      <c r="O9" s="1390"/>
      <c r="P9" s="2281"/>
      <c r="Q9" s="2281"/>
      <c r="R9" s="381"/>
      <c r="S9" s="1366"/>
      <c r="T9" s="324"/>
      <c r="U9" s="324"/>
      <c r="V9" s="349"/>
      <c r="W9" s="349"/>
      <c r="X9" s="349"/>
      <c r="Y9" s="352" t="str">
        <f>Z8&amp;"-"&amp;AB8</f>
        <v>-</v>
      </c>
      <c r="Z9" s="2290"/>
      <c r="AA9" s="2131"/>
      <c r="AB9" s="2290"/>
      <c r="AC9" s="2131"/>
      <c r="AD9" s="349"/>
      <c r="AE9" s="349"/>
      <c r="AF9" s="349"/>
      <c r="AG9" s="352" t="str">
        <f>AH8&amp;"-"&amp;AJ8</f>
        <v>-</v>
      </c>
      <c r="AH9" s="2290"/>
      <c r="AI9" s="2131"/>
      <c r="AJ9" s="2290"/>
      <c r="AK9" s="2131"/>
      <c r="AL9" s="349"/>
      <c r="AM9" s="2278"/>
      <c r="AO9" s="524"/>
      <c r="AP9" s="524" t="str">
        <f>IF(T9="","",T9)</f>
        <v/>
      </c>
      <c r="AQ9" s="524"/>
      <c r="AR9" s="524"/>
      <c r="AS9" s="1179">
        <v>0</v>
      </c>
    </row>
    <row customHeight="1" ht="15" hidden="1">
      <c r="A10" s="1387"/>
      <c r="B10" s="1387"/>
      <c r="C10" s="1387"/>
      <c r="D10" s="1387"/>
      <c r="E10" s="2283"/>
      <c r="F10" s="2283"/>
      <c r="G10" s="2283"/>
      <c r="H10" s="2283"/>
      <c r="I10" s="2310"/>
      <c r="J10" s="2280"/>
      <c r="K10" s="1387"/>
      <c r="L10" s="1388"/>
      <c r="M10" s="561"/>
      <c r="N10" s="1390"/>
      <c r="P10" s="2281"/>
      <c r="Q10" s="2281"/>
      <c r="R10" s="380"/>
      <c r="S10" s="1302"/>
      <c r="T10" s="312" t="s">
        <v>495</v>
      </c>
      <c r="U10" s="391"/>
      <c r="V10" s="391"/>
      <c r="W10" s="391"/>
      <c r="X10" s="391"/>
      <c r="Y10" s="391"/>
      <c r="Z10" s="391"/>
      <c r="AA10" s="391"/>
      <c r="AB10" s="391"/>
      <c r="AC10" s="391"/>
      <c r="AD10" s="391"/>
      <c r="AE10" s="391"/>
      <c r="AF10" s="391"/>
      <c r="AG10" s="391"/>
      <c r="AH10" s="391"/>
      <c r="AI10" s="391"/>
      <c r="AJ10" s="391"/>
      <c r="AK10" s="391"/>
      <c r="AL10" s="348"/>
      <c r="AM10" s="2279"/>
      <c r="AO10" s="524"/>
      <c r="AP10" s="524" t="str">
        <f>IF(T10="","",T10)</f>
        <v>Добавить вид теплоносителя (параметры теплоносителя)</v>
      </c>
      <c r="AQ10" s="524"/>
      <c r="AR10" s="524"/>
      <c r="AS10" s="1179">
        <v>0</v>
      </c>
    </row>
    <row customHeight="1" ht="15" hidden="1">
      <c r="A11" s="1387"/>
      <c r="B11" s="1387"/>
      <c r="C11" s="1387"/>
      <c r="D11" s="1387"/>
      <c r="E11" s="2283"/>
      <c r="F11" s="2283"/>
      <c r="G11" s="2283"/>
      <c r="H11" s="2283"/>
      <c r="I11" s="2280"/>
      <c r="J11" s="1387"/>
      <c r="K11" s="1387"/>
      <c r="L11" s="1388"/>
      <c r="M11" s="561"/>
      <c r="P11" s="2281"/>
      <c r="Q11" s="1355"/>
      <c r="R11" s="380"/>
      <c r="S11" s="1302"/>
      <c r="T11" s="311" t="s">
        <v>496</v>
      </c>
      <c r="U11" s="391"/>
      <c r="V11" s="391"/>
      <c r="W11" s="391"/>
      <c r="X11" s="391"/>
      <c r="Y11" s="391"/>
      <c r="Z11" s="391"/>
      <c r="AA11" s="391"/>
      <c r="AB11" s="391"/>
      <c r="AC11" s="390"/>
      <c r="AD11" s="391"/>
      <c r="AE11" s="391"/>
      <c r="AF11" s="391"/>
      <c r="AG11" s="391"/>
      <c r="AH11" s="391"/>
      <c r="AI11" s="391"/>
      <c r="AJ11" s="391"/>
      <c r="AK11" s="390"/>
      <c r="AL11" s="391"/>
      <c r="AM11" s="327"/>
      <c r="AO11" s="524"/>
      <c r="AP11" s="524" t="str">
        <f>IF(T11="","",T11)</f>
        <v>Добавить группу потребителей</v>
      </c>
      <c r="AQ11" s="524"/>
      <c r="AR11" s="524"/>
      <c r="AS11" s="1179">
        <v>0</v>
      </c>
    </row>
    <row customHeight="1" ht="14.25" hidden="1">
      <c r="A12" s="1387"/>
      <c r="B12" s="1387"/>
      <c r="C12" s="1387"/>
      <c r="D12" s="1387"/>
      <c r="E12" s="2283"/>
      <c r="F12" s="2283"/>
      <c r="G12" s="2283"/>
      <c r="H12" s="2282"/>
      <c r="I12" s="1387"/>
      <c r="J12" s="1387"/>
      <c r="K12" s="1387"/>
      <c r="L12" s="1388"/>
      <c r="M12" s="1389"/>
      <c r="N12" s="1389"/>
      <c r="O12" s="561"/>
      <c r="P12" s="384"/>
      <c r="Q12" s="399"/>
      <c r="R12" s="379"/>
      <c r="S12" s="1302"/>
      <c r="T12" s="389" t="s">
        <v>497</v>
      </c>
      <c r="U12" s="391"/>
      <c r="V12" s="391"/>
      <c r="W12" s="391"/>
      <c r="X12" s="391"/>
      <c r="Y12" s="391"/>
      <c r="Z12" s="391"/>
      <c r="AA12" s="391"/>
      <c r="AB12" s="391"/>
      <c r="AC12" s="390"/>
      <c r="AD12" s="391"/>
      <c r="AE12" s="391"/>
      <c r="AF12" s="391"/>
      <c r="AG12" s="391"/>
      <c r="AH12" s="391"/>
      <c r="AI12" s="391"/>
      <c r="AJ12" s="391"/>
      <c r="AK12" s="390"/>
      <c r="AL12" s="391"/>
      <c r="AM12" s="327"/>
      <c r="AO12" s="524"/>
      <c r="AP12" s="524" t="str">
        <f>IF(T12="","",T12)</f>
        <v>Добавить схему подключения</v>
      </c>
      <c r="AQ12" s="524"/>
      <c r="AR12" s="524"/>
      <c r="AS12" s="1179">
        <v>0</v>
      </c>
    </row>
    <row s="1666" customFormat="1" customHeight="1" ht="0.75" hidden="1">
      <c r="A13" s="1338"/>
      <c r="B13" s="1338"/>
      <c r="C13" s="1338"/>
      <c r="D13" s="1338"/>
      <c r="E13" s="2283"/>
      <c r="F13" s="2283"/>
      <c r="G13" s="2282"/>
      <c r="H13" s="1338"/>
      <c r="I13" s="1338"/>
      <c r="J13" s="1338"/>
      <c r="K13" s="1338"/>
      <c r="L13" s="1363"/>
      <c r="M13" s="1339"/>
      <c r="N13" s="1339"/>
      <c r="P13" s="1340"/>
      <c r="Q13" s="1341"/>
      <c r="R13" s="1340"/>
      <c r="S13" s="1342"/>
      <c r="T13" s="1343" t="s">
        <v>498</v>
      </c>
      <c r="U13" s="1344"/>
      <c r="V13" s="1344"/>
      <c r="W13" s="1344"/>
      <c r="X13" s="1344"/>
      <c r="Y13" s="1344"/>
      <c r="Z13" s="1344"/>
      <c r="AA13" s="1344"/>
      <c r="AB13" s="1344"/>
      <c r="AC13" s="1344"/>
      <c r="AD13" s="1344"/>
      <c r="AE13" s="1344"/>
      <c r="AF13" s="1344"/>
      <c r="AG13" s="1344"/>
      <c r="AH13" s="1344"/>
      <c r="AI13" s="1344"/>
      <c r="AJ13" s="1344"/>
      <c r="AK13" s="1344"/>
      <c r="AL13" s="1344"/>
      <c r="AM13" s="1344"/>
      <c r="AO13" s="813"/>
      <c r="AP13" s="813" t="str">
        <f>IF(T13="","",T13)</f>
        <v>Добавить источник для дифференциации</v>
      </c>
      <c r="AQ13" s="813"/>
      <c r="AR13" s="813"/>
      <c r="AS13" s="542">
        <v>0</v>
      </c>
    </row>
    <row s="1666" customFormat="1" customHeight="1" ht="0.75" hidden="1">
      <c r="A14" s="1338"/>
      <c r="B14" s="1338"/>
      <c r="C14" s="1338"/>
      <c r="D14" s="1338"/>
      <c r="E14" s="2283"/>
      <c r="F14" s="2282"/>
      <c r="G14" s="1338"/>
      <c r="H14" s="1338"/>
      <c r="I14" s="1338"/>
      <c r="J14" s="1338"/>
      <c r="K14" s="1338"/>
      <c r="L14" s="1363"/>
      <c r="M14" s="1345"/>
      <c r="N14" s="1345"/>
      <c r="P14" s="1340"/>
      <c r="Q14" s="1341"/>
      <c r="R14" s="1340"/>
      <c r="S14" s="1346"/>
      <c r="T14" s="1347" t="s">
        <v>499</v>
      </c>
      <c r="U14" s="1348"/>
      <c r="V14" s="1348"/>
      <c r="W14" s="1348"/>
      <c r="X14" s="1348"/>
      <c r="Y14" s="1348"/>
      <c r="Z14" s="1348"/>
      <c r="AA14" s="1348"/>
      <c r="AB14" s="1348"/>
      <c r="AC14" s="1348"/>
      <c r="AD14" s="1348"/>
      <c r="AE14" s="1348"/>
      <c r="AF14" s="1348"/>
      <c r="AG14" s="1348"/>
      <c r="AH14" s="1348"/>
      <c r="AI14" s="1348"/>
      <c r="AJ14" s="1348"/>
      <c r="AK14" s="1348"/>
      <c r="AL14" s="1348"/>
      <c r="AM14" s="1348"/>
      <c r="AO14" s="813"/>
      <c r="AP14" s="813" t="str">
        <f>IF(T14="","",T14)</f>
        <v>Добавить централизованную систему для дифференциации</v>
      </c>
      <c r="AQ14" s="813"/>
      <c r="AR14" s="813"/>
      <c r="AS14" s="542">
        <v>0</v>
      </c>
    </row>
    <row s="1666" customFormat="1" customHeight="1" ht="0.75" hidden="1">
      <c r="A15" s="1338"/>
      <c r="B15" s="1338"/>
      <c r="C15" s="1338"/>
      <c r="D15" s="1338"/>
      <c r="E15" s="2282"/>
      <c r="F15" s="1338"/>
      <c r="G15" s="1338"/>
      <c r="H15" s="1338"/>
      <c r="I15" s="1338"/>
      <c r="J15" s="1338"/>
      <c r="K15" s="1338"/>
      <c r="L15" s="1363"/>
      <c r="M15" s="1345"/>
      <c r="N15" s="1345"/>
      <c r="P15" s="1340"/>
      <c r="Q15" s="1341"/>
      <c r="R15" s="1340"/>
      <c r="S15" s="1346"/>
      <c r="T15" s="1349" t="s">
        <v>500</v>
      </c>
      <c r="U15" s="1348"/>
      <c r="V15" s="1348"/>
      <c r="W15" s="1348"/>
      <c r="X15" s="1348"/>
      <c r="Y15" s="1348"/>
      <c r="Z15" s="1348"/>
      <c r="AA15" s="1348"/>
      <c r="AB15" s="1348"/>
      <c r="AC15" s="1348"/>
      <c r="AD15" s="1348"/>
      <c r="AE15" s="1348"/>
      <c r="AF15" s="1348"/>
      <c r="AG15" s="1348"/>
      <c r="AH15" s="1348"/>
      <c r="AI15" s="1348"/>
      <c r="AJ15" s="1348"/>
      <c r="AK15" s="1348"/>
      <c r="AL15" s="1348"/>
      <c r="AM15" s="1348"/>
      <c r="AO15" s="813"/>
      <c r="AP15" s="813" t="str">
        <f>IF(T15="","",T15)</f>
        <v>Добавить территорию для дифференциации</v>
      </c>
      <c r="AQ15" s="813"/>
      <c r="AR15" s="813"/>
      <c r="AS15" s="542">
        <v>0</v>
      </c>
    </row>
    <row customHeight="1" ht="14.25" hidden="1">
      <c r="AC16" s="351"/>
      <c r="AK16" s="351"/>
      <c r="AS16" s="1179">
        <v>0</v>
      </c>
    </row>
    <row customHeight="1" ht="14.25" hidden="1">
      <c r="AD17" s="1384"/>
      <c r="AE17" s="1384"/>
      <c r="AF17" s="1384"/>
      <c r="AG17" s="1385"/>
      <c r="AH17" s="2291"/>
      <c r="AI17" s="2292" t="s">
        <v>66</v>
      </c>
      <c r="AJ17" s="2291"/>
      <c r="AK17" s="2292" t="s">
        <v>66</v>
      </c>
      <c r="AS17" s="1179">
        <v>0</v>
      </c>
    </row>
    <row customHeight="1" ht="14.25" hidden="1">
      <c r="AD18" s="1384"/>
      <c r="AE18" s="1384"/>
      <c r="AF18" s="1384"/>
      <c r="AG18" s="352" t="str">
        <f>AH17&amp;"-"&amp;AJ17</f>
        <v>-</v>
      </c>
      <c r="AH18" s="2292"/>
      <c r="AI18" s="2292"/>
      <c r="AJ18" s="2292"/>
      <c r="AK18" s="2292"/>
      <c r="AS18" s="1179">
        <v>0</v>
      </c>
    </row>
    <row customHeight="1" ht="14.25" hidden="1">
      <c r="AK19" s="351"/>
      <c r="AS19" s="1179">
        <v>0</v>
      </c>
    </row>
    <row s="1390" customFormat="1" customHeight="1" ht="22.5" hidden="1">
      <c r="L20" s="1353"/>
      <c r="M20" s="1386"/>
      <c r="N20" s="1386"/>
      <c r="O20" s="1391" t="s">
        <v>501</v>
      </c>
      <c r="P20" s="1386"/>
      <c r="Q20" s="1395"/>
      <c r="R20" s="1395"/>
      <c r="S20" s="753"/>
      <c r="Z20" s="1391"/>
      <c r="AB20" s="1391"/>
      <c r="AC20" s="1390"/>
      <c r="AH20" s="1391"/>
      <c r="AJ20" s="1391"/>
      <c r="AK20" s="1390"/>
      <c r="AN20" s="535"/>
      <c r="AO20" s="535"/>
      <c r="AP20" s="535"/>
      <c r="AQ20" s="535"/>
      <c r="AR20" s="535"/>
      <c r="AS20" s="1184">
        <v>0</v>
      </c>
    </row>
    <row s="1390" customFormat="1" customHeight="1" ht="14.25" hidden="1">
      <c r="L21" s="1353"/>
      <c r="M21" s="1386"/>
      <c r="N21" s="1386"/>
      <c r="O21" s="1386"/>
      <c r="P21" s="1386"/>
      <c r="Q21" s="1395"/>
      <c r="R21" s="1395"/>
      <c r="S21" s="753"/>
      <c r="AC21" s="1390"/>
      <c r="AK21" s="1390"/>
      <c r="AN21" s="535"/>
      <c r="AO21" s="535"/>
      <c r="AP21" s="535"/>
      <c r="AQ21" s="535"/>
      <c r="AR21" s="535"/>
      <c r="AS21" s="1184">
        <v>0</v>
      </c>
    </row>
    <row s="1390" customFormat="1" customHeight="1" ht="14.25" hidden="1">
      <c r="L22" s="1353"/>
      <c r="M22" s="1386"/>
      <c r="N22" s="1386"/>
      <c r="O22" s="1388" t="s">
        <v>502</v>
      </c>
      <c r="P22" s="1386"/>
      <c r="Q22" s="1395"/>
      <c r="R22" s="1395"/>
      <c r="S22" s="753"/>
      <c r="T22" s="1184" t="s">
        <v>503</v>
      </c>
      <c r="AA22" s="210" t="s">
        <v>504</v>
      </c>
      <c r="AC22" s="210" t="s">
        <v>505</v>
      </c>
      <c r="AD22" s="1184" t="s">
        <v>503</v>
      </c>
      <c r="AI22" s="210" t="s">
        <v>506</v>
      </c>
      <c r="AK22" s="210" t="s">
        <v>505</v>
      </c>
      <c r="AN22" s="535"/>
      <c r="AO22" s="535"/>
      <c r="AP22" s="535"/>
      <c r="AQ22" s="535"/>
      <c r="AR22" s="535"/>
      <c r="AS22" s="1184">
        <v>0</v>
      </c>
    </row>
    <row customHeight="1" ht="14.25" hidden="1">
      <c r="O23" s="1388"/>
      <c r="AS23" s="1179">
        <v>0</v>
      </c>
    </row>
    <row customHeight="1" ht="14.25" hidden="1">
      <c r="O24" s="1388"/>
      <c r="AS24" s="1179">
        <v>0</v>
      </c>
    </row>
    <row customHeight="1" ht="14.699999999999998">
      <c r="Q25" s="400"/>
      <c r="R25" s="400"/>
      <c r="S25" s="1299"/>
      <c r="T25" s="387"/>
      <c r="U25" s="387"/>
      <c r="V25" s="533"/>
      <c r="W25" s="533"/>
      <c r="X25" s="533"/>
      <c r="Y25" s="533"/>
      <c r="Z25" s="533"/>
      <c r="AA25" s="533"/>
      <c r="AB25" s="533"/>
      <c r="AC25" s="533"/>
      <c r="AD25" s="533"/>
      <c r="AE25" s="533"/>
      <c r="AF25" s="533"/>
      <c r="AG25" s="533"/>
      <c r="AH25" s="533"/>
      <c r="AI25" s="533"/>
      <c r="AJ25" s="533"/>
      <c r="AK25" s="533"/>
      <c r="AS25" s="1179">
        <v>14</v>
      </c>
    </row>
    <row customHeight="1" ht="14.699999999999998">
      <c r="Q26" s="400"/>
      <c r="R26" s="400"/>
      <c r="S26" s="22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2"/>
      <c r="U26" s="2272"/>
      <c r="V26" s="2272"/>
      <c r="W26" s="2272"/>
      <c r="X26" s="2272"/>
      <c r="Y26" s="2272"/>
      <c r="Z26" s="2272"/>
      <c r="AA26" s="2272"/>
      <c r="AB26" s="2272"/>
      <c r="AC26" s="2272"/>
      <c r="AD26" s="2272"/>
      <c r="AE26" s="2272"/>
      <c r="AF26" s="2272"/>
      <c r="AG26" s="2272"/>
      <c r="AH26" s="2272"/>
      <c r="AI26" s="2272"/>
      <c r="AJ26" s="2272"/>
      <c r="AK26" s="1267"/>
      <c r="AS26" s="1179">
        <v>14</v>
      </c>
    </row>
    <row customHeight="1" ht="14.699999999999998">
      <c r="Q27" s="400"/>
      <c r="R27" s="400"/>
      <c r="S27" s="2273" t="str">
        <f>IF(org=0,"Не определено",org)</f>
        <v>АО "ДГК"</v>
      </c>
      <c r="T27" s="2273"/>
      <c r="U27" s="2273"/>
      <c r="V27" s="2273"/>
      <c r="W27" s="2273"/>
      <c r="X27" s="2273"/>
      <c r="Y27" s="2273"/>
      <c r="Z27" s="2273"/>
      <c r="AA27" s="2273"/>
      <c r="AB27" s="2273"/>
      <c r="AC27" s="2273"/>
      <c r="AD27" s="2273"/>
      <c r="AE27" s="2273"/>
      <c r="AF27" s="2273"/>
      <c r="AG27" s="2273"/>
      <c r="AH27" s="2273"/>
      <c r="AI27" s="2273"/>
      <c r="AJ27" s="2273"/>
      <c r="AK27" s="1267"/>
      <c r="AS27" s="1179">
        <v>14</v>
      </c>
    </row>
    <row customHeight="1" ht="14.25" hidden="1">
      <c r="Q28" s="400"/>
      <c r="R28" s="400"/>
      <c r="S28" s="1299"/>
      <c r="T28" s="387"/>
      <c r="U28" s="387"/>
      <c r="V28" s="346"/>
      <c r="W28" s="346"/>
      <c r="X28" s="346"/>
      <c r="Y28" s="346"/>
      <c r="Z28" s="346"/>
      <c r="AA28" s="346"/>
      <c r="AB28" s="346"/>
      <c r="AC28" s="346"/>
      <c r="AD28" s="346"/>
      <c r="AE28" s="346"/>
      <c r="AF28" s="346"/>
      <c r="AG28" s="346"/>
      <c r="AH28" s="346"/>
      <c r="AI28" s="346"/>
      <c r="AJ28" s="346"/>
      <c r="AK28" s="346"/>
      <c r="AL28" s="533"/>
      <c r="AS28" s="1179">
        <v>0</v>
      </c>
    </row>
    <row s="1877" customFormat="1" customHeight="1" ht="25.5" hidden="1">
      <c r="A29" s="1392"/>
      <c r="B29" s="1392"/>
      <c r="C29" s="1392"/>
      <c r="D29" s="1392"/>
      <c r="E29" s="1392"/>
      <c r="F29" s="1392"/>
      <c r="G29" s="1392"/>
      <c r="H29" s="1392"/>
      <c r="I29" s="1392"/>
      <c r="J29" s="1392"/>
      <c r="K29" s="1392"/>
      <c r="L29" s="1393"/>
      <c r="M29" s="1392"/>
      <c r="N29" s="1392"/>
      <c r="O29" s="1392"/>
      <c r="S29" s="2274" t="s">
        <v>42</v>
      </c>
      <c r="T29" s="2274"/>
      <c r="U29" s="1396"/>
      <c r="V29" s="2275" t="str">
        <f>IF(TITLE_NAME_OR_PR_CHANGE="",IF(TITLE_NAME_OR_PR="","",TITLE_NAME_OR_PR),TITLE_NAME_OR_PR_CHANGE)</f>
        <v/>
      </c>
      <c r="W29" s="2275"/>
      <c r="X29" s="2275"/>
      <c r="Y29" s="2275"/>
      <c r="Z29" s="2275"/>
      <c r="AA29" s="2275"/>
      <c r="AB29" s="2275"/>
      <c r="AC29" s="350"/>
      <c r="AD29" s="2275" t="str">
        <f>IF(TITLE_NAME_OR_PR_CHANGE="",IF(TITLE_NAME_OR_PR="","",TITLE_NAME_OR_PR),TITLE_NAME_OR_PR_CHANGE)</f>
        <v/>
      </c>
      <c r="AE29" s="2275"/>
      <c r="AF29" s="2275"/>
      <c r="AG29" s="2275"/>
      <c r="AH29" s="2275"/>
      <c r="AI29" s="2275"/>
      <c r="AJ29" s="2275"/>
      <c r="AK29" s="350"/>
      <c r="AL29" s="350"/>
      <c r="AM29" s="304"/>
      <c r="AN29" s="392"/>
      <c r="AO29" s="392"/>
      <c r="AP29" s="392"/>
      <c r="AQ29" s="392"/>
      <c r="AR29" s="392"/>
      <c r="AS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507</v>
      </c>
      <c r="T30" s="2274"/>
      <c r="U30" s="1396"/>
      <c r="V30" s="2288" t="str">
        <f>IF(TITLE_DATE_PR_CHANGE="",IF(TITLE_DATE_PR="","",TITLE_DATE_PR),TITLE_DATE_PR_CHANGE)</f>
        <v/>
      </c>
      <c r="W30" s="2288"/>
      <c r="X30" s="2288"/>
      <c r="Y30" s="2288"/>
      <c r="Z30" s="2288"/>
      <c r="AA30" s="2288"/>
      <c r="AB30" s="2288"/>
      <c r="AC30" s="350"/>
      <c r="AD30" s="2288" t="str">
        <f>IF(TITLE_DATE_PR_CHANGE="",IF(TITLE_DATE_PR="","",TITLE_DATE_PR),TITLE_DATE_PR_CHANGE)</f>
        <v/>
      </c>
      <c r="AE30" s="2288"/>
      <c r="AF30" s="2288"/>
      <c r="AG30" s="2288"/>
      <c r="AH30" s="2288"/>
      <c r="AI30" s="2288"/>
      <c r="AJ30" s="2288"/>
      <c r="AK30" s="350"/>
      <c r="AL30" s="350"/>
      <c r="AM30" s="304"/>
      <c r="AN30" s="392"/>
      <c r="AO30" s="392"/>
      <c r="AP30" s="392"/>
      <c r="AQ30" s="392"/>
      <c r="AR30" s="392"/>
      <c r="AS30" s="442">
        <v>0</v>
      </c>
    </row>
    <row s="1877" customFormat="1" customHeight="1" ht="18.75" hidden="1">
      <c r="A31" s="1392"/>
      <c r="B31" s="1392"/>
      <c r="C31" s="1392"/>
      <c r="D31" s="1392"/>
      <c r="E31" s="1392"/>
      <c r="F31" s="1392"/>
      <c r="G31" s="1392"/>
      <c r="H31" s="1392"/>
      <c r="I31" s="1392"/>
      <c r="J31" s="1392"/>
      <c r="K31" s="1392"/>
      <c r="L31" s="1393"/>
      <c r="M31" s="1392"/>
      <c r="N31" s="1392"/>
      <c r="O31" s="1392"/>
      <c r="S31" s="2274" t="s">
        <v>508</v>
      </c>
      <c r="T31" s="2274"/>
      <c r="U31" s="1396"/>
      <c r="V31" s="2275" t="str">
        <f>IF(TITLE_NUMBER_PR_CHANGE="",IF(TITLE_NUMBER_PR="","",TITLE_NUMBER_PR),TITLE_NUMBER_PR_CHANGE)</f>
        <v/>
      </c>
      <c r="W31" s="2275"/>
      <c r="X31" s="2275"/>
      <c r="Y31" s="2275"/>
      <c r="Z31" s="2275"/>
      <c r="AA31" s="2275"/>
      <c r="AB31" s="2275"/>
      <c r="AC31" s="350"/>
      <c r="AD31" s="2275" t="str">
        <f>IF(TITLE_NUMBER_PR_CHANGE="",IF(TITLE_NUMBER_PR="","",TITLE_NUMBER_PR),TITLE_NUMBER_PR_CHANGE)</f>
        <v/>
      </c>
      <c r="AE31" s="2275"/>
      <c r="AF31" s="2275"/>
      <c r="AG31" s="2275"/>
      <c r="AH31" s="2275"/>
      <c r="AI31" s="2275"/>
      <c r="AJ31" s="2275"/>
      <c r="AK31" s="350"/>
      <c r="AL31" s="350"/>
      <c r="AM31" s="304"/>
      <c r="AN31" s="392"/>
      <c r="AO31" s="392"/>
      <c r="AP31" s="392"/>
      <c r="AQ31" s="392"/>
      <c r="AR31" s="392"/>
      <c r="AS31" s="442">
        <v>0</v>
      </c>
    </row>
    <row s="1877" customFormat="1" customHeight="1" ht="18.75" hidden="1">
      <c r="A32" s="1392"/>
      <c r="B32" s="1392"/>
      <c r="C32" s="1392"/>
      <c r="D32" s="1392"/>
      <c r="E32" s="1392"/>
      <c r="F32" s="1392"/>
      <c r="G32" s="1392"/>
      <c r="H32" s="1392"/>
      <c r="I32" s="1392"/>
      <c r="J32" s="1392"/>
      <c r="K32" s="1392"/>
      <c r="L32" s="1393"/>
      <c r="M32" s="1392"/>
      <c r="N32" s="1392"/>
      <c r="O32" s="1392"/>
      <c r="S32" s="2274" t="s">
        <v>43</v>
      </c>
      <c r="T32" s="2274"/>
      <c r="U32" s="1396"/>
      <c r="V32" s="2275" t="str">
        <f>IF(TITLE_IST_PUB_CHANGE="",IF(TITLE_IST_PUB="","",TITLE_IST_PUB),TITLE_IST_PUB_CHANGE)</f>
        <v/>
      </c>
      <c r="W32" s="2275"/>
      <c r="X32" s="2275"/>
      <c r="Y32" s="2275"/>
      <c r="Z32" s="2275"/>
      <c r="AA32" s="2275"/>
      <c r="AB32" s="2275"/>
      <c r="AC32" s="350"/>
      <c r="AD32" s="2275" t="str">
        <f>IF(TITLE_IST_PUB_CHANGE="",IF(TITLE_IST_PUB="","",TITLE_IST_PUB),TITLE_IST_PUB_CHANGE)</f>
        <v/>
      </c>
      <c r="AE32" s="2275"/>
      <c r="AF32" s="2275"/>
      <c r="AG32" s="2275"/>
      <c r="AH32" s="2275"/>
      <c r="AI32" s="2275"/>
      <c r="AJ32" s="2275"/>
      <c r="AK32" s="350"/>
      <c r="AL32" s="350"/>
      <c r="AM32" s="304"/>
      <c r="AN32" s="392"/>
      <c r="AO32" s="392"/>
      <c r="AP32" s="392"/>
      <c r="AQ32" s="392"/>
      <c r="AR32" s="392"/>
      <c r="AS32" s="442">
        <v>0</v>
      </c>
    </row>
    <row customHeight="1" ht="14.25" hidden="1">
      <c r="Q33" s="400"/>
      <c r="R33" s="400"/>
      <c r="S33" s="1299"/>
      <c r="T33" s="387"/>
      <c r="U33" s="387"/>
      <c r="V33" s="346"/>
      <c r="W33" s="346"/>
      <c r="X33" s="346"/>
      <c r="Y33" s="346"/>
      <c r="Z33" s="346"/>
      <c r="AA33" s="346"/>
      <c r="AB33" s="346"/>
      <c r="AC33" s="346"/>
      <c r="AD33" s="346"/>
      <c r="AE33" s="346"/>
      <c r="AF33" s="346"/>
      <c r="AG33" s="346"/>
      <c r="AH33" s="346"/>
      <c r="AI33" s="346"/>
      <c r="AJ33" s="346"/>
      <c r="AK33" s="346"/>
      <c r="AL33" s="533"/>
      <c r="AS33" s="1179">
        <v>0</v>
      </c>
    </row>
    <row s="1877" customFormat="1" customHeight="1" ht="18.75" hidden="1">
      <c r="A34" s="1392"/>
      <c r="B34" s="1392"/>
      <c r="C34" s="1392"/>
      <c r="D34" s="1392"/>
      <c r="E34" s="1392"/>
      <c r="F34" s="1392"/>
      <c r="G34" s="1392"/>
      <c r="H34" s="1392"/>
      <c r="I34" s="1392"/>
      <c r="J34" s="1392"/>
      <c r="K34" s="1392"/>
      <c r="L34" s="1393"/>
      <c r="M34" s="1392"/>
      <c r="N34" s="1392"/>
      <c r="O34" s="1392"/>
      <c r="S34" s="2274" t="s">
        <v>509</v>
      </c>
      <c r="T34" s="2274"/>
      <c r="U34" s="1396"/>
      <c r="V34" s="2288" t="str">
        <f>IF(TITLE_DATE_PR_CHANGE="",IF(TITLE_DATE_PR="","",TITLE_DATE_PR),TITLE_DATE_PR_CHANGE)</f>
        <v/>
      </c>
      <c r="W34" s="2288"/>
      <c r="X34" s="2288"/>
      <c r="Y34" s="2288"/>
      <c r="Z34" s="2288"/>
      <c r="AA34" s="2288"/>
      <c r="AB34" s="2288"/>
      <c r="AC34" s="350"/>
      <c r="AD34" s="2288" t="str">
        <f>IF(TITLE_DATE_PR_CHANGE="",IF(TITLE_DATE_PR="","",TITLE_DATE_PR),TITLE_DATE_PR_CHANGE)</f>
        <v/>
      </c>
      <c r="AE34" s="2288"/>
      <c r="AF34" s="2288"/>
      <c r="AG34" s="2288"/>
      <c r="AH34" s="2288"/>
      <c r="AI34" s="2288"/>
      <c r="AJ34" s="2288"/>
      <c r="AK34" s="350"/>
      <c r="AL34" s="350"/>
      <c r="AM34" s="304"/>
      <c r="AN34" s="392"/>
      <c r="AO34" s="392"/>
      <c r="AP34" s="392"/>
      <c r="AQ34" s="392"/>
      <c r="AR34" s="392"/>
      <c r="AS34" s="442">
        <v>0</v>
      </c>
    </row>
    <row s="1877" customFormat="1" customHeight="1" ht="18.75" hidden="1">
      <c r="A35" s="1392"/>
      <c r="B35" s="1392"/>
      <c r="C35" s="1392"/>
      <c r="D35" s="1392"/>
      <c r="E35" s="1392"/>
      <c r="F35" s="1392"/>
      <c r="G35" s="1392"/>
      <c r="H35" s="1392"/>
      <c r="I35" s="1392"/>
      <c r="J35" s="1392"/>
      <c r="K35" s="1392"/>
      <c r="L35" s="1393"/>
      <c r="M35" s="1392"/>
      <c r="N35" s="1392"/>
      <c r="O35" s="1392"/>
      <c r="S35" s="2274" t="s">
        <v>510</v>
      </c>
      <c r="T35" s="2274"/>
      <c r="U35" s="1396"/>
      <c r="V35" s="2275" t="str">
        <f>IF(TITLE_NUMBER_PR_CHANGE="",IF(TITLE_NUMBER_PR="","",TITLE_NUMBER_PR),TITLE_NUMBER_PR_CHANGE)</f>
        <v/>
      </c>
      <c r="W35" s="2275"/>
      <c r="X35" s="2275"/>
      <c r="Y35" s="2275"/>
      <c r="Z35" s="2275"/>
      <c r="AA35" s="2275"/>
      <c r="AB35" s="2275"/>
      <c r="AC35" s="350"/>
      <c r="AD35" s="2275" t="str">
        <f>IF(TITLE_NUMBER_PR_CHANGE="",IF(TITLE_NUMBER_PR="","",TITLE_NUMBER_PR),TITLE_NUMBER_PR_CHANGE)</f>
        <v/>
      </c>
      <c r="AE35" s="2275"/>
      <c r="AF35" s="2275"/>
      <c r="AG35" s="2275"/>
      <c r="AH35" s="2275"/>
      <c r="AI35" s="2275"/>
      <c r="AJ35" s="2275"/>
      <c r="AK35" s="350"/>
      <c r="AL35" s="350"/>
      <c r="AM35" s="304"/>
      <c r="AN35" s="392"/>
      <c r="AO35" s="392"/>
      <c r="AP35" s="392"/>
      <c r="AQ35" s="392"/>
      <c r="AR35" s="392"/>
      <c r="AS35" s="442">
        <v>0</v>
      </c>
    </row>
    <row s="1877" customFormat="1" customHeight="1" ht="0">
      <c r="A36" s="1392"/>
      <c r="B36" s="1392"/>
      <c r="C36" s="1392"/>
      <c r="D36" s="1392"/>
      <c r="E36" s="1392"/>
      <c r="F36" s="1392"/>
      <c r="G36" s="1392"/>
      <c r="H36" s="1392"/>
      <c r="I36" s="1392"/>
      <c r="J36" s="1392"/>
      <c r="K36" s="1392"/>
      <c r="L36" s="1393"/>
      <c r="M36" s="1392"/>
      <c r="N36" s="1392"/>
      <c r="O36" s="1392"/>
      <c r="S36" s="347"/>
      <c r="T36" s="347"/>
      <c r="U36" s="1364"/>
      <c r="V36" s="350"/>
      <c r="W36" s="350"/>
      <c r="X36" s="350"/>
      <c r="Y36" s="350"/>
      <c r="Z36" s="350"/>
      <c r="AA36" s="350"/>
      <c r="AB36" s="350"/>
      <c r="AC36" s="302" t="s">
        <v>511</v>
      </c>
      <c r="AD36" s="350"/>
      <c r="AE36" s="350"/>
      <c r="AF36" s="350"/>
      <c r="AG36" s="350"/>
      <c r="AH36" s="350"/>
      <c r="AI36" s="350"/>
      <c r="AJ36" s="350"/>
      <c r="AK36" s="302" t="s">
        <v>511</v>
      </c>
      <c r="AN36" s="392"/>
      <c r="AO36" s="392"/>
      <c r="AP36" s="392"/>
      <c r="AQ36" s="392"/>
      <c r="AR36" s="392"/>
      <c r="AS36" s="442">
        <v>0</v>
      </c>
    </row>
    <row customHeight="1" ht="14.699999999999998">
      <c r="Q37" s="400"/>
      <c r="R37" s="400"/>
      <c r="S37" s="1299"/>
      <c r="T37" s="387"/>
      <c r="U37" s="1268"/>
      <c r="V37" s="2276"/>
      <c r="W37" s="2276"/>
      <c r="X37" s="2276"/>
      <c r="Y37" s="2276"/>
      <c r="Z37" s="2276"/>
      <c r="AA37" s="2276"/>
      <c r="AB37" s="2276"/>
      <c r="AC37" s="2276"/>
      <c r="AD37" s="2276"/>
      <c r="AE37" s="2276"/>
      <c r="AF37" s="2276"/>
      <c r="AG37" s="2276"/>
      <c r="AH37" s="2276"/>
      <c r="AI37" s="2276"/>
      <c r="AJ37" s="2276"/>
      <c r="AK37" s="2276"/>
      <c r="AS37" s="1179">
        <v>14</v>
      </c>
    </row>
    <row customHeight="1" ht="14.699999999999998">
      <c r="Q38" s="400"/>
      <c r="R38" s="400"/>
      <c r="S38" s="2151" t="s">
        <v>384</v>
      </c>
      <c r="T38" s="2151"/>
      <c r="U38" s="2151"/>
      <c r="V38" s="2151"/>
      <c r="W38" s="2151"/>
      <c r="X38" s="2151"/>
      <c r="Y38" s="2151"/>
      <c r="Z38" s="2151"/>
      <c r="AA38" s="2151"/>
      <c r="AB38" s="2151"/>
      <c r="AC38" s="2151"/>
      <c r="AD38" s="2151"/>
      <c r="AE38" s="2151"/>
      <c r="AF38" s="2151"/>
      <c r="AG38" s="2151"/>
      <c r="AH38" s="2151"/>
      <c r="AI38" s="2151"/>
      <c r="AJ38" s="2151"/>
      <c r="AK38" s="2151"/>
      <c r="AL38" s="2151"/>
      <c r="AM38" s="2151" t="s">
        <v>385</v>
      </c>
      <c r="AS38" s="1179">
        <v>14</v>
      </c>
    </row>
    <row customHeight="1" ht="14.699999999999998">
      <c r="Q39" s="400"/>
      <c r="R39" s="400"/>
      <c r="S39" s="2297" t="s">
        <v>88</v>
      </c>
      <c r="T39" s="2233" t="s">
        <v>512</v>
      </c>
      <c r="U39" s="325"/>
      <c r="V39" s="2298" t="s">
        <v>513</v>
      </c>
      <c r="W39" s="2299"/>
      <c r="X39" s="2299"/>
      <c r="Y39" s="2299"/>
      <c r="Z39" s="2299"/>
      <c r="AA39" s="2299"/>
      <c r="AB39" s="2300"/>
      <c r="AC39" s="2301" t="s">
        <v>514</v>
      </c>
      <c r="AD39" s="2298" t="s">
        <v>513</v>
      </c>
      <c r="AE39" s="2299"/>
      <c r="AF39" s="2299"/>
      <c r="AG39" s="2299"/>
      <c r="AH39" s="2299"/>
      <c r="AI39" s="2299"/>
      <c r="AJ39" s="2300"/>
      <c r="AK39" s="2301" t="s">
        <v>515</v>
      </c>
      <c r="AL39" s="2304" t="s">
        <v>516</v>
      </c>
      <c r="AM39" s="2151"/>
      <c r="AS39" s="1179">
        <v>14</v>
      </c>
    </row>
    <row customHeight="1" ht="35.699999999999996">
      <c r="Q40" s="400"/>
      <c r="R40" s="400"/>
      <c r="S40" s="2297"/>
      <c r="T40" s="2233"/>
      <c r="U40" s="1055"/>
      <c r="V40" s="2284" t="s">
        <v>517</v>
      </c>
      <c r="W40" s="2307" t="s">
        <v>518</v>
      </c>
      <c r="X40" s="2286" t="s">
        <v>519</v>
      </c>
      <c r="Y40" s="2287"/>
      <c r="Z40" s="2286" t="s">
        <v>533</v>
      </c>
      <c r="AA40" s="2293"/>
      <c r="AB40" s="2287"/>
      <c r="AC40" s="2302"/>
      <c r="AD40" s="2284" t="s">
        <v>517</v>
      </c>
      <c r="AE40" s="2307" t="s">
        <v>518</v>
      </c>
      <c r="AF40" s="2286" t="s">
        <v>519</v>
      </c>
      <c r="AG40" s="2287"/>
      <c r="AH40" s="2286" t="s">
        <v>520</v>
      </c>
      <c r="AI40" s="2293"/>
      <c r="AJ40" s="2287"/>
      <c r="AK40" s="2302"/>
      <c r="AL40" s="2305"/>
      <c r="AM40" s="2151"/>
      <c r="AS40" s="1179">
        <v>34</v>
      </c>
    </row>
    <row customHeight="1" ht="35.699999999999996">
      <c r="A41" s="1394"/>
      <c r="B41" s="1394" t="s">
        <v>223</v>
      </c>
      <c r="C41" s="1394" t="s">
        <v>224</v>
      </c>
      <c r="D41" s="1394" t="s">
        <v>225</v>
      </c>
      <c r="E41" s="1388" t="s">
        <v>521</v>
      </c>
      <c r="F41" s="1388" t="s">
        <v>522</v>
      </c>
      <c r="G41" s="1388" t="s">
        <v>523</v>
      </c>
      <c r="H41" s="1388" t="s">
        <v>524</v>
      </c>
      <c r="I41" s="1388" t="s">
        <v>525</v>
      </c>
      <c r="J41" s="1388" t="s">
        <v>526</v>
      </c>
      <c r="K41" s="1388" t="s">
        <v>527</v>
      </c>
      <c r="L41" s="1388" t="s">
        <v>502</v>
      </c>
      <c r="Q41" s="400"/>
      <c r="R41" s="400"/>
      <c r="S41" s="2297"/>
      <c r="T41" s="2233"/>
      <c r="U41" s="326"/>
      <c r="V41" s="2285"/>
      <c r="W41" s="2308"/>
      <c r="X41" s="1246" t="s">
        <v>528</v>
      </c>
      <c r="Y41" s="1246" t="s">
        <v>529</v>
      </c>
      <c r="Z41" s="1362" t="s">
        <v>530</v>
      </c>
      <c r="AA41" s="2294" t="s">
        <v>531</v>
      </c>
      <c r="AB41" s="2295"/>
      <c r="AC41" s="2303"/>
      <c r="AD41" s="2285"/>
      <c r="AE41" s="2308"/>
      <c r="AF41" s="1246" t="s">
        <v>528</v>
      </c>
      <c r="AG41" s="1246" t="s">
        <v>529</v>
      </c>
      <c r="AH41" s="1362" t="s">
        <v>530</v>
      </c>
      <c r="AI41" s="2294" t="s">
        <v>531</v>
      </c>
      <c r="AJ41" s="2295"/>
      <c r="AK41" s="2303"/>
      <c r="AL41" s="2306"/>
      <c r="AM41" s="2151"/>
      <c r="AS41" s="1179">
        <v>34</v>
      </c>
    </row>
    <row s="1665" customFormat="1" customHeight="1" ht="11.25" hidden="1">
      <c r="A42" s="1394"/>
      <c r="B42" s="1394"/>
      <c r="C42" s="1394"/>
      <c r="D42" s="1394"/>
      <c r="E42" s="1394"/>
      <c r="F42" s="1394"/>
      <c r="G42" s="1394"/>
      <c r="H42" s="1394"/>
      <c r="I42" s="1394"/>
      <c r="J42" s="1394"/>
      <c r="K42" s="1394"/>
      <c r="L42" s="1388"/>
      <c r="M42" s="1386"/>
      <c r="N42" s="1386"/>
      <c r="O42" s="1386"/>
      <c r="P42" s="1270"/>
      <c r="Q42" s="1271"/>
      <c r="R42" s="1278">
        <v>1</v>
      </c>
      <c r="S42" s="1301" t="s">
        <v>170</v>
      </c>
      <c r="T42" s="1279" t="s">
        <v>103</v>
      </c>
      <c r="U42" s="1269" t="str">
        <f>OFFSET(U42,0,-1)</f>
        <v>2</v>
      </c>
      <c r="V42" s="1359">
        <f>OFFSET(V42,0,-1)+1</f>
        <v>3</v>
      </c>
      <c r="W42" s="1359"/>
      <c r="X42" s="1359">
        <f>OFFSET(X42,0,-1)+1</f>
        <v>1</v>
      </c>
      <c r="Y42" s="1359">
        <f>OFFSET(Y42,0,-1)+1</f>
        <v>2</v>
      </c>
      <c r="Z42" s="1359">
        <f>OFFSET(Z42,0,-1)+1</f>
        <v>3</v>
      </c>
      <c r="AA42" s="2296">
        <f>OFFSET(AA42,0,-1)+1</f>
        <v>4</v>
      </c>
      <c r="AB42" s="2296"/>
      <c r="AC42" s="1359">
        <f>OFFSET(AC42,0,-2)+1</f>
        <v>5</v>
      </c>
      <c r="AD42" s="1359">
        <f>OFFSET(AD42,0,-1)+1</f>
        <v>6</v>
      </c>
      <c r="AE42" s="1359"/>
      <c r="AF42" s="1359">
        <f>OFFSET(AF42,0,-1)+1</f>
        <v>1</v>
      </c>
      <c r="AG42" s="1359">
        <f>OFFSET(AG42,0,-1)+1</f>
        <v>2</v>
      </c>
      <c r="AH42" s="1359">
        <f>OFFSET(AH42,0,-1)+1</f>
        <v>3</v>
      </c>
      <c r="AI42" s="2296">
        <f>OFFSET(AI42,0,-1)+1</f>
        <v>4</v>
      </c>
      <c r="AJ42" s="2296"/>
      <c r="AK42" s="1359">
        <f>OFFSET(AK42,0,-2)+1</f>
        <v>5</v>
      </c>
      <c r="AL42" s="1269">
        <f>OFFSET(AL42,0,-1)</f>
        <v>5</v>
      </c>
      <c r="AM42" s="1359">
        <f>OFFSET(AM42,0,-1)+1</f>
        <v>6</v>
      </c>
      <c r="AN42" s="535"/>
      <c r="AO42" s="535"/>
      <c r="AP42" s="535"/>
      <c r="AQ42" s="535"/>
      <c r="AR42" s="535"/>
      <c r="AS42" s="520">
        <v>0</v>
      </c>
    </row>
    <row customHeight="1" ht="22.049999999999997">
      <c r="A43" s="1387" t="s">
        <v>247</v>
      </c>
      <c r="B43" s="1387"/>
      <c r="C43" s="1387"/>
      <c r="D43" s="1387"/>
      <c r="E43" s="2282">
        <v>1</v>
      </c>
      <c r="F43" s="1387"/>
      <c r="G43" s="1387"/>
      <c r="H43" s="1387"/>
      <c r="I43" s="1387"/>
      <c r="J43" s="1387"/>
      <c r="K43" s="1387"/>
      <c r="L43" s="1388"/>
      <c r="M43" s="1389"/>
      <c r="N43" s="1389"/>
      <c r="O43" s="1389"/>
      <c r="P43" s="385"/>
      <c r="Q43" s="384"/>
      <c r="R43" s="379"/>
      <c r="S43" s="1360">
        <f>INDEX(PT_DIFFERENTIATION_NUM_NTAR,MATCH(A43,PT_DIFFERENTIATION_NTAR_ID,0))</f>
        <v>0</v>
      </c>
      <c r="T43" s="322" t="s">
        <v>211</v>
      </c>
      <c r="U43" s="324"/>
      <c r="V43" s="2266"/>
      <c r="W43" s="2267"/>
      <c r="X43" s="2267"/>
      <c r="Y43" s="2267"/>
      <c r="Z43" s="2267"/>
      <c r="AA43" s="2267"/>
      <c r="AB43" s="2267"/>
      <c r="AC43" s="2268"/>
      <c r="AD43" s="2266" t="str">
        <f>INDEX(PT_DIFFERENTIATION_NTAR,MATCH(A43,PT_DIFFERENTIATION_NTAR_ID,0))</f>
        <v/>
      </c>
      <c r="AE43" s="2267"/>
      <c r="AF43" s="2267"/>
      <c r="AG43" s="2267"/>
      <c r="AH43" s="2267"/>
      <c r="AI43" s="2267"/>
      <c r="AJ43" s="2267"/>
      <c r="AK43" s="2267"/>
      <c r="AL43" s="2268"/>
      <c r="AM43" s="12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24"/>
      <c r="AP43" s="524" t="str">
        <f>IF(T43="","",T43)</f>
        <v>Наименование тарифа</v>
      </c>
      <c r="AQ43" s="524"/>
      <c r="AR43" s="524"/>
      <c r="AS43" s="1179">
        <v>21</v>
      </c>
    </row>
    <row customHeight="1" ht="22.049999999999997">
      <c r="A44" s="1387" t="s">
        <v>247</v>
      </c>
      <c r="B44" s="1387" t="s">
        <v>248</v>
      </c>
      <c r="C44" s="1387"/>
      <c r="D44" s="1387"/>
      <c r="E44" s="2283"/>
      <c r="F44" s="2282">
        <v>1</v>
      </c>
      <c r="G44" s="1387"/>
      <c r="H44" s="1387"/>
      <c r="I44" s="1387"/>
      <c r="J44" s="1387"/>
      <c r="K44" s="1387"/>
      <c r="L44" s="1388"/>
      <c r="M44" s="1389"/>
      <c r="N44" s="1389"/>
      <c r="O44" s="1389"/>
      <c r="P44" s="1356"/>
      <c r="Q44" s="376"/>
      <c r="R44" s="377"/>
      <c r="S44" s="1360" t="str">
        <f>INDEX(PT_DIFFERENTIATION_NUM_TER,MATCH(B44,PT_DIFFERENTIATION_TER_ID,0))</f>
        <v>.</v>
      </c>
      <c r="T44" s="332" t="s">
        <v>481</v>
      </c>
      <c r="U44" s="324"/>
      <c r="V44" s="2266"/>
      <c r="W44" s="2267"/>
      <c r="X44" s="2267"/>
      <c r="Y44" s="2267"/>
      <c r="Z44" s="2267"/>
      <c r="AA44" s="2267"/>
      <c r="AB44" s="2267"/>
      <c r="AC44" s="2268"/>
      <c r="AD44" s="2266" t="str">
        <f>INDEX(PT_DIFFERENTIATION_TER,MATCH(B44,PT_DIFFERENTIATION_TER_ID,0))</f>
        <v/>
      </c>
      <c r="AE44" s="2267"/>
      <c r="AF44" s="2267"/>
      <c r="AG44" s="2267"/>
      <c r="AH44" s="2267"/>
      <c r="AI44" s="2267"/>
      <c r="AJ44" s="2267"/>
      <c r="AK44" s="2267"/>
      <c r="AL44" s="2268"/>
      <c r="AM44" s="1282" t="s">
        <v>482</v>
      </c>
      <c r="AO44" s="524"/>
      <c r="AP44" s="524" t="str">
        <f>IF(T44="","",T44)</f>
        <v>Территория действия тарифа</v>
      </c>
      <c r="AQ44" s="524"/>
      <c r="AR44" s="524"/>
      <c r="AS44" s="1179">
        <v>21</v>
      </c>
    </row>
    <row customHeight="1" ht="24">
      <c r="A45" s="1387" t="s">
        <v>247</v>
      </c>
      <c r="B45" s="1387" t="s">
        <v>248</v>
      </c>
      <c r="C45" s="1387" t="s">
        <v>249</v>
      </c>
      <c r="D45" s="1387"/>
      <c r="E45" s="2283"/>
      <c r="F45" s="2283"/>
      <c r="G45" s="2282">
        <v>1</v>
      </c>
      <c r="H45" s="1387"/>
      <c r="I45" s="1387"/>
      <c r="J45" s="1387"/>
      <c r="K45" s="1387"/>
      <c r="L45" s="1388"/>
      <c r="M45" s="1389"/>
      <c r="N45" s="1389"/>
      <c r="O45" s="1389"/>
      <c r="P45" s="378"/>
      <c r="Q45" s="376"/>
      <c r="R45" s="377"/>
      <c r="S45" s="1360" t="str">
        <f>INDEX(PT_DIFFERENTIATION_NUM_CS,MATCH(C45,PT_DIFFERENTIATION_CS_ID,0))</f>
        <v>..</v>
      </c>
      <c r="T45" s="333" t="s">
        <v>483</v>
      </c>
      <c r="U45" s="324"/>
      <c r="V45" s="2266"/>
      <c r="W45" s="2267"/>
      <c r="X45" s="2267"/>
      <c r="Y45" s="2267"/>
      <c r="Z45" s="2267"/>
      <c r="AA45" s="2267"/>
      <c r="AB45" s="2267"/>
      <c r="AC45" s="2268"/>
      <c r="AD45" s="2266" t="str">
        <f>INDEX(PT_DIFFERENTIATION_CS,MATCH(C45,PT_DIFFERENTIATION_CS_ID,0))</f>
        <v/>
      </c>
      <c r="AE45" s="2267"/>
      <c r="AF45" s="2267"/>
      <c r="AG45" s="2267"/>
      <c r="AH45" s="2267"/>
      <c r="AI45" s="2267"/>
      <c r="AJ45" s="2267"/>
      <c r="AK45" s="2267"/>
      <c r="AL45" s="2268"/>
      <c r="AM45" s="1282" t="s">
        <v>484</v>
      </c>
      <c r="AO45" s="524"/>
      <c r="AP45" s="524" t="str">
        <f>IF(T45="","",T45)</f>
        <v>Наименование системы теплоснабжения </v>
      </c>
      <c r="AQ45" s="524"/>
      <c r="AR45" s="524"/>
      <c r="AS45" s="1179">
        <v>23</v>
      </c>
    </row>
    <row customHeight="1" ht="22.049999999999997">
      <c r="A46" s="1387" t="s">
        <v>247</v>
      </c>
      <c r="B46" s="1387" t="s">
        <v>248</v>
      </c>
      <c r="C46" s="1387" t="s">
        <v>249</v>
      </c>
      <c r="D46" s="1387" t="s">
        <v>250</v>
      </c>
      <c r="E46" s="2283"/>
      <c r="F46" s="2283"/>
      <c r="G46" s="2283"/>
      <c r="H46" s="2282">
        <v>1</v>
      </c>
      <c r="I46" s="1387"/>
      <c r="J46" s="1387"/>
      <c r="K46" s="1387"/>
      <c r="L46" s="1388"/>
      <c r="M46" s="1389"/>
      <c r="N46" s="1389"/>
      <c r="O46" s="1389"/>
      <c r="P46" s="378"/>
      <c r="Q46" s="376"/>
      <c r="R46" s="377"/>
      <c r="S46" s="1360" t="str">
        <f>INDEX(PT_DIFFERENTIATION_NUM_IST_TE,MATCH(D46,PT_DIFFERENTIATION_IST_TE_ID,0))</f>
        <v>...</v>
      </c>
      <c r="T46" s="334" t="s">
        <v>485</v>
      </c>
      <c r="U46" s="324"/>
      <c r="V46" s="2266"/>
      <c r="W46" s="2267"/>
      <c r="X46" s="2267"/>
      <c r="Y46" s="2267"/>
      <c r="Z46" s="2267"/>
      <c r="AA46" s="2267"/>
      <c r="AB46" s="2267"/>
      <c r="AC46" s="2268"/>
      <c r="AD46" s="2266" t="str">
        <f>INDEX(PT_DIFFERENTIATION_IST_TE,MATCH(D46,PT_DIFFERENTIATION_IST_TE_ID,0))</f>
        <v/>
      </c>
      <c r="AE46" s="2267"/>
      <c r="AF46" s="2267"/>
      <c r="AG46" s="2267"/>
      <c r="AH46" s="2267"/>
      <c r="AI46" s="2267"/>
      <c r="AJ46" s="2267"/>
      <c r="AK46" s="2267"/>
      <c r="AL46" s="2268"/>
      <c r="AM46" s="1282" t="s">
        <v>486</v>
      </c>
      <c r="AO46" s="524"/>
      <c r="AP46" s="524" t="str">
        <f>IF(T46="","",T46)</f>
        <v>Источник тепловой энергии  </v>
      </c>
      <c r="AQ46" s="524"/>
      <c r="AR46" s="524"/>
      <c r="AS46" s="1179">
        <v>21</v>
      </c>
    </row>
    <row customHeight="1" ht="49.5">
      <c r="A47" s="1387" t="s">
        <v>247</v>
      </c>
      <c r="B47" s="1387" t="s">
        <v>248</v>
      </c>
      <c r="C47" s="1387" t="s">
        <v>249</v>
      </c>
      <c r="D47" s="1387" t="s">
        <v>250</v>
      </c>
      <c r="E47" s="2283"/>
      <c r="F47" s="2283"/>
      <c r="G47" s="2283"/>
      <c r="H47" s="2283"/>
      <c r="I47" s="2280" t="str">
        <f>S46&amp;".1"</f>
        <v>....1</v>
      </c>
      <c r="J47" s="1387"/>
      <c r="K47" s="1387"/>
      <c r="L47" s="1388" t="s">
        <v>487</v>
      </c>
      <c r="P47" s="2281">
        <v>1</v>
      </c>
      <c r="Q47" s="1355"/>
      <c r="R47" s="380"/>
      <c r="S47" s="1360" t="str">
        <f>$I47</f>
        <v>....1</v>
      </c>
      <c r="T47" s="309" t="s">
        <v>488</v>
      </c>
      <c r="U47" s="324"/>
      <c r="V47" s="2269"/>
      <c r="W47" s="2270"/>
      <c r="X47" s="2270"/>
      <c r="Y47" s="2270"/>
      <c r="Z47" s="2270"/>
      <c r="AA47" s="2270"/>
      <c r="AB47" s="2270"/>
      <c r="AC47" s="2271"/>
      <c r="AD47" s="2269"/>
      <c r="AE47" s="2270"/>
      <c r="AF47" s="2270"/>
      <c r="AG47" s="2270"/>
      <c r="AH47" s="2270"/>
      <c r="AI47" s="2270"/>
      <c r="AJ47" s="2270"/>
      <c r="AK47" s="2270"/>
      <c r="AL47" s="2271"/>
      <c r="AM47" s="1282" t="s">
        <v>489</v>
      </c>
      <c r="AO47" s="524"/>
      <c r="AP47" s="524" t="str">
        <f>IF(T47="","",T47)</f>
        <v>Схема подключения теплопотребляющей установки к коллектору источника тепловой энергии</v>
      </c>
      <c r="AQ47" s="524"/>
      <c r="AR47" s="524"/>
      <c r="AS47" s="1179">
        <v>47</v>
      </c>
    </row>
    <row customHeight="1" ht="22.049999999999997">
      <c r="A48" s="1387" t="s">
        <v>247</v>
      </c>
      <c r="B48" s="1387" t="s">
        <v>248</v>
      </c>
      <c r="C48" s="1387" t="s">
        <v>249</v>
      </c>
      <c r="D48" s="1387" t="s">
        <v>250</v>
      </c>
      <c r="E48" s="2283"/>
      <c r="F48" s="2283"/>
      <c r="G48" s="2283"/>
      <c r="H48" s="2283"/>
      <c r="I48" s="2310"/>
      <c r="J48" s="2280" t="str">
        <f>I47&amp;".1"</f>
        <v>....1.1</v>
      </c>
      <c r="K48" s="1387"/>
      <c r="L48" s="1388" t="s">
        <v>490</v>
      </c>
      <c r="P48" s="2281"/>
      <c r="Q48" s="2281">
        <v>1</v>
      </c>
      <c r="R48" s="381"/>
      <c r="S48" s="1360" t="str">
        <f>$J48</f>
        <v>....1.1</v>
      </c>
      <c r="T48" s="310" t="s">
        <v>491</v>
      </c>
      <c r="U48" s="324"/>
      <c r="V48" s="2269"/>
      <c r="W48" s="2270"/>
      <c r="X48" s="2270"/>
      <c r="Y48" s="2270"/>
      <c r="Z48" s="2270"/>
      <c r="AA48" s="2270"/>
      <c r="AB48" s="2270"/>
      <c r="AC48" s="2271"/>
      <c r="AD48" s="2269"/>
      <c r="AE48" s="2270"/>
      <c r="AF48" s="2270"/>
      <c r="AG48" s="2270"/>
      <c r="AH48" s="2270"/>
      <c r="AI48" s="2270"/>
      <c r="AJ48" s="2270"/>
      <c r="AK48" s="2270"/>
      <c r="AL48" s="2271"/>
      <c r="AM48" s="1282" t="s">
        <v>492</v>
      </c>
      <c r="AO48" s="524"/>
      <c r="AP48" s="524" t="str">
        <f>IF(T48="","",T48)</f>
        <v>Группа потребителей</v>
      </c>
      <c r="AQ48" s="524"/>
      <c r="AR48" s="524"/>
      <c r="AS48" s="1179">
        <v>21</v>
      </c>
    </row>
    <row customHeight="1" ht="22.049999999999997">
      <c r="A49" s="1387" t="s">
        <v>247</v>
      </c>
      <c r="B49" s="1387" t="s">
        <v>248</v>
      </c>
      <c r="C49" s="1387" t="s">
        <v>249</v>
      </c>
      <c r="D49" s="1387" t="s">
        <v>250</v>
      </c>
      <c r="E49" s="2283"/>
      <c r="F49" s="2283"/>
      <c r="G49" s="2283"/>
      <c r="H49" s="2283"/>
      <c r="I49" s="2310"/>
      <c r="J49" s="2310"/>
      <c r="K49" s="2280" t="str">
        <f>J48&amp;".1"</f>
        <v>....1.1.1</v>
      </c>
      <c r="L49" s="1388" t="s">
        <v>493</v>
      </c>
      <c r="P49" s="2281"/>
      <c r="Q49" s="2281"/>
      <c r="R49" s="381">
        <v>1</v>
      </c>
      <c r="S49" s="1360" t="str">
        <f>$K49</f>
        <v>....1.1.1</v>
      </c>
      <c r="T49" s="1371"/>
      <c r="U49" s="324"/>
      <c r="V49" s="775"/>
      <c r="W49" s="349"/>
      <c r="X49" s="775"/>
      <c r="Y49" s="1281"/>
      <c r="Z49" s="2289"/>
      <c r="AA49" s="2131" t="s">
        <v>66</v>
      </c>
      <c r="AB49" s="2289"/>
      <c r="AC49" s="2131" t="s">
        <v>66</v>
      </c>
      <c r="AD49" s="775"/>
      <c r="AE49" s="349"/>
      <c r="AF49" s="775"/>
      <c r="AG49" s="1281"/>
      <c r="AH49" s="2289"/>
      <c r="AI49" s="2131" t="s">
        <v>66</v>
      </c>
      <c r="AJ49" s="2311"/>
      <c r="AK49" s="2131" t="s">
        <v>66</v>
      </c>
      <c r="AL49" s="1372"/>
      <c r="AM49" s="2277" t="s">
        <v>494</v>
      </c>
      <c r="AN49" s="535">
        <f>STRCHECKDATE(V50:AL50)</f>
      </c>
      <c r="AO49" s="524"/>
      <c r="AP49" s="524" t="str">
        <f>IF(T49="","",T49)</f>
        <v/>
      </c>
      <c r="AQ49" s="524"/>
      <c r="AR49" s="524"/>
      <c r="AS49" s="1179">
        <v>21</v>
      </c>
    </row>
    <row customHeight="1" ht="1.05">
      <c r="A50" s="1387" t="s">
        <v>247</v>
      </c>
      <c r="B50" s="1387" t="s">
        <v>248</v>
      </c>
      <c r="C50" s="1387" t="s">
        <v>249</v>
      </c>
      <c r="D50" s="1387" t="s">
        <v>250</v>
      </c>
      <c r="E50" s="2283"/>
      <c r="F50" s="2283"/>
      <c r="G50" s="2283"/>
      <c r="H50" s="2283"/>
      <c r="I50" s="2310"/>
      <c r="J50" s="2310"/>
      <c r="K50" s="2280"/>
      <c r="L50" s="1388"/>
      <c r="P50" s="2281"/>
      <c r="Q50" s="2281"/>
      <c r="R50" s="381"/>
      <c r="S50" s="1366"/>
      <c r="T50" s="324"/>
      <c r="U50" s="324"/>
      <c r="V50" s="349"/>
      <c r="W50" s="349"/>
      <c r="X50" s="349"/>
      <c r="Y50" s="352" t="str">
        <f>Z49&amp;"-"&amp;AB49</f>
        <v>-</v>
      </c>
      <c r="Z50" s="2290"/>
      <c r="AA50" s="2131"/>
      <c r="AB50" s="2290"/>
      <c r="AC50" s="2131"/>
      <c r="AD50" s="349"/>
      <c r="AE50" s="349"/>
      <c r="AF50" s="349"/>
      <c r="AG50" s="352" t="str">
        <f>AH49&amp;"-"&amp;AJ49</f>
        <v>-</v>
      </c>
      <c r="AH50" s="2290"/>
      <c r="AI50" s="2131"/>
      <c r="AJ50" s="2312"/>
      <c r="AK50" s="2131"/>
      <c r="AL50" s="1373"/>
      <c r="AM50" s="2278"/>
      <c r="AO50" s="524"/>
      <c r="AP50" s="524" t="str">
        <f>IF(T50="","",T50)</f>
        <v/>
      </c>
      <c r="AQ50" s="524"/>
      <c r="AR50" s="524"/>
      <c r="AS50" s="1179">
        <v>1</v>
      </c>
    </row>
    <row customHeight="1" ht="11.549999999999999">
      <c r="A51" s="1387" t="s">
        <v>247</v>
      </c>
      <c r="B51" s="1387" t="s">
        <v>248</v>
      </c>
      <c r="C51" s="1387" t="s">
        <v>249</v>
      </c>
      <c r="D51" s="1387" t="s">
        <v>250</v>
      </c>
      <c r="E51" s="2283"/>
      <c r="F51" s="2283"/>
      <c r="G51" s="2283"/>
      <c r="H51" s="2283"/>
      <c r="I51" s="2310"/>
      <c r="J51" s="2280"/>
      <c r="K51" s="1387"/>
      <c r="L51" s="1388"/>
      <c r="P51" s="2281"/>
      <c r="Q51" s="2281"/>
      <c r="R51" s="380"/>
      <c r="S51" s="1302"/>
      <c r="T51" s="312" t="s">
        <v>495</v>
      </c>
      <c r="U51" s="391"/>
      <c r="V51" s="391"/>
      <c r="W51" s="391"/>
      <c r="X51" s="391"/>
      <c r="Y51" s="391"/>
      <c r="Z51" s="391"/>
      <c r="AA51" s="391"/>
      <c r="AB51" s="391"/>
      <c r="AC51" s="391"/>
      <c r="AD51" s="391"/>
      <c r="AE51" s="391"/>
      <c r="AF51" s="391"/>
      <c r="AG51" s="391"/>
      <c r="AH51" s="391"/>
      <c r="AI51" s="391"/>
      <c r="AJ51" s="391"/>
      <c r="AK51" s="391"/>
      <c r="AL51" s="348"/>
      <c r="AM51" s="2279"/>
      <c r="AO51" s="524"/>
      <c r="AP51" s="524" t="str">
        <f>IF(T51="","",T51)</f>
        <v>Добавить вид теплоносителя (параметры теплоносителя)</v>
      </c>
      <c r="AQ51" s="524"/>
      <c r="AR51" s="524"/>
      <c r="AS51" s="1179">
        <v>11</v>
      </c>
    </row>
    <row customHeight="1" ht="11.549999999999999">
      <c r="A52" s="1387" t="s">
        <v>247</v>
      </c>
      <c r="B52" s="1387" t="s">
        <v>248</v>
      </c>
      <c r="C52" s="1387" t="s">
        <v>249</v>
      </c>
      <c r="D52" s="1387" t="s">
        <v>250</v>
      </c>
      <c r="E52" s="2283"/>
      <c r="F52" s="2283"/>
      <c r="G52" s="2283"/>
      <c r="H52" s="2283"/>
      <c r="I52" s="2280"/>
      <c r="J52" s="1387"/>
      <c r="K52" s="1387"/>
      <c r="L52" s="1388"/>
      <c r="P52" s="2281"/>
      <c r="Q52" s="1355"/>
      <c r="R52" s="380"/>
      <c r="S52" s="1302"/>
      <c r="T52" s="311" t="s">
        <v>496</v>
      </c>
      <c r="U52" s="391"/>
      <c r="V52" s="391"/>
      <c r="W52" s="391"/>
      <c r="X52" s="391"/>
      <c r="Y52" s="391"/>
      <c r="Z52" s="391"/>
      <c r="AA52" s="391"/>
      <c r="AB52" s="391"/>
      <c r="AC52" s="390"/>
      <c r="AD52" s="391"/>
      <c r="AE52" s="391"/>
      <c r="AF52" s="391"/>
      <c r="AG52" s="391"/>
      <c r="AH52" s="391"/>
      <c r="AI52" s="391"/>
      <c r="AJ52" s="391"/>
      <c r="AK52" s="390"/>
      <c r="AL52" s="391"/>
      <c r="AM52" s="327"/>
      <c r="AO52" s="524"/>
      <c r="AP52" s="524" t="str">
        <f>IF(T52="","",T52)</f>
        <v>Добавить группу потребителей</v>
      </c>
      <c r="AQ52" s="524"/>
      <c r="AR52" s="524"/>
      <c r="AS52" s="1179">
        <v>11</v>
      </c>
    </row>
    <row customHeight="1" ht="14.699999999999998">
      <c r="A53" s="1387" t="s">
        <v>247</v>
      </c>
      <c r="B53" s="1387" t="s">
        <v>248</v>
      </c>
      <c r="C53" s="1387" t="s">
        <v>249</v>
      </c>
      <c r="D53" s="1387" t="s">
        <v>250</v>
      </c>
      <c r="E53" s="2283"/>
      <c r="F53" s="2283"/>
      <c r="G53" s="2283"/>
      <c r="H53" s="2282"/>
      <c r="I53" s="1387"/>
      <c r="J53" s="1387"/>
      <c r="K53" s="1387"/>
      <c r="L53" s="1388"/>
      <c r="M53" s="1389"/>
      <c r="N53" s="1389"/>
      <c r="O53" s="561"/>
      <c r="P53" s="384"/>
      <c r="Q53" s="399"/>
      <c r="R53" s="379"/>
      <c r="S53" s="1302"/>
      <c r="T53" s="389" t="s">
        <v>497</v>
      </c>
      <c r="U53" s="391"/>
      <c r="V53" s="391"/>
      <c r="W53" s="391"/>
      <c r="X53" s="391"/>
      <c r="Y53" s="391"/>
      <c r="Z53" s="391"/>
      <c r="AA53" s="391"/>
      <c r="AB53" s="391"/>
      <c r="AC53" s="390"/>
      <c r="AD53" s="391"/>
      <c r="AE53" s="391"/>
      <c r="AF53" s="391"/>
      <c r="AG53" s="391"/>
      <c r="AH53" s="391"/>
      <c r="AI53" s="391"/>
      <c r="AJ53" s="391"/>
      <c r="AK53" s="390"/>
      <c r="AL53" s="391"/>
      <c r="AM53" s="327"/>
      <c r="AO53" s="524"/>
      <c r="AP53" s="524" t="str">
        <f>IF(T53="","",T53)</f>
        <v>Добавить схему подключения</v>
      </c>
      <c r="AQ53" s="524"/>
      <c r="AR53" s="524"/>
      <c r="AS53" s="1179">
        <v>14</v>
      </c>
    </row>
    <row s="1666" customFormat="1" customHeight="1" ht="1.05">
      <c r="A54" s="1367" t="s">
        <v>247</v>
      </c>
      <c r="B54" s="1367" t="s">
        <v>248</v>
      </c>
      <c r="C54" s="1367" t="s">
        <v>249</v>
      </c>
      <c r="D54" s="1338"/>
      <c r="E54" s="2283"/>
      <c r="F54" s="2283"/>
      <c r="G54" s="2282"/>
      <c r="H54" s="1338"/>
      <c r="I54" s="1338"/>
      <c r="J54" s="1338"/>
      <c r="K54" s="1338"/>
      <c r="L54" s="1363"/>
      <c r="M54" s="1339"/>
      <c r="N54" s="1339"/>
      <c r="P54" s="1340"/>
      <c r="Q54" s="1341"/>
      <c r="R54" s="1340"/>
      <c r="S54" s="1346"/>
      <c r="T54" s="1349" t="s">
        <v>498</v>
      </c>
      <c r="U54" s="1348"/>
      <c r="V54" s="1348"/>
      <c r="W54" s="1348"/>
      <c r="X54" s="1348"/>
      <c r="Y54" s="1348"/>
      <c r="Z54" s="1348"/>
      <c r="AA54" s="1348"/>
      <c r="AB54" s="1348"/>
      <c r="AC54" s="1348"/>
      <c r="AD54" s="1348"/>
      <c r="AE54" s="1348"/>
      <c r="AF54" s="1348"/>
      <c r="AG54" s="1348"/>
      <c r="AH54" s="1348"/>
      <c r="AI54" s="1348"/>
      <c r="AJ54" s="1348"/>
      <c r="AK54" s="1348"/>
      <c r="AL54" s="1348"/>
      <c r="AM54" s="1348"/>
      <c r="AO54" s="813"/>
      <c r="AP54" s="813" t="str">
        <f>IF(T54="","",T54)</f>
        <v>Добавить источник для дифференциации</v>
      </c>
      <c r="AQ54" s="813"/>
      <c r="AR54" s="813"/>
      <c r="AS54" s="542">
        <v>1</v>
      </c>
    </row>
    <row s="1666" customFormat="1" customHeight="1" ht="1.05">
      <c r="A55" s="1367" t="s">
        <v>247</v>
      </c>
      <c r="B55" s="1367" t="s">
        <v>248</v>
      </c>
      <c r="C55" s="1338"/>
      <c r="D55" s="1338"/>
      <c r="E55" s="2283"/>
      <c r="F55" s="2282"/>
      <c r="G55" s="1338"/>
      <c r="H55" s="1338"/>
      <c r="I55" s="1338"/>
      <c r="J55" s="1338"/>
      <c r="K55" s="1338"/>
      <c r="L55" s="1363"/>
      <c r="M55" s="1345"/>
      <c r="N55" s="1345"/>
      <c r="P55" s="1340"/>
      <c r="Q55" s="1341"/>
      <c r="R55" s="1340"/>
      <c r="S55" s="1346"/>
      <c r="T55" s="1349" t="s">
        <v>499</v>
      </c>
      <c r="U55" s="1348"/>
      <c r="V55" s="1348"/>
      <c r="W55" s="1348"/>
      <c r="X55" s="1348"/>
      <c r="Y55" s="1348"/>
      <c r="Z55" s="1348"/>
      <c r="AA55" s="1348"/>
      <c r="AB55" s="1348"/>
      <c r="AC55" s="1348"/>
      <c r="AD55" s="1348"/>
      <c r="AE55" s="1348"/>
      <c r="AF55" s="1348"/>
      <c r="AG55" s="1348"/>
      <c r="AH55" s="1348"/>
      <c r="AI55" s="1348"/>
      <c r="AJ55" s="1348"/>
      <c r="AK55" s="1348"/>
      <c r="AL55" s="1348"/>
      <c r="AM55" s="1348"/>
      <c r="AO55" s="813"/>
      <c r="AP55" s="813" t="str">
        <f>IF(T55="","",T55)</f>
        <v>Добавить централизованную систему для дифференциации</v>
      </c>
      <c r="AQ55" s="813"/>
      <c r="AR55" s="813"/>
      <c r="AS55" s="542">
        <v>1</v>
      </c>
    </row>
    <row s="1666" customFormat="1" customHeight="1" ht="1.05">
      <c r="A56" s="1367" t="s">
        <v>247</v>
      </c>
      <c r="B56" s="1367"/>
      <c r="C56" s="1367"/>
      <c r="D56" s="1367"/>
      <c r="E56" s="2282"/>
      <c r="F56" s="1367"/>
      <c r="G56" s="1367"/>
      <c r="H56" s="1367"/>
      <c r="I56" s="1367"/>
      <c r="J56" s="1367"/>
      <c r="K56" s="1367"/>
      <c r="L56" s="1370"/>
      <c r="M56" s="1345"/>
      <c r="N56" s="1345"/>
      <c r="O56" s="542"/>
      <c r="P56" s="404"/>
      <c r="Q56" s="1368"/>
      <c r="R56" s="404"/>
      <c r="S56" s="1346"/>
      <c r="T56" s="1349" t="s">
        <v>500</v>
      </c>
      <c r="U56" s="1348"/>
      <c r="V56" s="1348"/>
      <c r="W56" s="1348"/>
      <c r="X56" s="1348"/>
      <c r="Y56" s="1348"/>
      <c r="Z56" s="1348"/>
      <c r="AA56" s="1348"/>
      <c r="AB56" s="1348"/>
      <c r="AC56" s="1348"/>
      <c r="AD56" s="1348"/>
      <c r="AE56" s="1348"/>
      <c r="AF56" s="1348"/>
      <c r="AG56" s="1348"/>
      <c r="AH56" s="1348"/>
      <c r="AI56" s="1348"/>
      <c r="AJ56" s="1348"/>
      <c r="AK56" s="1348"/>
      <c r="AL56" s="1348"/>
      <c r="AM56" s="1348"/>
      <c r="AO56" s="524"/>
      <c r="AP56" s="524" t="str">
        <f>IF(T56="","",T56)</f>
        <v>Добавить территорию для дифференциации</v>
      </c>
      <c r="AQ56" s="524"/>
      <c r="AR56" s="524"/>
      <c r="AS56" s="535">
        <v>1</v>
      </c>
    </row>
    <row s="1666" customFormat="1" customHeight="1" ht="1.05">
      <c r="A57" s="1338"/>
      <c r="B57" s="1338"/>
      <c r="C57" s="1338"/>
      <c r="D57" s="1338"/>
      <c r="E57" s="1367"/>
      <c r="F57" s="1338"/>
      <c r="G57" s="1338"/>
      <c r="H57" s="1338"/>
      <c r="I57" s="1338"/>
      <c r="J57" s="1338"/>
      <c r="K57" s="1338"/>
      <c r="L57" s="1363"/>
      <c r="M57" s="1345"/>
      <c r="N57" s="1345"/>
      <c r="P57" s="1340"/>
      <c r="Q57" s="1341"/>
      <c r="R57" s="1340"/>
      <c r="S57" s="1346"/>
      <c r="T57" s="1349" t="s">
        <v>532</v>
      </c>
      <c r="U57" s="1348"/>
      <c r="V57" s="1348"/>
      <c r="W57" s="1348"/>
      <c r="X57" s="1348"/>
      <c r="Y57" s="1348"/>
      <c r="Z57" s="1348"/>
      <c r="AA57" s="1348"/>
      <c r="AB57" s="1348"/>
      <c r="AC57" s="1348"/>
      <c r="AD57" s="1348"/>
      <c r="AE57" s="1348"/>
      <c r="AF57" s="1348"/>
      <c r="AG57" s="1348"/>
      <c r="AH57" s="1348"/>
      <c r="AI57" s="1348"/>
      <c r="AJ57" s="1348"/>
      <c r="AK57" s="1348"/>
      <c r="AL57" s="1348"/>
      <c r="AM57" s="1348"/>
      <c r="AO57" s="813"/>
      <c r="AP57" s="813" t="str">
        <f>IF(T57="","",T57)</f>
        <v>Добавить наименование тарифа</v>
      </c>
      <c r="AQ57" s="813"/>
      <c r="AR57" s="813"/>
      <c r="AS57" s="542">
        <v>1</v>
      </c>
    </row>
    <row customHeight="1" ht="11.549999999999999">
      <c r="M58" s="1184"/>
      <c r="N58" s="1184"/>
      <c r="O58" s="561"/>
      <c r="P58" s="1179"/>
      <c r="Q58" s="1179"/>
      <c r="R58" s="1179"/>
      <c r="S58" s="1179"/>
      <c r="AN58" s="1179"/>
      <c r="AO58" s="1179"/>
      <c r="AP58" s="1179"/>
      <c r="AQ58" s="1179"/>
      <c r="AR58" s="1179"/>
      <c r="AS58" s="1179">
        <v>11</v>
      </c>
    </row>
    <row customHeight="1" ht="28.5">
      <c r="O59" s="561"/>
      <c r="S59" s="1277"/>
      <c r="T59" s="2309"/>
      <c r="U59" s="2309"/>
      <c r="V59" s="2309"/>
      <c r="W59" s="2309"/>
      <c r="X59" s="2309"/>
      <c r="Y59" s="2309"/>
      <c r="Z59" s="2309"/>
      <c r="AA59" s="2309"/>
      <c r="AB59" s="2309"/>
      <c r="AC59" s="2309"/>
      <c r="AD59" s="2309"/>
      <c r="AE59" s="2309"/>
      <c r="AF59" s="2309"/>
      <c r="AG59" s="2309"/>
      <c r="AH59" s="2309"/>
      <c r="AI59" s="2309"/>
      <c r="AJ59" s="2309"/>
      <c r="AK59" s="2309"/>
      <c r="AL59" s="2309"/>
      <c r="AM59" s="2309"/>
      <c r="AS59" s="1179">
        <v>27</v>
      </c>
    </row>
    <row customHeight="1" ht="65.25">
      <c r="O60" s="561"/>
      <c r="T60" s="2309"/>
      <c r="U60" s="2309"/>
      <c r="V60" s="2309"/>
      <c r="W60" s="2309"/>
      <c r="X60" s="2309"/>
      <c r="Y60" s="2309"/>
      <c r="Z60" s="2309"/>
      <c r="AA60" s="2309"/>
      <c r="AB60" s="2309"/>
      <c r="AC60" s="2309"/>
      <c r="AD60" s="2309"/>
      <c r="AE60" s="2309"/>
      <c r="AF60" s="2309"/>
      <c r="AG60" s="2309"/>
      <c r="AH60" s="2309"/>
      <c r="AI60" s="2309"/>
      <c r="AJ60" s="2309"/>
      <c r="AK60" s="2309"/>
      <c r="AL60" s="2309"/>
      <c r="AM60" s="2309"/>
      <c r="AS60" s="1179">
        <v>62</v>
      </c>
    </row>
    <row customHeight="1" ht="14.699999999999998">
      <c r="O61" s="561"/>
      <c r="AS61" s="1179">
        <v>14</v>
      </c>
    </row>
    <row customHeight="1" ht="18.75">
      <c r="O62" s="561"/>
      <c r="S62" s="1277"/>
      <c r="T62" s="2309"/>
      <c r="U62" s="2309"/>
      <c r="V62" s="2309"/>
      <c r="W62" s="2309"/>
      <c r="X62" s="2309"/>
      <c r="Y62" s="2309"/>
      <c r="Z62" s="2309"/>
      <c r="AA62" s="2309"/>
      <c r="AB62" s="2309"/>
      <c r="AC62" s="2309"/>
      <c r="AD62" s="2309"/>
      <c r="AE62" s="2309"/>
      <c r="AF62" s="2309"/>
      <c r="AG62" s="2309"/>
      <c r="AH62" s="2309"/>
      <c r="AI62" s="2309"/>
      <c r="AJ62" s="2309"/>
      <c r="AK62" s="2309"/>
      <c r="AL62" s="2309"/>
      <c r="AM62" s="2309"/>
      <c r="AS62" s="1179">
        <v>18</v>
      </c>
    </row>
    <row customHeight="1" ht="18.75">
      <c r="O63" s="561"/>
      <c r="T63" s="2309"/>
      <c r="U63" s="2309"/>
      <c r="V63" s="2309"/>
      <c r="W63" s="2309"/>
      <c r="X63" s="2309"/>
      <c r="Y63" s="2309"/>
      <c r="Z63" s="2309"/>
      <c r="AA63" s="2309"/>
      <c r="AB63" s="2309"/>
      <c r="AC63" s="2309"/>
      <c r="AD63" s="2309"/>
      <c r="AE63" s="2309"/>
      <c r="AF63" s="2309"/>
      <c r="AG63" s="2309"/>
      <c r="AH63" s="2309"/>
      <c r="AI63" s="2309"/>
      <c r="AJ63" s="2309"/>
      <c r="AK63" s="2309"/>
      <c r="AL63" s="2309"/>
      <c r="AM63" s="2309"/>
      <c r="AS63" s="1179">
        <v>18</v>
      </c>
    </row>
    <row customHeight="1" ht="29.25">
      <c r="O64" s="561"/>
      <c r="S64" s="1277"/>
      <c r="T64" s="2309"/>
      <c r="U64" s="2309"/>
      <c r="V64" s="2309"/>
      <c r="W64" s="2309"/>
      <c r="X64" s="2309"/>
      <c r="Y64" s="2309"/>
      <c r="Z64" s="2309"/>
      <c r="AA64" s="2309"/>
      <c r="AB64" s="2309"/>
      <c r="AC64" s="2309"/>
      <c r="AD64" s="2309"/>
      <c r="AE64" s="2309"/>
      <c r="AF64" s="2309"/>
      <c r="AG64" s="2309"/>
      <c r="AH64" s="2309"/>
      <c r="AI64" s="2309"/>
      <c r="AJ64" s="2309"/>
      <c r="AK64" s="2309"/>
      <c r="AL64" s="2309"/>
      <c r="AM64" s="2309"/>
      <c r="AS64" s="1179">
        <v>28</v>
      </c>
    </row>
    <row customHeight="1" ht="22.5" hidden="1">
      <c r="A65" s="1184" t="s">
        <v>82</v>
      </c>
      <c r="B65" s="1184">
        <v>0</v>
      </c>
      <c r="C65" s="1184">
        <v>0</v>
      </c>
      <c r="D65" s="1184">
        <v>0</v>
      </c>
      <c r="E65" s="1184">
        <v>0</v>
      </c>
      <c r="F65" s="1184">
        <v>0</v>
      </c>
      <c r="G65" s="1184">
        <v>0</v>
      </c>
      <c r="H65" s="1184">
        <v>0</v>
      </c>
      <c r="I65" s="1184">
        <v>0</v>
      </c>
      <c r="J65" s="1184">
        <v>0</v>
      </c>
      <c r="K65" s="1184">
        <v>0</v>
      </c>
      <c r="L65" s="1353">
        <v>0</v>
      </c>
      <c r="M65" s="1386">
        <v>0</v>
      </c>
      <c r="N65" s="1386">
        <v>0</v>
      </c>
      <c r="O65" s="1386">
        <v>0</v>
      </c>
      <c r="P65" s="1352">
        <v>3</v>
      </c>
      <c r="Q65" s="368">
        <v>3</v>
      </c>
      <c r="R65" s="368">
        <v>3</v>
      </c>
      <c r="S65" s="605">
        <v>12</v>
      </c>
      <c r="T65" s="1179">
        <v>31</v>
      </c>
      <c r="U65" s="1179">
        <v>0</v>
      </c>
      <c r="V65" s="1179">
        <v>0</v>
      </c>
      <c r="W65" s="1179">
        <v>0</v>
      </c>
      <c r="X65" s="1179">
        <v>0</v>
      </c>
      <c r="Y65" s="1179">
        <v>0</v>
      </c>
      <c r="Z65" s="1179">
        <v>0</v>
      </c>
      <c r="AA65" s="1179">
        <v>0</v>
      </c>
      <c r="AB65" s="1179">
        <v>0</v>
      </c>
      <c r="AC65" s="1179">
        <v>0</v>
      </c>
      <c r="AD65" s="1179">
        <v>24</v>
      </c>
      <c r="AE65" s="1179">
        <v>0</v>
      </c>
      <c r="AF65" s="1179">
        <v>24</v>
      </c>
      <c r="AG65" s="1179">
        <v>24</v>
      </c>
      <c r="AH65" s="1179">
        <v>11</v>
      </c>
      <c r="AI65" s="1179">
        <v>3</v>
      </c>
      <c r="AJ65" s="1179">
        <v>11</v>
      </c>
      <c r="AK65" s="1179">
        <v>0</v>
      </c>
      <c r="AL65" s="1179">
        <v>4</v>
      </c>
      <c r="AM65" s="1179">
        <v>115</v>
      </c>
      <c r="AN65" s="535">
        <v>10</v>
      </c>
      <c r="AO65" s="535">
        <v>10</v>
      </c>
      <c r="AP65" s="535">
        <v>10</v>
      </c>
      <c r="AQ65" s="535">
        <v>10</v>
      </c>
      <c r="AR65" s="535">
        <v>10</v>
      </c>
      <c r="AS65" s="1179">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9ABD1D-4623-A99B-7B19-0.4CA9605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59" width="10.57421875" hidden="1"/>
    <col min="2" max="2" style="1659" width="11.00390625" hidden="1" customWidth="1"/>
    <col min="3" max="3" style="1659" width="10.57421875" hidden="1"/>
    <col min="4" max="4" style="1659" width="11.8515625" hidden="1" customWidth="1"/>
    <col min="5" max="5" style="1659" width="10.00390625" hidden="1" customWidth="1"/>
    <col min="6" max="6" style="1659" width="8.7109375" hidden="1" customWidth="1"/>
    <col min="7" max="7" style="1659" width="7.57421875" hidden="1" customWidth="1"/>
    <col min="8" max="8" style="1659" width="11.421875" hidden="1" customWidth="1"/>
    <col min="9" max="9" style="1659" width="12.00390625" hidden="1" customWidth="1"/>
    <col min="10" max="10" style="1659" width="9.8515625" hidden="1" customWidth="1"/>
    <col min="11" max="11" style="1659" width="11.421875" hidden="1" customWidth="1"/>
    <col min="12" max="12" style="2149" width="19.140625" hidden="1" customWidth="1"/>
    <col min="13" max="14" style="2421" width="12.28125" hidden="1" customWidth="1"/>
    <col min="15" max="15" style="2421" width="23.421875" hidden="1" customWidth="1"/>
    <col min="16" max="16" style="2421" width="3.00390625" customWidth="1"/>
    <col min="17" max="18" style="368" width="3.00390625" customWidth="1"/>
    <col min="19" max="19" style="2431" width="12.00390625" customWidth="1"/>
    <col min="20" max="20" style="1659" width="31.00390625" customWidth="1"/>
    <col min="21" max="21" style="1659" width="0.140625" customWidth="1"/>
    <col min="22" max="22" style="1659" width="24.7109375" hidden="1" customWidth="1"/>
    <col min="23" max="23" style="1659" width="0.140625" hidden="1" customWidth="1"/>
    <col min="24" max="25" style="1659" width="24.7109375" hidden="1" customWidth="1"/>
    <col min="26" max="26" style="1659" width="11.7109375" hidden="1" customWidth="1"/>
    <col min="27" max="27" style="1659" width="3.7109375" hidden="1" customWidth="1"/>
    <col min="28" max="28" style="1659" width="11.7109375" hidden="1" customWidth="1"/>
    <col min="29" max="29" style="1659" width="8.57421875" hidden="1" customWidth="1"/>
    <col min="30" max="30" style="1659" width="24.7109375" customWidth="1"/>
    <col min="31" max="31" style="1659" width="0.140625" customWidth="1"/>
    <col min="32" max="33" style="1659" width="24.00390625" customWidth="1"/>
    <col min="34" max="34" style="1659" width="11.00390625" customWidth="1"/>
    <col min="35" max="35" style="1659" width="3.7109375" customWidth="1"/>
    <col min="36" max="36" style="1659" width="11.00390625" customWidth="1"/>
    <col min="37" max="37" style="1659" width="8.57421875" hidden="1" customWidth="1"/>
    <col min="38" max="38" style="1659" width="4.00390625" customWidth="1"/>
    <col min="39" max="39" style="1659" width="115.00390625" customWidth="1"/>
    <col min="40" max="44" style="1666" width="10.00390625" customWidth="1"/>
    <col min="45" max="45" style="1659" width="10.57421875" hidden="1"/>
  </cols>
  <sheetData>
    <row customHeight="1" ht="22.5" hidden="1">
      <c r="AS1" s="1655" t="s">
        <v>14</v>
      </c>
    </row>
    <row customHeight="1" ht="21" hidden="1">
      <c r="A2" s="1291"/>
      <c r="B2" s="1291"/>
      <c r="C2" s="1291"/>
      <c r="D2" s="1291"/>
      <c r="E2" s="2313">
        <v>1</v>
      </c>
      <c r="F2" s="1291"/>
      <c r="G2" s="1291"/>
      <c r="H2" s="1291"/>
      <c r="I2" s="1291"/>
      <c r="J2" s="1291"/>
      <c r="K2" s="1291"/>
      <c r="L2" s="1334"/>
      <c r="M2" s="1634"/>
      <c r="N2" s="1634"/>
      <c r="O2" s="1634"/>
      <c r="P2" s="1614"/>
      <c r="Q2" s="384"/>
      <c r="R2" s="379"/>
      <c r="S2" s="1982">
        <f>INDEX(PT_DIFFERENTIATION_NUM_NTAR,MATCH(A2,PT_DIFFERENTIATION_NTAR_ID,0))</f>
      </c>
      <c r="T2" s="1549" t="s">
        <v>211</v>
      </c>
      <c r="U2" s="324"/>
      <c r="V2" s="2266"/>
      <c r="W2" s="2267"/>
      <c r="X2" s="2267"/>
      <c r="Y2" s="2267"/>
      <c r="Z2" s="2267"/>
      <c r="AA2" s="2267"/>
      <c r="AB2" s="2267"/>
      <c r="AC2" s="2268"/>
      <c r="AD2" s="2266">
        <f>INDEX(PT_DIFFERENTIATION_NTAR,MATCH(A2,PT_DIFFERENTIATION_NTAR_ID,0))</f>
      </c>
      <c r="AE2" s="2267"/>
      <c r="AF2" s="2267"/>
      <c r="AG2" s="2267"/>
      <c r="AH2" s="2267"/>
      <c r="AI2" s="2267"/>
      <c r="AJ2" s="2267"/>
      <c r="AK2" s="2267"/>
      <c r="AL2" s="2268"/>
      <c r="AM2" s="1282" t="s">
        <v>480</v>
      </c>
      <c r="AO2" s="1648"/>
      <c r="AP2" s="1648" t="str">
        <f>IF(T2="","",T2)</f>
        <v>Наименование тарифа</v>
      </c>
      <c r="AQ2" s="1648"/>
      <c r="AR2" s="1648"/>
      <c r="AS2" s="1655">
        <v>0</v>
      </c>
    </row>
    <row customHeight="1" ht="21" hidden="1">
      <c r="A3" s="1291"/>
      <c r="B3" s="1291"/>
      <c r="C3" s="1291"/>
      <c r="D3" s="1291"/>
      <c r="E3" s="2314"/>
      <c r="F3" s="2313">
        <v>1</v>
      </c>
      <c r="G3" s="1291"/>
      <c r="H3" s="1291"/>
      <c r="I3" s="1291"/>
      <c r="J3" s="1291"/>
      <c r="K3" s="1291"/>
      <c r="L3" s="1334"/>
      <c r="M3" s="1634"/>
      <c r="N3" s="1634"/>
      <c r="O3" s="1634"/>
      <c r="P3" s="1964"/>
      <c r="Q3" s="376"/>
      <c r="R3" s="377"/>
      <c r="S3" s="1982">
        <f>INDEX(PT_DIFFERENTIATION_NUM_TER,MATCH(B3,PT_DIFFERENTIATION_TER_ID,0))</f>
      </c>
      <c r="T3" s="1546" t="s">
        <v>481</v>
      </c>
      <c r="U3" s="324"/>
      <c r="V3" s="2266"/>
      <c r="W3" s="2267"/>
      <c r="X3" s="2267"/>
      <c r="Y3" s="2267"/>
      <c r="Z3" s="2267"/>
      <c r="AA3" s="2267"/>
      <c r="AB3" s="2267"/>
      <c r="AC3" s="2268"/>
      <c r="AD3" s="2266">
        <f>INDEX(PT_DIFFERENTIATION_TER,MATCH(B3,PT_DIFFERENTIATION_TER_ID,0))</f>
      </c>
      <c r="AE3" s="2267"/>
      <c r="AF3" s="2267"/>
      <c r="AG3" s="2267"/>
      <c r="AH3" s="2267"/>
      <c r="AI3" s="2267"/>
      <c r="AJ3" s="2267"/>
      <c r="AK3" s="2267"/>
      <c r="AL3" s="2268"/>
      <c r="AM3" s="1282" t="s">
        <v>482</v>
      </c>
      <c r="AO3" s="1648"/>
      <c r="AP3" s="1648" t="str">
        <f>IF(T3="","",T3)</f>
        <v>Территория действия тарифа</v>
      </c>
      <c r="AQ3" s="1648"/>
      <c r="AR3" s="1648"/>
      <c r="AS3" s="1655">
        <v>0</v>
      </c>
    </row>
    <row customHeight="1" ht="23.25" hidden="1">
      <c r="A4" s="1291"/>
      <c r="B4" s="1291"/>
      <c r="C4" s="1291"/>
      <c r="D4" s="1291"/>
      <c r="E4" s="2314"/>
      <c r="F4" s="2314"/>
      <c r="G4" s="2313">
        <v>1</v>
      </c>
      <c r="H4" s="1291"/>
      <c r="I4" s="1291"/>
      <c r="J4" s="1291"/>
      <c r="K4" s="1291"/>
      <c r="L4" s="1334"/>
      <c r="M4" s="1634"/>
      <c r="N4" s="1634"/>
      <c r="O4" s="1634"/>
      <c r="P4" s="378"/>
      <c r="Q4" s="376"/>
      <c r="R4" s="377"/>
      <c r="S4" s="1982">
        <f>INDEX(PT_DIFFERENTIATION_NUM_CS,MATCH(C4,PT_DIFFERENTIATION_CS_ID,0))</f>
      </c>
      <c r="T4" s="333" t="s">
        <v>483</v>
      </c>
      <c r="U4" s="324"/>
      <c r="V4" s="2266"/>
      <c r="W4" s="2267"/>
      <c r="X4" s="2267"/>
      <c r="Y4" s="2267"/>
      <c r="Z4" s="2267"/>
      <c r="AA4" s="2267"/>
      <c r="AB4" s="2267"/>
      <c r="AC4" s="2268"/>
      <c r="AD4" s="2266">
        <f>INDEX(PT_DIFFERENTIATION_CS,MATCH(C4,PT_DIFFERENTIATION_CS_ID,0))</f>
      </c>
      <c r="AE4" s="2267"/>
      <c r="AF4" s="2267"/>
      <c r="AG4" s="2267"/>
      <c r="AH4" s="2267"/>
      <c r="AI4" s="2267"/>
      <c r="AJ4" s="2267"/>
      <c r="AK4" s="2267"/>
      <c r="AL4" s="2268"/>
      <c r="AM4" s="1282" t="s">
        <v>484</v>
      </c>
      <c r="AO4" s="1648"/>
      <c r="AP4" s="1648" t="str">
        <f>IF(T4="","",T4)</f>
        <v>Наименование системы теплоснабжения </v>
      </c>
      <c r="AQ4" s="1648"/>
      <c r="AR4" s="1648"/>
      <c r="AS4" s="1655">
        <v>0</v>
      </c>
    </row>
    <row customHeight="1" ht="21" hidden="1">
      <c r="A5" s="1291"/>
      <c r="B5" s="1291"/>
      <c r="C5" s="1291"/>
      <c r="D5" s="1291"/>
      <c r="E5" s="2314"/>
      <c r="F5" s="2314"/>
      <c r="G5" s="2314"/>
      <c r="H5" s="2313">
        <v>1</v>
      </c>
      <c r="I5" s="1291"/>
      <c r="J5" s="1291"/>
      <c r="K5" s="1291"/>
      <c r="L5" s="1334"/>
      <c r="M5" s="1634"/>
      <c r="N5" s="1634"/>
      <c r="O5" s="1634"/>
      <c r="P5" s="378"/>
      <c r="Q5" s="376"/>
      <c r="R5" s="377"/>
      <c r="S5" s="1982">
        <f>INDEX(PT_DIFFERENTIATION_NUM_IST_TE,MATCH(D5,PT_DIFFERENTIATION_IST_TE_ID,0))</f>
      </c>
      <c r="T5" s="334" t="s">
        <v>485</v>
      </c>
      <c r="U5" s="324"/>
      <c r="V5" s="2266"/>
      <c r="W5" s="2267"/>
      <c r="X5" s="2267"/>
      <c r="Y5" s="2267"/>
      <c r="Z5" s="2267"/>
      <c r="AA5" s="2267"/>
      <c r="AB5" s="2267"/>
      <c r="AC5" s="2268"/>
      <c r="AD5" s="2266">
        <f>INDEX(PT_DIFFERENTIATION_IST_TE,MATCH(D5,PT_DIFFERENTIATION_IST_TE_ID,0))</f>
      </c>
      <c r="AE5" s="2267"/>
      <c r="AF5" s="2267"/>
      <c r="AG5" s="2267"/>
      <c r="AH5" s="2267"/>
      <c r="AI5" s="2267"/>
      <c r="AJ5" s="2267"/>
      <c r="AK5" s="2267"/>
      <c r="AL5" s="2268"/>
      <c r="AM5" s="1282" t="s">
        <v>486</v>
      </c>
      <c r="AO5" s="1648"/>
      <c r="AP5" s="1648" t="str">
        <f>IF(T5="","",T5)</f>
        <v>Источник тепловой энергии  </v>
      </c>
      <c r="AQ5" s="1648"/>
      <c r="AR5" s="1648"/>
      <c r="AS5" s="1655">
        <v>0</v>
      </c>
    </row>
    <row customHeight="1" ht="47.25" hidden="1">
      <c r="A6" s="1291"/>
      <c r="B6" s="1291"/>
      <c r="C6" s="1291"/>
      <c r="D6" s="1291"/>
      <c r="E6" s="2314"/>
      <c r="F6" s="2314"/>
      <c r="G6" s="2314"/>
      <c r="H6" s="2314"/>
      <c r="I6" s="2151">
        <f>S5&amp;".1"</f>
      </c>
      <c r="J6" s="1291"/>
      <c r="K6" s="1291"/>
      <c r="L6" s="1334" t="s">
        <v>487</v>
      </c>
      <c r="M6" s="1659"/>
      <c r="P6" s="2281">
        <v>1</v>
      </c>
      <c r="Q6" s="1978"/>
      <c r="R6" s="380"/>
      <c r="S6" s="1982">
        <f>$I6</f>
      </c>
      <c r="T6" s="309" t="s">
        <v>488</v>
      </c>
      <c r="U6" s="324"/>
      <c r="V6" s="2269"/>
      <c r="W6" s="2270"/>
      <c r="X6" s="2270"/>
      <c r="Y6" s="2270"/>
      <c r="Z6" s="2270"/>
      <c r="AA6" s="2270"/>
      <c r="AB6" s="2270"/>
      <c r="AC6" s="2271"/>
      <c r="AD6" s="2269"/>
      <c r="AE6" s="2270"/>
      <c r="AF6" s="2270"/>
      <c r="AG6" s="2270"/>
      <c r="AH6" s="2270"/>
      <c r="AI6" s="2270"/>
      <c r="AJ6" s="2270"/>
      <c r="AK6" s="2270"/>
      <c r="AL6" s="2271"/>
      <c r="AM6" s="1282" t="s">
        <v>489</v>
      </c>
      <c r="AO6" s="1648"/>
      <c r="AP6" s="1648" t="str">
        <f>IF(T6="","",T6)</f>
        <v>Схема подключения теплопотребляющей установки к коллектору источника тепловой энергии</v>
      </c>
      <c r="AQ6" s="1648"/>
      <c r="AR6" s="1648"/>
      <c r="AS6" s="1655">
        <v>0</v>
      </c>
    </row>
    <row customHeight="1" ht="21" hidden="1">
      <c r="A7" s="1291"/>
      <c r="B7" s="1291"/>
      <c r="C7" s="1291"/>
      <c r="D7" s="1291"/>
      <c r="E7" s="2314"/>
      <c r="F7" s="2314"/>
      <c r="G7" s="2314"/>
      <c r="H7" s="2314"/>
      <c r="I7" s="2125"/>
      <c r="J7" s="2151">
        <f>I6&amp;".1"</f>
      </c>
      <c r="K7" s="1291"/>
      <c r="L7" s="1334" t="s">
        <v>490</v>
      </c>
      <c r="M7" s="1659"/>
      <c r="N7" s="1655"/>
      <c r="P7" s="2281"/>
      <c r="Q7" s="2281">
        <v>1</v>
      </c>
      <c r="R7" s="381"/>
      <c r="S7" s="1982">
        <f>$J7</f>
      </c>
      <c r="T7" s="310" t="s">
        <v>491</v>
      </c>
      <c r="U7" s="324"/>
      <c r="V7" s="2269"/>
      <c r="W7" s="2270"/>
      <c r="X7" s="2270"/>
      <c r="Y7" s="2270"/>
      <c r="Z7" s="2270"/>
      <c r="AA7" s="2270"/>
      <c r="AB7" s="2270"/>
      <c r="AC7" s="2271"/>
      <c r="AD7" s="2269"/>
      <c r="AE7" s="2270"/>
      <c r="AF7" s="2270"/>
      <c r="AG7" s="2270"/>
      <c r="AH7" s="2270"/>
      <c r="AI7" s="2270"/>
      <c r="AJ7" s="2270"/>
      <c r="AK7" s="2270"/>
      <c r="AL7" s="2271"/>
      <c r="AM7" s="1282" t="s">
        <v>492</v>
      </c>
      <c r="AO7" s="1648"/>
      <c r="AP7" s="1648" t="str">
        <f>IF(T7="","",T7)</f>
        <v>Группа потребителей</v>
      </c>
      <c r="AQ7" s="1648"/>
      <c r="AR7" s="1648"/>
      <c r="AS7" s="1655">
        <v>0</v>
      </c>
    </row>
    <row customHeight="1" ht="21" hidden="1">
      <c r="A8" s="1291"/>
      <c r="B8" s="1291"/>
      <c r="C8" s="1291"/>
      <c r="D8" s="1291"/>
      <c r="E8" s="2314"/>
      <c r="F8" s="2314"/>
      <c r="G8" s="2314"/>
      <c r="H8" s="2314"/>
      <c r="I8" s="2125"/>
      <c r="J8" s="2125"/>
      <c r="K8" s="2151">
        <f>J7&amp;".1"</f>
      </c>
      <c r="L8" s="1334" t="s">
        <v>493</v>
      </c>
      <c r="M8" s="1659"/>
      <c r="N8" s="1655"/>
      <c r="O8" s="1655"/>
      <c r="P8" s="2281"/>
      <c r="Q8" s="2281"/>
      <c r="R8" s="381">
        <v>1</v>
      </c>
      <c r="S8" s="1982">
        <f>$K8</f>
      </c>
      <c r="T8" s="1371"/>
      <c r="U8" s="324"/>
      <c r="V8" s="775"/>
      <c r="W8" s="349"/>
      <c r="X8" s="775"/>
      <c r="Y8" s="1281"/>
      <c r="Z8" s="2289"/>
      <c r="AA8" s="2131" t="s">
        <v>66</v>
      </c>
      <c r="AB8" s="2289"/>
      <c r="AC8" s="2131" t="s">
        <v>66</v>
      </c>
      <c r="AD8" s="775"/>
      <c r="AE8" s="349"/>
      <c r="AF8" s="775"/>
      <c r="AG8" s="1281"/>
      <c r="AH8" s="2289"/>
      <c r="AI8" s="2131" t="s">
        <v>66</v>
      </c>
      <c r="AJ8" s="2289"/>
      <c r="AK8" s="2131" t="s">
        <v>66</v>
      </c>
      <c r="AL8" s="349"/>
      <c r="AM8" s="2277" t="s">
        <v>494</v>
      </c>
      <c r="AN8" s="1660">
        <f>STRCHECKDATE(V9:AL9)</f>
      </c>
      <c r="AO8" s="1648"/>
      <c r="AP8" s="1648" t="str">
        <f>IF(T8="","",T8)</f>
        <v/>
      </c>
      <c r="AQ8" s="1648"/>
      <c r="AR8" s="1648"/>
      <c r="AS8" s="1655">
        <v>0</v>
      </c>
    </row>
    <row customHeight="1" ht="0.75" hidden="1">
      <c r="A9" s="1291"/>
      <c r="B9" s="1291"/>
      <c r="C9" s="1291"/>
      <c r="D9" s="1291"/>
      <c r="E9" s="2314"/>
      <c r="F9" s="2314"/>
      <c r="G9" s="2314"/>
      <c r="H9" s="2314"/>
      <c r="I9" s="2125"/>
      <c r="J9" s="2125"/>
      <c r="K9" s="2151"/>
      <c r="L9" s="1334"/>
      <c r="M9" s="1659"/>
      <c r="N9" s="1655"/>
      <c r="O9" s="1655"/>
      <c r="P9" s="2281"/>
      <c r="Q9" s="2281"/>
      <c r="R9" s="381"/>
      <c r="S9" s="1991"/>
      <c r="T9" s="324"/>
      <c r="U9" s="324"/>
      <c r="V9" s="349"/>
      <c r="W9" s="349"/>
      <c r="X9" s="349"/>
      <c r="Y9" s="352" t="str">
        <f>Z8&amp;"-"&amp;AB8</f>
        <v>-</v>
      </c>
      <c r="Z9" s="2290"/>
      <c r="AA9" s="2131"/>
      <c r="AB9" s="2290"/>
      <c r="AC9" s="2131"/>
      <c r="AD9" s="349"/>
      <c r="AE9" s="349"/>
      <c r="AF9" s="349"/>
      <c r="AG9" s="352" t="str">
        <f>AH8&amp;"-"&amp;AJ8</f>
        <v>-</v>
      </c>
      <c r="AH9" s="2290"/>
      <c r="AI9" s="2131"/>
      <c r="AJ9" s="2290"/>
      <c r="AK9" s="2131"/>
      <c r="AL9" s="349"/>
      <c r="AM9" s="2278"/>
      <c r="AO9" s="1648"/>
      <c r="AP9" s="1648" t="str">
        <f>IF(T9="","",T9)</f>
        <v/>
      </c>
      <c r="AQ9" s="1648"/>
      <c r="AR9" s="1648"/>
      <c r="AS9" s="1655">
        <v>0</v>
      </c>
    </row>
    <row customHeight="1" ht="15" hidden="1">
      <c r="A10" s="1291"/>
      <c r="B10" s="1291"/>
      <c r="C10" s="1291"/>
      <c r="D10" s="1291"/>
      <c r="E10" s="2314"/>
      <c r="F10" s="2314"/>
      <c r="G10" s="2314"/>
      <c r="H10" s="2314"/>
      <c r="I10" s="2125"/>
      <c r="J10" s="2151"/>
      <c r="K10" s="1291"/>
      <c r="L10" s="1334"/>
      <c r="M10" s="1659"/>
      <c r="N10" s="1655"/>
      <c r="P10" s="2281"/>
      <c r="Q10" s="2281"/>
      <c r="R10" s="380"/>
      <c r="S10" s="1302"/>
      <c r="T10" s="312" t="s">
        <v>495</v>
      </c>
      <c r="U10" s="624"/>
      <c r="V10" s="624"/>
      <c r="W10" s="624"/>
      <c r="X10" s="624"/>
      <c r="Y10" s="624"/>
      <c r="Z10" s="624"/>
      <c r="AA10" s="624"/>
      <c r="AB10" s="624"/>
      <c r="AC10" s="624"/>
      <c r="AD10" s="624"/>
      <c r="AE10" s="624"/>
      <c r="AF10" s="624"/>
      <c r="AG10" s="624"/>
      <c r="AH10" s="624"/>
      <c r="AI10" s="624"/>
      <c r="AJ10" s="624"/>
      <c r="AK10" s="624"/>
      <c r="AL10" s="348"/>
      <c r="AM10" s="2279"/>
      <c r="AO10" s="1648"/>
      <c r="AP10" s="1648" t="str">
        <f>IF(T10="","",T10)</f>
        <v>Добавить вид теплоносителя (параметры теплоносителя)</v>
      </c>
      <c r="AQ10" s="1648"/>
      <c r="AR10" s="1648"/>
      <c r="AS10" s="1655">
        <v>0</v>
      </c>
    </row>
    <row customHeight="1" ht="15" hidden="1">
      <c r="A11" s="1291"/>
      <c r="B11" s="1291"/>
      <c r="C11" s="1291"/>
      <c r="D11" s="1291"/>
      <c r="E11" s="2314"/>
      <c r="F11" s="2314"/>
      <c r="G11" s="2314"/>
      <c r="H11" s="2314"/>
      <c r="I11" s="2151"/>
      <c r="J11" s="1291"/>
      <c r="K11" s="1291"/>
      <c r="L11" s="1334"/>
      <c r="M11" s="1659"/>
      <c r="P11" s="2281"/>
      <c r="Q11" s="1978"/>
      <c r="R11" s="380"/>
      <c r="S11" s="1302"/>
      <c r="T11" s="311" t="s">
        <v>496</v>
      </c>
      <c r="U11" s="624"/>
      <c r="V11" s="624"/>
      <c r="W11" s="624"/>
      <c r="X11" s="624"/>
      <c r="Y11" s="624"/>
      <c r="Z11" s="624"/>
      <c r="AA11" s="624"/>
      <c r="AB11" s="624"/>
      <c r="AC11" s="390"/>
      <c r="AD11" s="624"/>
      <c r="AE11" s="624"/>
      <c r="AF11" s="624"/>
      <c r="AG11" s="624"/>
      <c r="AH11" s="624"/>
      <c r="AI11" s="624"/>
      <c r="AJ11" s="624"/>
      <c r="AK11" s="390"/>
      <c r="AL11" s="624"/>
      <c r="AM11" s="327"/>
      <c r="AO11" s="1648"/>
      <c r="AP11" s="1648" t="str">
        <f>IF(T11="","",T11)</f>
        <v>Добавить группу потребителей</v>
      </c>
      <c r="AQ11" s="1648"/>
      <c r="AR11" s="1648"/>
      <c r="AS11" s="1655">
        <v>0</v>
      </c>
    </row>
    <row customHeight="1" ht="14.25" hidden="1">
      <c r="A12" s="1291"/>
      <c r="B12" s="1291"/>
      <c r="C12" s="1291"/>
      <c r="D12" s="1291"/>
      <c r="E12" s="2314"/>
      <c r="F12" s="2314"/>
      <c r="G12" s="2314"/>
      <c r="H12" s="2313"/>
      <c r="I12" s="1291"/>
      <c r="J12" s="1291"/>
      <c r="K12" s="1291"/>
      <c r="L12" s="1334"/>
      <c r="M12" s="1634"/>
      <c r="N12" s="1634"/>
      <c r="O12" s="1659"/>
      <c r="P12" s="384"/>
      <c r="Q12" s="399"/>
      <c r="R12" s="379"/>
      <c r="S12" s="1302"/>
      <c r="T12" s="389" t="s">
        <v>497</v>
      </c>
      <c r="U12" s="624"/>
      <c r="V12" s="624"/>
      <c r="W12" s="624"/>
      <c r="X12" s="624"/>
      <c r="Y12" s="624"/>
      <c r="Z12" s="624"/>
      <c r="AA12" s="624"/>
      <c r="AB12" s="624"/>
      <c r="AC12" s="390"/>
      <c r="AD12" s="624"/>
      <c r="AE12" s="624"/>
      <c r="AF12" s="624"/>
      <c r="AG12" s="624"/>
      <c r="AH12" s="624"/>
      <c r="AI12" s="624"/>
      <c r="AJ12" s="624"/>
      <c r="AK12" s="390"/>
      <c r="AL12" s="624"/>
      <c r="AM12" s="327"/>
      <c r="AO12" s="1648"/>
      <c r="AP12" s="1648" t="str">
        <f>IF(T12="","",T12)</f>
        <v>Добавить схему подключения</v>
      </c>
      <c r="AQ12" s="1648"/>
      <c r="AR12" s="1648"/>
      <c r="AS12" s="1655">
        <v>0</v>
      </c>
    </row>
    <row s="1666" customFormat="1" customHeight="1" ht="0.75" hidden="1">
      <c r="A13" s="1398"/>
      <c r="B13" s="1398"/>
      <c r="C13" s="1398"/>
      <c r="D13" s="1398"/>
      <c r="E13" s="2314"/>
      <c r="F13" s="2314"/>
      <c r="G13" s="2313"/>
      <c r="H13" s="1398"/>
      <c r="I13" s="1398"/>
      <c r="J13" s="1398"/>
      <c r="K13" s="1398"/>
      <c r="L13" s="1401"/>
      <c r="M13" s="1402"/>
      <c r="N13" s="1402"/>
      <c r="O13" s="375"/>
      <c r="P13" s="1340"/>
      <c r="Q13" s="1341"/>
      <c r="R13" s="1340"/>
      <c r="S13" s="1342"/>
      <c r="T13" s="1343" t="s">
        <v>498</v>
      </c>
      <c r="U13" s="1344"/>
      <c r="V13" s="1344"/>
      <c r="W13" s="1344"/>
      <c r="X13" s="1344"/>
      <c r="Y13" s="1344"/>
      <c r="Z13" s="1344"/>
      <c r="AA13" s="1344"/>
      <c r="AB13" s="1344"/>
      <c r="AC13" s="1344"/>
      <c r="AD13" s="1344"/>
      <c r="AE13" s="1344"/>
      <c r="AF13" s="1344"/>
      <c r="AG13" s="1344"/>
      <c r="AH13" s="1344"/>
      <c r="AI13" s="1344"/>
      <c r="AJ13" s="1344"/>
      <c r="AK13" s="1344"/>
      <c r="AL13" s="1344"/>
      <c r="AM13" s="1344"/>
      <c r="AO13" s="1275"/>
      <c r="AP13" s="1275" t="str">
        <f>IF(T13="","",T13)</f>
        <v>Добавить источник для дифференциации</v>
      </c>
      <c r="AQ13" s="1275"/>
      <c r="AR13" s="1275"/>
      <c r="AS13" s="1666">
        <v>0</v>
      </c>
    </row>
    <row s="1666" customFormat="1" customHeight="1" ht="0.75" hidden="1">
      <c r="A14" s="1398"/>
      <c r="B14" s="1398"/>
      <c r="C14" s="1398"/>
      <c r="D14" s="1398"/>
      <c r="E14" s="2314"/>
      <c r="F14" s="2313"/>
      <c r="G14" s="1398"/>
      <c r="H14" s="1398"/>
      <c r="I14" s="1398"/>
      <c r="J14" s="1398"/>
      <c r="K14" s="1398"/>
      <c r="L14" s="1401"/>
      <c r="M14" s="1403"/>
      <c r="N14" s="1403"/>
      <c r="O14" s="375"/>
      <c r="P14" s="1340"/>
      <c r="Q14" s="1341"/>
      <c r="R14" s="1340"/>
      <c r="S14" s="1346"/>
      <c r="T14" s="1347" t="s">
        <v>499</v>
      </c>
      <c r="U14" s="1348"/>
      <c r="V14" s="1348"/>
      <c r="W14" s="1348"/>
      <c r="X14" s="1348"/>
      <c r="Y14" s="1348"/>
      <c r="Z14" s="1348"/>
      <c r="AA14" s="1348"/>
      <c r="AB14" s="1348"/>
      <c r="AC14" s="1348"/>
      <c r="AD14" s="1348"/>
      <c r="AE14" s="1348"/>
      <c r="AF14" s="1348"/>
      <c r="AG14" s="1348"/>
      <c r="AH14" s="1348"/>
      <c r="AI14" s="1348"/>
      <c r="AJ14" s="1348"/>
      <c r="AK14" s="1348"/>
      <c r="AL14" s="1348"/>
      <c r="AM14" s="1348"/>
      <c r="AO14" s="1275"/>
      <c r="AP14" s="1275" t="str">
        <f>IF(T14="","",T14)</f>
        <v>Добавить централизованную систему для дифференциации</v>
      </c>
      <c r="AQ14" s="1275"/>
      <c r="AR14" s="1275"/>
      <c r="AS14" s="1666">
        <v>0</v>
      </c>
    </row>
    <row s="1666" customFormat="1" customHeight="1" ht="0.75" hidden="1">
      <c r="A15" s="1398"/>
      <c r="B15" s="1398"/>
      <c r="C15" s="1398"/>
      <c r="D15" s="1398"/>
      <c r="E15" s="2313"/>
      <c r="F15" s="1398"/>
      <c r="G15" s="1398"/>
      <c r="H15" s="1398"/>
      <c r="I15" s="1398"/>
      <c r="J15" s="1398"/>
      <c r="K15" s="1398"/>
      <c r="L15" s="1401"/>
      <c r="M15" s="1403"/>
      <c r="N15" s="1403"/>
      <c r="O15" s="375"/>
      <c r="P15" s="1340"/>
      <c r="Q15" s="1341"/>
      <c r="R15" s="1340"/>
      <c r="S15" s="1346"/>
      <c r="T15" s="1349" t="s">
        <v>500</v>
      </c>
      <c r="U15" s="1348"/>
      <c r="V15" s="1348"/>
      <c r="W15" s="1348"/>
      <c r="X15" s="1348"/>
      <c r="Y15" s="1348"/>
      <c r="Z15" s="1348"/>
      <c r="AA15" s="1348"/>
      <c r="AB15" s="1348"/>
      <c r="AC15" s="1348"/>
      <c r="AD15" s="1348"/>
      <c r="AE15" s="1348"/>
      <c r="AF15" s="1348"/>
      <c r="AG15" s="1348"/>
      <c r="AH15" s="1348"/>
      <c r="AI15" s="1348"/>
      <c r="AJ15" s="1348"/>
      <c r="AK15" s="1348"/>
      <c r="AL15" s="1348"/>
      <c r="AM15" s="1348"/>
      <c r="AO15" s="1275"/>
      <c r="AP15" s="1275" t="str">
        <f>IF(T15="","",T15)</f>
        <v>Добавить территорию для дифференциации</v>
      </c>
      <c r="AQ15" s="1275"/>
      <c r="AR15" s="1275"/>
      <c r="AS15" s="1666">
        <v>0</v>
      </c>
    </row>
    <row customHeight="1" ht="14.25" hidden="1">
      <c r="AS16" s="1655">
        <v>0</v>
      </c>
    </row>
    <row customHeight="1" ht="14.25" hidden="1">
      <c r="AD17" s="1384"/>
      <c r="AE17" s="1384"/>
      <c r="AF17" s="1384"/>
      <c r="AG17" s="1385"/>
      <c r="AH17" s="2291"/>
      <c r="AI17" s="2292" t="s">
        <v>66</v>
      </c>
      <c r="AJ17" s="2291"/>
      <c r="AK17" s="2292" t="s">
        <v>66</v>
      </c>
      <c r="AS17" s="1655">
        <v>0</v>
      </c>
    </row>
    <row customHeight="1" ht="14.25" hidden="1">
      <c r="AD18" s="1384"/>
      <c r="AE18" s="1384"/>
      <c r="AF18" s="1384"/>
      <c r="AG18" s="352" t="str">
        <f>AH17&amp;"-"&amp;AJ17</f>
        <v>-</v>
      </c>
      <c r="AH18" s="2292"/>
      <c r="AI18" s="2292"/>
      <c r="AJ18" s="2292"/>
      <c r="AK18" s="2292"/>
      <c r="AS18" s="1655">
        <v>0</v>
      </c>
    </row>
    <row customHeight="1" ht="14.25" hidden="1">
      <c r="AS19" s="1655">
        <v>0</v>
      </c>
    </row>
    <row s="1390" customFormat="1" customHeight="1" ht="14.25" hidden="1">
      <c r="A20" s="1655"/>
      <c r="B20" s="1655"/>
      <c r="C20" s="1655"/>
      <c r="D20" s="1655"/>
      <c r="E20" s="1655"/>
      <c r="F20" s="1655"/>
      <c r="G20" s="1655"/>
      <c r="H20" s="1655"/>
      <c r="I20" s="1655"/>
      <c r="J20" s="1655"/>
      <c r="K20" s="1655"/>
      <c r="L20" s="1963"/>
      <c r="M20" s="1989"/>
      <c r="N20" s="1989"/>
      <c r="O20" s="1369" t="s">
        <v>501</v>
      </c>
      <c r="P20" s="1386"/>
      <c r="Q20" s="1395"/>
      <c r="R20" s="1395"/>
      <c r="S20" s="753"/>
      <c r="Z20" s="1391"/>
      <c r="AB20" s="1391"/>
      <c r="AH20" s="1391"/>
      <c r="AJ20" s="1391"/>
      <c r="AN20" s="1660"/>
      <c r="AO20" s="1660"/>
      <c r="AP20" s="1660"/>
      <c r="AQ20" s="1660"/>
      <c r="AR20" s="1660"/>
      <c r="AS20" s="1390">
        <v>0</v>
      </c>
    </row>
    <row s="1390" customFormat="1" customHeight="1" ht="14.25" hidden="1">
      <c r="A21" s="1655"/>
      <c r="B21" s="1655"/>
      <c r="C21" s="1655"/>
      <c r="D21" s="1655"/>
      <c r="E21" s="1655"/>
      <c r="F21" s="1655"/>
      <c r="G21" s="1655"/>
      <c r="H21" s="1655"/>
      <c r="I21" s="1655"/>
      <c r="J21" s="1655"/>
      <c r="K21" s="1655"/>
      <c r="L21" s="1963"/>
      <c r="M21" s="1989"/>
      <c r="N21" s="1989"/>
      <c r="O21" s="1989"/>
      <c r="P21" s="1386"/>
      <c r="Q21" s="1395"/>
      <c r="R21" s="1395"/>
      <c r="S21" s="753"/>
      <c r="AN21" s="1660"/>
      <c r="AO21" s="1660"/>
      <c r="AP21" s="1660"/>
      <c r="AQ21" s="1660"/>
      <c r="AR21" s="1660"/>
      <c r="AS21" s="1390">
        <v>0</v>
      </c>
    </row>
    <row s="1390" customFormat="1" customHeight="1" ht="14.25" hidden="1">
      <c r="A22" s="1655"/>
      <c r="B22" s="1655"/>
      <c r="C22" s="1655"/>
      <c r="D22" s="1655"/>
      <c r="E22" s="1655"/>
      <c r="F22" s="1655"/>
      <c r="G22" s="1655"/>
      <c r="H22" s="1655"/>
      <c r="I22" s="1655"/>
      <c r="J22" s="1655"/>
      <c r="K22" s="1655"/>
      <c r="L22" s="1963"/>
      <c r="M22" s="1989"/>
      <c r="N22" s="1989"/>
      <c r="O22" s="1334" t="s">
        <v>502</v>
      </c>
      <c r="P22" s="1386"/>
      <c r="Q22" s="1395"/>
      <c r="R22" s="1395"/>
      <c r="S22" s="753"/>
      <c r="T22" s="1390" t="s">
        <v>503</v>
      </c>
      <c r="AA22" s="619" t="s">
        <v>504</v>
      </c>
      <c r="AC22" s="619" t="s">
        <v>505</v>
      </c>
      <c r="AD22" s="1390" t="s">
        <v>503</v>
      </c>
      <c r="AI22" s="619" t="s">
        <v>506</v>
      </c>
      <c r="AK22" s="619" t="s">
        <v>505</v>
      </c>
      <c r="AN22" s="1660"/>
      <c r="AO22" s="1660"/>
      <c r="AP22" s="1660"/>
      <c r="AQ22" s="1660"/>
      <c r="AR22" s="1660"/>
      <c r="AS22" s="1390">
        <v>0</v>
      </c>
    </row>
    <row customHeight="1" ht="14.25" hidden="1">
      <c r="O23" s="1334"/>
      <c r="AS23" s="1655">
        <v>0</v>
      </c>
    </row>
    <row customHeight="1" ht="14.25" hidden="1">
      <c r="O24" s="1334"/>
      <c r="AS24" s="1655">
        <v>0</v>
      </c>
    </row>
    <row customHeight="1" ht="14.699999999999998">
      <c r="Q25" s="400"/>
      <c r="R25" s="400"/>
      <c r="S25" s="1299"/>
      <c r="T25" s="481"/>
      <c r="U25" s="481"/>
      <c r="V25" s="1659"/>
      <c r="W25" s="1659"/>
      <c r="X25" s="1659"/>
      <c r="Y25" s="1659"/>
      <c r="Z25" s="1659"/>
      <c r="AA25" s="1659"/>
      <c r="AB25" s="1659"/>
      <c r="AC25" s="1659"/>
      <c r="AD25" s="1659"/>
      <c r="AE25" s="1659"/>
      <c r="AF25" s="1659"/>
      <c r="AG25" s="1659"/>
      <c r="AH25" s="1659"/>
      <c r="AI25" s="1659"/>
      <c r="AJ25" s="1659"/>
      <c r="AK25" s="1659"/>
      <c r="AS25" s="1655">
        <v>14</v>
      </c>
    </row>
    <row customHeight="1" ht="14.699999999999998">
      <c r="Q26" s="400"/>
      <c r="R26" s="400"/>
      <c r="S26" s="22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2"/>
      <c r="U26" s="2272"/>
      <c r="V26" s="2272"/>
      <c r="W26" s="2272"/>
      <c r="X26" s="2272"/>
      <c r="Y26" s="2272"/>
      <c r="Z26" s="2272"/>
      <c r="AA26" s="2272"/>
      <c r="AB26" s="2272"/>
      <c r="AC26" s="2272"/>
      <c r="AD26" s="2272"/>
      <c r="AE26" s="2272"/>
      <c r="AF26" s="2272"/>
      <c r="AG26" s="2272"/>
      <c r="AH26" s="2272"/>
      <c r="AI26" s="2272"/>
      <c r="AJ26" s="2272"/>
      <c r="AK26" s="1267"/>
      <c r="AS26" s="1655">
        <v>14</v>
      </c>
    </row>
    <row customHeight="1" ht="14.699999999999998">
      <c r="Q27" s="400"/>
      <c r="R27" s="400"/>
      <c r="S27" s="2273" t="str">
        <f>IF(org=0,"Не определено",org)</f>
        <v>АО "ДГК"</v>
      </c>
      <c r="T27" s="2273"/>
      <c r="U27" s="2273"/>
      <c r="V27" s="2273"/>
      <c r="W27" s="2273"/>
      <c r="X27" s="2273"/>
      <c r="Y27" s="2273"/>
      <c r="Z27" s="2273"/>
      <c r="AA27" s="2273"/>
      <c r="AB27" s="2273"/>
      <c r="AC27" s="2273"/>
      <c r="AD27" s="2273"/>
      <c r="AE27" s="2273"/>
      <c r="AF27" s="2273"/>
      <c r="AG27" s="2273"/>
      <c r="AH27" s="2273"/>
      <c r="AI27" s="2273"/>
      <c r="AJ27" s="2273"/>
      <c r="AK27" s="1267"/>
      <c r="AS27" s="1655">
        <v>14</v>
      </c>
    </row>
    <row customHeight="1" ht="14.25" hidden="1">
      <c r="Q28" s="400"/>
      <c r="R28" s="400"/>
      <c r="S28" s="1299"/>
      <c r="T28" s="481"/>
      <c r="U28" s="481"/>
      <c r="V28" s="346"/>
      <c r="W28" s="346"/>
      <c r="X28" s="346"/>
      <c r="Y28" s="346"/>
      <c r="Z28" s="346"/>
      <c r="AA28" s="346"/>
      <c r="AB28" s="346"/>
      <c r="AC28" s="346"/>
      <c r="AD28" s="346"/>
      <c r="AE28" s="346"/>
      <c r="AF28" s="346"/>
      <c r="AG28" s="346"/>
      <c r="AH28" s="346"/>
      <c r="AI28" s="346"/>
      <c r="AJ28" s="346"/>
      <c r="AK28" s="346"/>
      <c r="AL28" s="1659"/>
      <c r="AS28" s="1655">
        <v>0</v>
      </c>
    </row>
    <row s="1877" customFormat="1" customHeight="1" ht="25.5" hidden="1">
      <c r="A29" s="1272"/>
      <c r="B29" s="1272"/>
      <c r="C29" s="1272"/>
      <c r="D29" s="1272"/>
      <c r="E29" s="1272"/>
      <c r="F29" s="1272"/>
      <c r="G29" s="1272"/>
      <c r="H29" s="1272"/>
      <c r="I29" s="1272"/>
      <c r="J29" s="1272"/>
      <c r="K29" s="1272"/>
      <c r="L29" s="1404"/>
      <c r="M29" s="1272"/>
      <c r="N29" s="1272"/>
      <c r="O29" s="1272"/>
      <c r="S29" s="2274" t="s">
        <v>42</v>
      </c>
      <c r="T29" s="2274"/>
      <c r="U29" s="1396"/>
      <c r="V29" s="2275" t="str">
        <f>IF(TITLE_NAME_OR_PR_CHANGE="",IF(TITLE_NAME_OR_PR="","",TITLE_NAME_OR_PR),TITLE_NAME_OR_PR_CHANGE)</f>
        <v/>
      </c>
      <c r="W29" s="2275"/>
      <c r="X29" s="2275"/>
      <c r="Y29" s="2275"/>
      <c r="Z29" s="2275"/>
      <c r="AA29" s="2275"/>
      <c r="AB29" s="2275"/>
      <c r="AC29" s="1659"/>
      <c r="AD29" s="2275" t="str">
        <f>IF(TITLE_NAME_OR_PR_CHANGE="",IF(TITLE_NAME_OR_PR="","",TITLE_NAME_OR_PR),TITLE_NAME_OR_PR_CHANGE)</f>
        <v/>
      </c>
      <c r="AE29" s="2275"/>
      <c r="AF29" s="2275"/>
      <c r="AG29" s="2275"/>
      <c r="AH29" s="2275"/>
      <c r="AI29" s="2275"/>
      <c r="AJ29" s="2275"/>
      <c r="AK29" s="1659"/>
      <c r="AL29" s="1659"/>
      <c r="AM29" s="304"/>
      <c r="AN29" s="392"/>
      <c r="AO29" s="392"/>
      <c r="AP29" s="392"/>
      <c r="AQ29" s="392"/>
      <c r="AR29" s="392"/>
      <c r="AS29" s="442">
        <v>0</v>
      </c>
    </row>
    <row s="1877" customFormat="1" customHeight="1" ht="18.75" hidden="1">
      <c r="A30" s="1272"/>
      <c r="B30" s="1272"/>
      <c r="C30" s="1272"/>
      <c r="D30" s="1272"/>
      <c r="E30" s="1272"/>
      <c r="F30" s="1272"/>
      <c r="G30" s="1272"/>
      <c r="H30" s="1272"/>
      <c r="I30" s="1272"/>
      <c r="J30" s="1272"/>
      <c r="K30" s="1272"/>
      <c r="L30" s="1404"/>
      <c r="M30" s="1272"/>
      <c r="N30" s="1272"/>
      <c r="O30" s="1272"/>
      <c r="S30" s="2274" t="s">
        <v>507</v>
      </c>
      <c r="T30" s="2274"/>
      <c r="U30" s="1396"/>
      <c r="V30" s="2288" t="str">
        <f>IF(TITLE_DATE_PR_CHANGE="",IF(TITLE_DATE_PR="","",TITLE_DATE_PR),TITLE_DATE_PR_CHANGE)</f>
        <v/>
      </c>
      <c r="W30" s="2288"/>
      <c r="X30" s="2288"/>
      <c r="Y30" s="2288"/>
      <c r="Z30" s="2288"/>
      <c r="AA30" s="2288"/>
      <c r="AB30" s="2288"/>
      <c r="AC30" s="1659"/>
      <c r="AD30" s="2288" t="str">
        <f>IF(TITLE_DATE_PR_CHANGE="",IF(TITLE_DATE_PR="","",TITLE_DATE_PR),TITLE_DATE_PR_CHANGE)</f>
        <v/>
      </c>
      <c r="AE30" s="2288"/>
      <c r="AF30" s="2288"/>
      <c r="AG30" s="2288"/>
      <c r="AH30" s="2288"/>
      <c r="AI30" s="2288"/>
      <c r="AJ30" s="2288"/>
      <c r="AK30" s="1659"/>
      <c r="AL30" s="1659"/>
      <c r="AM30" s="304"/>
      <c r="AN30" s="392"/>
      <c r="AO30" s="392"/>
      <c r="AP30" s="392"/>
      <c r="AQ30" s="392"/>
      <c r="AR30" s="392"/>
      <c r="AS30" s="442">
        <v>0</v>
      </c>
    </row>
    <row s="1877" customFormat="1" customHeight="1" ht="18.75" hidden="1">
      <c r="A31" s="1272"/>
      <c r="B31" s="1272"/>
      <c r="C31" s="1272"/>
      <c r="D31" s="1272"/>
      <c r="E31" s="1272"/>
      <c r="F31" s="1272"/>
      <c r="G31" s="1272"/>
      <c r="H31" s="1272"/>
      <c r="I31" s="1272"/>
      <c r="J31" s="1272"/>
      <c r="K31" s="1272"/>
      <c r="L31" s="1404"/>
      <c r="M31" s="1272"/>
      <c r="N31" s="1272"/>
      <c r="O31" s="1272"/>
      <c r="S31" s="2274" t="s">
        <v>508</v>
      </c>
      <c r="T31" s="2274"/>
      <c r="U31" s="1396"/>
      <c r="V31" s="2275" t="str">
        <f>IF(TITLE_NUMBER_PR_CHANGE="",IF(TITLE_NUMBER_PR="","",TITLE_NUMBER_PR),TITLE_NUMBER_PR_CHANGE)</f>
        <v/>
      </c>
      <c r="W31" s="2275"/>
      <c r="X31" s="2275"/>
      <c r="Y31" s="2275"/>
      <c r="Z31" s="2275"/>
      <c r="AA31" s="2275"/>
      <c r="AB31" s="2275"/>
      <c r="AC31" s="1659"/>
      <c r="AD31" s="2275" t="str">
        <f>IF(TITLE_NUMBER_PR_CHANGE="",IF(TITLE_NUMBER_PR="","",TITLE_NUMBER_PR),TITLE_NUMBER_PR_CHANGE)</f>
        <v/>
      </c>
      <c r="AE31" s="2275"/>
      <c r="AF31" s="2275"/>
      <c r="AG31" s="2275"/>
      <c r="AH31" s="2275"/>
      <c r="AI31" s="2275"/>
      <c r="AJ31" s="2275"/>
      <c r="AK31" s="1659"/>
      <c r="AL31" s="1659"/>
      <c r="AM31" s="304"/>
      <c r="AN31" s="392"/>
      <c r="AO31" s="392"/>
      <c r="AP31" s="392"/>
      <c r="AQ31" s="392"/>
      <c r="AR31" s="392"/>
      <c r="AS31" s="442">
        <v>0</v>
      </c>
    </row>
    <row s="1877" customFormat="1" customHeight="1" ht="18.75" hidden="1">
      <c r="A32" s="1272"/>
      <c r="B32" s="1272"/>
      <c r="C32" s="1272"/>
      <c r="D32" s="1272"/>
      <c r="E32" s="1272"/>
      <c r="F32" s="1272"/>
      <c r="G32" s="1272"/>
      <c r="H32" s="1272"/>
      <c r="I32" s="1272"/>
      <c r="J32" s="1272"/>
      <c r="K32" s="1272"/>
      <c r="L32" s="1404"/>
      <c r="M32" s="1272"/>
      <c r="N32" s="1272"/>
      <c r="O32" s="1272"/>
      <c r="S32" s="2274" t="s">
        <v>43</v>
      </c>
      <c r="T32" s="2274"/>
      <c r="U32" s="1396"/>
      <c r="V32" s="2275" t="str">
        <f>IF(TITLE_IST_PUB_CHANGE="",IF(TITLE_IST_PUB="","",TITLE_IST_PUB),TITLE_IST_PUB_CHANGE)</f>
        <v/>
      </c>
      <c r="W32" s="2275"/>
      <c r="X32" s="2275"/>
      <c r="Y32" s="2275"/>
      <c r="Z32" s="2275"/>
      <c r="AA32" s="2275"/>
      <c r="AB32" s="2275"/>
      <c r="AC32" s="1659"/>
      <c r="AD32" s="2275" t="str">
        <f>IF(TITLE_IST_PUB_CHANGE="",IF(TITLE_IST_PUB="","",TITLE_IST_PUB),TITLE_IST_PUB_CHANGE)</f>
        <v/>
      </c>
      <c r="AE32" s="2275"/>
      <c r="AF32" s="2275"/>
      <c r="AG32" s="2275"/>
      <c r="AH32" s="2275"/>
      <c r="AI32" s="2275"/>
      <c r="AJ32" s="2275"/>
      <c r="AK32" s="1659"/>
      <c r="AL32" s="1659"/>
      <c r="AM32" s="304"/>
      <c r="AN32" s="392"/>
      <c r="AO32" s="392"/>
      <c r="AP32" s="392"/>
      <c r="AQ32" s="392"/>
      <c r="AR32" s="392"/>
      <c r="AS32" s="442">
        <v>0</v>
      </c>
    </row>
    <row customHeight="1" ht="14.25" hidden="1">
      <c r="Q33" s="400"/>
      <c r="R33" s="400"/>
      <c r="S33" s="1299"/>
      <c r="T33" s="481"/>
      <c r="U33" s="481"/>
      <c r="V33" s="346"/>
      <c r="W33" s="346"/>
      <c r="X33" s="346"/>
      <c r="Y33" s="346"/>
      <c r="Z33" s="346"/>
      <c r="AA33" s="346"/>
      <c r="AB33" s="346"/>
      <c r="AC33" s="346"/>
      <c r="AD33" s="346"/>
      <c r="AE33" s="346"/>
      <c r="AF33" s="346"/>
      <c r="AG33" s="346"/>
      <c r="AH33" s="346"/>
      <c r="AI33" s="346"/>
      <c r="AJ33" s="346"/>
      <c r="AK33" s="346"/>
      <c r="AL33" s="1659"/>
      <c r="AS33" s="1655">
        <v>0</v>
      </c>
    </row>
    <row s="1877" customFormat="1" customHeight="1" ht="18.75" hidden="1">
      <c r="A34" s="1272"/>
      <c r="B34" s="1272"/>
      <c r="C34" s="1272"/>
      <c r="D34" s="1272"/>
      <c r="E34" s="1272"/>
      <c r="F34" s="1272"/>
      <c r="G34" s="1272"/>
      <c r="H34" s="1272"/>
      <c r="I34" s="1272"/>
      <c r="J34" s="1272"/>
      <c r="K34" s="1272"/>
      <c r="L34" s="1404"/>
      <c r="M34" s="1272"/>
      <c r="N34" s="1272"/>
      <c r="O34" s="1272"/>
      <c r="S34" s="2274" t="s">
        <v>509</v>
      </c>
      <c r="T34" s="2274"/>
      <c r="U34" s="1396"/>
      <c r="V34" s="2288" t="str">
        <f>IF(TITLE_DATE_PR_CHANGE="",IF(TITLE_DATE_PR="","",TITLE_DATE_PR),TITLE_DATE_PR_CHANGE)</f>
        <v/>
      </c>
      <c r="W34" s="2288"/>
      <c r="X34" s="2288"/>
      <c r="Y34" s="2288"/>
      <c r="Z34" s="2288"/>
      <c r="AA34" s="2288"/>
      <c r="AB34" s="2288"/>
      <c r="AC34" s="1659"/>
      <c r="AD34" s="2288" t="str">
        <f>IF(TITLE_DATE_PR_CHANGE="",IF(TITLE_DATE_PR="","",TITLE_DATE_PR),TITLE_DATE_PR_CHANGE)</f>
        <v/>
      </c>
      <c r="AE34" s="2288"/>
      <c r="AF34" s="2288"/>
      <c r="AG34" s="2288"/>
      <c r="AH34" s="2288"/>
      <c r="AI34" s="2288"/>
      <c r="AJ34" s="2288"/>
      <c r="AK34" s="1659"/>
      <c r="AL34" s="1659"/>
      <c r="AM34" s="304"/>
      <c r="AN34" s="392"/>
      <c r="AO34" s="392"/>
      <c r="AP34" s="392"/>
      <c r="AQ34" s="392"/>
      <c r="AR34" s="392"/>
      <c r="AS34" s="442">
        <v>0</v>
      </c>
    </row>
    <row s="1877" customFormat="1" customHeight="1" ht="18.75" hidden="1">
      <c r="A35" s="1272"/>
      <c r="B35" s="1272"/>
      <c r="C35" s="1272"/>
      <c r="D35" s="1272"/>
      <c r="E35" s="1272"/>
      <c r="F35" s="1272"/>
      <c r="G35" s="1272"/>
      <c r="H35" s="1272"/>
      <c r="I35" s="1272"/>
      <c r="J35" s="1272"/>
      <c r="K35" s="1272"/>
      <c r="L35" s="1404"/>
      <c r="M35" s="1272"/>
      <c r="N35" s="1272"/>
      <c r="O35" s="1272"/>
      <c r="S35" s="2274" t="s">
        <v>510</v>
      </c>
      <c r="T35" s="2274"/>
      <c r="U35" s="1396"/>
      <c r="V35" s="2275" t="str">
        <f>IF(TITLE_NUMBER_PR_CHANGE="",IF(TITLE_NUMBER_PR="","",TITLE_NUMBER_PR),TITLE_NUMBER_PR_CHANGE)</f>
        <v/>
      </c>
      <c r="W35" s="2275"/>
      <c r="X35" s="2275"/>
      <c r="Y35" s="2275"/>
      <c r="Z35" s="2275"/>
      <c r="AA35" s="2275"/>
      <c r="AB35" s="2275"/>
      <c r="AC35" s="1659"/>
      <c r="AD35" s="2275" t="str">
        <f>IF(TITLE_NUMBER_PR_CHANGE="",IF(TITLE_NUMBER_PR="","",TITLE_NUMBER_PR),TITLE_NUMBER_PR_CHANGE)</f>
        <v/>
      </c>
      <c r="AE35" s="2275"/>
      <c r="AF35" s="2275"/>
      <c r="AG35" s="2275"/>
      <c r="AH35" s="2275"/>
      <c r="AI35" s="2275"/>
      <c r="AJ35" s="2275"/>
      <c r="AK35" s="1659"/>
      <c r="AL35" s="1659"/>
      <c r="AM35" s="304"/>
      <c r="AN35" s="392"/>
      <c r="AO35" s="392"/>
      <c r="AP35" s="392"/>
      <c r="AQ35" s="392"/>
      <c r="AR35" s="392"/>
      <c r="AS35" s="442">
        <v>0</v>
      </c>
    </row>
    <row s="1877" customFormat="1" customHeight="1" ht="0">
      <c r="A36" s="1272"/>
      <c r="B36" s="1272"/>
      <c r="C36" s="1272"/>
      <c r="D36" s="1272"/>
      <c r="E36" s="1272"/>
      <c r="F36" s="1272"/>
      <c r="G36" s="1272"/>
      <c r="H36" s="1272"/>
      <c r="I36" s="1272"/>
      <c r="J36" s="1272"/>
      <c r="K36" s="1272"/>
      <c r="L36" s="1404"/>
      <c r="M36" s="1272"/>
      <c r="N36" s="1272"/>
      <c r="O36" s="1272"/>
      <c r="S36" s="1659"/>
      <c r="T36" s="1659"/>
      <c r="U36" s="1994"/>
      <c r="V36" s="1659"/>
      <c r="W36" s="1659"/>
      <c r="X36" s="1659"/>
      <c r="Y36" s="1659"/>
      <c r="Z36" s="1659"/>
      <c r="AA36" s="1659"/>
      <c r="AB36" s="1659"/>
      <c r="AC36" s="1666" t="s">
        <v>511</v>
      </c>
      <c r="AD36" s="1659"/>
      <c r="AE36" s="1659"/>
      <c r="AF36" s="1659"/>
      <c r="AG36" s="1659"/>
      <c r="AH36" s="1659"/>
      <c r="AI36" s="1659"/>
      <c r="AJ36" s="1659"/>
      <c r="AK36" s="1666" t="s">
        <v>511</v>
      </c>
      <c r="AN36" s="392"/>
      <c r="AO36" s="392"/>
      <c r="AP36" s="392"/>
      <c r="AQ36" s="392"/>
      <c r="AR36" s="392"/>
      <c r="AS36" s="442">
        <v>0</v>
      </c>
    </row>
    <row customHeight="1" ht="14.699999999999998">
      <c r="Q37" s="400"/>
      <c r="R37" s="400"/>
      <c r="S37" s="1299"/>
      <c r="T37" s="481"/>
      <c r="U37" s="1268"/>
      <c r="V37" s="2276"/>
      <c r="W37" s="2276"/>
      <c r="X37" s="2276"/>
      <c r="Y37" s="2276"/>
      <c r="Z37" s="2276"/>
      <c r="AA37" s="2276"/>
      <c r="AB37" s="2276"/>
      <c r="AC37" s="2276"/>
      <c r="AD37" s="2276"/>
      <c r="AE37" s="2276"/>
      <c r="AF37" s="2276"/>
      <c r="AG37" s="2276"/>
      <c r="AH37" s="2276"/>
      <c r="AI37" s="2276"/>
      <c r="AJ37" s="2276"/>
      <c r="AK37" s="2276"/>
      <c r="AS37" s="1655">
        <v>14</v>
      </c>
    </row>
    <row customHeight="1" ht="14.699999999999998">
      <c r="Q38" s="400"/>
      <c r="R38" s="400"/>
      <c r="S38" s="2151" t="s">
        <v>384</v>
      </c>
      <c r="T38" s="2151"/>
      <c r="U38" s="2151"/>
      <c r="V38" s="2151"/>
      <c r="W38" s="2151"/>
      <c r="X38" s="2151"/>
      <c r="Y38" s="2151"/>
      <c r="Z38" s="2151"/>
      <c r="AA38" s="2151"/>
      <c r="AB38" s="2151"/>
      <c r="AC38" s="2151"/>
      <c r="AD38" s="2151"/>
      <c r="AE38" s="2151"/>
      <c r="AF38" s="2151"/>
      <c r="AG38" s="2151"/>
      <c r="AH38" s="2151"/>
      <c r="AI38" s="2151"/>
      <c r="AJ38" s="2151"/>
      <c r="AK38" s="2151"/>
      <c r="AL38" s="2151"/>
      <c r="AM38" s="2151" t="s">
        <v>385</v>
      </c>
      <c r="AS38" s="1655">
        <v>14</v>
      </c>
    </row>
    <row customHeight="1" ht="14.699999999999998">
      <c r="Q39" s="400"/>
      <c r="R39" s="400"/>
      <c r="S39" s="2297" t="s">
        <v>88</v>
      </c>
      <c r="T39" s="2233" t="s">
        <v>512</v>
      </c>
      <c r="U39" s="361"/>
      <c r="V39" s="2298" t="s">
        <v>513</v>
      </c>
      <c r="W39" s="2299"/>
      <c r="X39" s="2299"/>
      <c r="Y39" s="2299"/>
      <c r="Z39" s="2299"/>
      <c r="AA39" s="2299"/>
      <c r="AB39" s="2300"/>
      <c r="AC39" s="2301" t="s">
        <v>514</v>
      </c>
      <c r="AD39" s="2298" t="s">
        <v>513</v>
      </c>
      <c r="AE39" s="2299"/>
      <c r="AF39" s="2299"/>
      <c r="AG39" s="2299"/>
      <c r="AH39" s="2299"/>
      <c r="AI39" s="2299"/>
      <c r="AJ39" s="2300"/>
      <c r="AK39" s="2301" t="s">
        <v>515</v>
      </c>
      <c r="AL39" s="2304" t="s">
        <v>516</v>
      </c>
      <c r="AM39" s="2151"/>
      <c r="AS39" s="1655">
        <v>14</v>
      </c>
    </row>
    <row customHeight="1" ht="35.699999999999996">
      <c r="Q40" s="400"/>
      <c r="R40" s="400"/>
      <c r="S40" s="2297"/>
      <c r="T40" s="2233"/>
      <c r="U40" s="1055"/>
      <c r="V40" s="2284" t="s">
        <v>517</v>
      </c>
      <c r="W40" s="2307" t="s">
        <v>518</v>
      </c>
      <c r="X40" s="2286" t="s">
        <v>519</v>
      </c>
      <c r="Y40" s="2287"/>
      <c r="Z40" s="2286" t="s">
        <v>533</v>
      </c>
      <c r="AA40" s="2293"/>
      <c r="AB40" s="2287"/>
      <c r="AC40" s="2302"/>
      <c r="AD40" s="2284" t="s">
        <v>517</v>
      </c>
      <c r="AE40" s="2307" t="s">
        <v>518</v>
      </c>
      <c r="AF40" s="2286" t="s">
        <v>519</v>
      </c>
      <c r="AG40" s="2287"/>
      <c r="AH40" s="2286" t="s">
        <v>520</v>
      </c>
      <c r="AI40" s="2293"/>
      <c r="AJ40" s="2287"/>
      <c r="AK40" s="2302"/>
      <c r="AL40" s="2305"/>
      <c r="AM40" s="2151"/>
      <c r="AS40" s="1655">
        <v>34</v>
      </c>
    </row>
    <row customHeight="1" ht="35.699999999999996">
      <c r="A41" s="1290"/>
      <c r="B41" s="1290" t="s">
        <v>223</v>
      </c>
      <c r="C41" s="1290" t="s">
        <v>224</v>
      </c>
      <c r="D41" s="1290" t="s">
        <v>225</v>
      </c>
      <c r="E41" s="1334" t="s">
        <v>521</v>
      </c>
      <c r="F41" s="1334" t="s">
        <v>522</v>
      </c>
      <c r="G41" s="1334" t="s">
        <v>523</v>
      </c>
      <c r="H41" s="1334" t="s">
        <v>524</v>
      </c>
      <c r="I41" s="1334" t="s">
        <v>525</v>
      </c>
      <c r="J41" s="1334" t="s">
        <v>526</v>
      </c>
      <c r="K41" s="1334" t="s">
        <v>527</v>
      </c>
      <c r="L41" s="1334" t="s">
        <v>502</v>
      </c>
      <c r="Q41" s="400"/>
      <c r="R41" s="400"/>
      <c r="S41" s="2297"/>
      <c r="T41" s="2233"/>
      <c r="U41" s="326"/>
      <c r="V41" s="2285"/>
      <c r="W41" s="2308"/>
      <c r="X41" s="1962" t="s">
        <v>528</v>
      </c>
      <c r="Y41" s="1962" t="s">
        <v>529</v>
      </c>
      <c r="Z41" s="1962" t="s">
        <v>530</v>
      </c>
      <c r="AA41" s="2294" t="s">
        <v>531</v>
      </c>
      <c r="AB41" s="2295"/>
      <c r="AC41" s="2303"/>
      <c r="AD41" s="2285"/>
      <c r="AE41" s="2308"/>
      <c r="AF41" s="1962" t="s">
        <v>528</v>
      </c>
      <c r="AG41" s="1962" t="s">
        <v>529</v>
      </c>
      <c r="AH41" s="1962" t="s">
        <v>530</v>
      </c>
      <c r="AI41" s="2294" t="s">
        <v>531</v>
      </c>
      <c r="AJ41" s="2295"/>
      <c r="AK41" s="2303"/>
      <c r="AL41" s="2306"/>
      <c r="AM41" s="2151"/>
      <c r="AS41" s="1655">
        <v>34</v>
      </c>
    </row>
    <row s="1665" customFormat="1" customHeight="1" ht="11.25" hidden="1">
      <c r="A42" s="1290"/>
      <c r="B42" s="1290"/>
      <c r="C42" s="1290"/>
      <c r="D42" s="1290"/>
      <c r="E42" s="1290"/>
      <c r="F42" s="1290"/>
      <c r="G42" s="1290"/>
      <c r="H42" s="1290"/>
      <c r="I42" s="1290"/>
      <c r="J42" s="1290"/>
      <c r="K42" s="1290"/>
      <c r="L42" s="1334"/>
      <c r="M42" s="1989"/>
      <c r="N42" s="1989"/>
      <c r="O42" s="1989"/>
      <c r="P42" s="1270"/>
      <c r="Q42" s="1271"/>
      <c r="R42" s="1278">
        <v>1</v>
      </c>
      <c r="S42" s="1301" t="s">
        <v>170</v>
      </c>
      <c r="T42" s="1279" t="s">
        <v>103</v>
      </c>
      <c r="U42" s="1269" t="str">
        <f>OFFSET(U42,0,-1)</f>
        <v>2</v>
      </c>
      <c r="V42" s="1980">
        <f>OFFSET(V42,0,-1)+1</f>
        <v>3</v>
      </c>
      <c r="W42" s="1980"/>
      <c r="X42" s="1980">
        <f>OFFSET(X42,0,-1)+1</f>
        <v>1</v>
      </c>
      <c r="Y42" s="1980">
        <f>OFFSET(Y42,0,-1)+1</f>
        <v>2</v>
      </c>
      <c r="Z42" s="1980">
        <f>OFFSET(Z42,0,-1)+1</f>
        <v>3</v>
      </c>
      <c r="AA42" s="2296">
        <f>OFFSET(AA42,0,-1)+1</f>
        <v>4</v>
      </c>
      <c r="AB42" s="2296"/>
      <c r="AC42" s="1980">
        <f>OFFSET(AC42,0,-2)+1</f>
        <v>5</v>
      </c>
      <c r="AD42" s="1980">
        <f>OFFSET(AD42,0,-1)+1</f>
        <v>6</v>
      </c>
      <c r="AE42" s="1980"/>
      <c r="AF42" s="1980">
        <f>OFFSET(AF42,0,-1)+1</f>
        <v>1</v>
      </c>
      <c r="AG42" s="1980">
        <f>OFFSET(AG42,0,-1)+1</f>
        <v>2</v>
      </c>
      <c r="AH42" s="1980">
        <f>OFFSET(AH42,0,-1)+1</f>
        <v>3</v>
      </c>
      <c r="AI42" s="2296">
        <f>OFFSET(AI42,0,-1)+1</f>
        <v>4</v>
      </c>
      <c r="AJ42" s="2296"/>
      <c r="AK42" s="1980">
        <f>OFFSET(AK42,0,-2)+1</f>
        <v>5</v>
      </c>
      <c r="AL42" s="1269">
        <f>OFFSET(AL42,0,-1)</f>
        <v>5</v>
      </c>
      <c r="AM42" s="1980">
        <f>OFFSET(AM42,0,-1)+1</f>
        <v>6</v>
      </c>
      <c r="AN42" s="1660"/>
      <c r="AO42" s="1660"/>
      <c r="AP42" s="1660"/>
      <c r="AQ42" s="1660"/>
      <c r="AR42" s="1660"/>
      <c r="AS42" s="1665">
        <v>0</v>
      </c>
    </row>
    <row customHeight="1" ht="22.049999999999997">
      <c r="A43" s="1291" t="s">
        <v>296</v>
      </c>
      <c r="B43" s="1291"/>
      <c r="C43" s="1291"/>
      <c r="D43" s="1291"/>
      <c r="E43" s="2313">
        <v>1</v>
      </c>
      <c r="F43" s="1291"/>
      <c r="G43" s="1291"/>
      <c r="H43" s="1291"/>
      <c r="I43" s="1291"/>
      <c r="J43" s="1291"/>
      <c r="K43" s="1291"/>
      <c r="L43" s="1334"/>
      <c r="M43" s="1634"/>
      <c r="N43" s="1634"/>
      <c r="O43" s="1634"/>
      <c r="P43" s="1614"/>
      <c r="Q43" s="384"/>
      <c r="R43" s="379"/>
      <c r="S43" s="1982">
        <f>INDEX(PT_DIFFERENTIATION_NUM_NTAR,MATCH(A43,PT_DIFFERENTIATION_NTAR_ID,0))</f>
        <v>0</v>
      </c>
      <c r="T43" s="1549" t="s">
        <v>211</v>
      </c>
      <c r="U43" s="324"/>
      <c r="V43" s="2266"/>
      <c r="W43" s="2267"/>
      <c r="X43" s="2267"/>
      <c r="Y43" s="2267"/>
      <c r="Z43" s="2267"/>
      <c r="AA43" s="2267"/>
      <c r="AB43" s="2267"/>
      <c r="AC43" s="2268"/>
      <c r="AD43" s="2266" t="str">
        <f>INDEX(PT_DIFFERENTIATION_NTAR,MATCH(A43,PT_DIFFERENTIATION_NTAR_ID,0))</f>
        <v/>
      </c>
      <c r="AE43" s="2267"/>
      <c r="AF43" s="2267"/>
      <c r="AG43" s="2267"/>
      <c r="AH43" s="2267"/>
      <c r="AI43" s="2267"/>
      <c r="AJ43" s="2267"/>
      <c r="AK43" s="2267"/>
      <c r="AL43" s="2268"/>
      <c r="AM43" s="12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48"/>
      <c r="AP43" s="1648" t="str">
        <f>IF(T43="","",T43)</f>
        <v>Наименование тарифа</v>
      </c>
      <c r="AQ43" s="1648"/>
      <c r="AR43" s="1648"/>
      <c r="AS43" s="1655">
        <v>21</v>
      </c>
    </row>
    <row customHeight="1" ht="22.049999999999997">
      <c r="A44" s="1291" t="s">
        <v>296</v>
      </c>
      <c r="B44" s="1291" t="s">
        <v>297</v>
      </c>
      <c r="C44" s="1291"/>
      <c r="D44" s="1291"/>
      <c r="E44" s="2314"/>
      <c r="F44" s="2313">
        <v>1</v>
      </c>
      <c r="G44" s="1291"/>
      <c r="H44" s="1291"/>
      <c r="I44" s="1291"/>
      <c r="J44" s="1291"/>
      <c r="K44" s="1291"/>
      <c r="L44" s="1334"/>
      <c r="M44" s="1634"/>
      <c r="N44" s="1634"/>
      <c r="O44" s="1634"/>
      <c r="P44" s="1964"/>
      <c r="Q44" s="376"/>
      <c r="R44" s="377"/>
      <c r="S44" s="1982" t="str">
        <f>INDEX(PT_DIFFERENTIATION_NUM_TER,MATCH(B44,PT_DIFFERENTIATION_TER_ID,0))</f>
        <v>.</v>
      </c>
      <c r="T44" s="1546" t="s">
        <v>481</v>
      </c>
      <c r="U44" s="324"/>
      <c r="V44" s="2266"/>
      <c r="W44" s="2267"/>
      <c r="X44" s="2267"/>
      <c r="Y44" s="2267"/>
      <c r="Z44" s="2267"/>
      <c r="AA44" s="2267"/>
      <c r="AB44" s="2267"/>
      <c r="AC44" s="2268"/>
      <c r="AD44" s="2266" t="str">
        <f>INDEX(PT_DIFFERENTIATION_TER,MATCH(B44,PT_DIFFERENTIATION_TER_ID,0))</f>
        <v/>
      </c>
      <c r="AE44" s="2267"/>
      <c r="AF44" s="2267"/>
      <c r="AG44" s="2267"/>
      <c r="AH44" s="2267"/>
      <c r="AI44" s="2267"/>
      <c r="AJ44" s="2267"/>
      <c r="AK44" s="2267"/>
      <c r="AL44" s="2268"/>
      <c r="AM44" s="1282" t="s">
        <v>482</v>
      </c>
      <c r="AO44" s="1648"/>
      <c r="AP44" s="1648" t="str">
        <f>IF(T44="","",T44)</f>
        <v>Территория действия тарифа</v>
      </c>
      <c r="AQ44" s="1648"/>
      <c r="AR44" s="1648"/>
      <c r="AS44" s="1655">
        <v>21</v>
      </c>
    </row>
    <row customHeight="1" ht="24">
      <c r="A45" s="1291" t="s">
        <v>296</v>
      </c>
      <c r="B45" s="1291" t="s">
        <v>297</v>
      </c>
      <c r="C45" s="1291" t="s">
        <v>298</v>
      </c>
      <c r="D45" s="1291"/>
      <c r="E45" s="2314"/>
      <c r="F45" s="2314"/>
      <c r="G45" s="2313">
        <v>1</v>
      </c>
      <c r="H45" s="1291"/>
      <c r="I45" s="1291"/>
      <c r="J45" s="1291"/>
      <c r="K45" s="1291"/>
      <c r="L45" s="1334"/>
      <c r="M45" s="1634"/>
      <c r="N45" s="1634"/>
      <c r="O45" s="1634"/>
      <c r="P45" s="378"/>
      <c r="Q45" s="376"/>
      <c r="R45" s="377"/>
      <c r="S45" s="1982" t="str">
        <f>INDEX(PT_DIFFERENTIATION_NUM_CS,MATCH(C45,PT_DIFFERENTIATION_CS_ID,0))</f>
        <v>..</v>
      </c>
      <c r="T45" s="333" t="s">
        <v>483</v>
      </c>
      <c r="U45" s="324"/>
      <c r="V45" s="2266"/>
      <c r="W45" s="2267"/>
      <c r="X45" s="2267"/>
      <c r="Y45" s="2267"/>
      <c r="Z45" s="2267"/>
      <c r="AA45" s="2267"/>
      <c r="AB45" s="2267"/>
      <c r="AC45" s="2268"/>
      <c r="AD45" s="2266" t="str">
        <f>INDEX(PT_DIFFERENTIATION_CS,MATCH(C45,PT_DIFFERENTIATION_CS_ID,0))</f>
        <v/>
      </c>
      <c r="AE45" s="2267"/>
      <c r="AF45" s="2267"/>
      <c r="AG45" s="2267"/>
      <c r="AH45" s="2267"/>
      <c r="AI45" s="2267"/>
      <c r="AJ45" s="2267"/>
      <c r="AK45" s="2267"/>
      <c r="AL45" s="2268"/>
      <c r="AM45" s="1282" t="s">
        <v>484</v>
      </c>
      <c r="AO45" s="1648"/>
      <c r="AP45" s="1648" t="str">
        <f>IF(T45="","",T45)</f>
        <v>Наименование системы теплоснабжения </v>
      </c>
      <c r="AQ45" s="1648"/>
      <c r="AR45" s="1648"/>
      <c r="AS45" s="1655">
        <v>23</v>
      </c>
    </row>
    <row customHeight="1" ht="22.049999999999997">
      <c r="A46" s="1291" t="s">
        <v>296</v>
      </c>
      <c r="B46" s="1291" t="s">
        <v>297</v>
      </c>
      <c r="C46" s="1291" t="s">
        <v>298</v>
      </c>
      <c r="D46" s="1291" t="s">
        <v>299</v>
      </c>
      <c r="E46" s="2314"/>
      <c r="F46" s="2314"/>
      <c r="G46" s="2314"/>
      <c r="H46" s="2313">
        <v>1</v>
      </c>
      <c r="I46" s="1291"/>
      <c r="J46" s="1291"/>
      <c r="K46" s="1291"/>
      <c r="L46" s="1334"/>
      <c r="M46" s="1634"/>
      <c r="N46" s="1634"/>
      <c r="O46" s="1634"/>
      <c r="P46" s="378"/>
      <c r="Q46" s="376"/>
      <c r="R46" s="377"/>
      <c r="S46" s="1982" t="str">
        <f>INDEX(PT_DIFFERENTIATION_NUM_IST_TE,MATCH(D46,PT_DIFFERENTIATION_IST_TE_ID,0))</f>
        <v>...</v>
      </c>
      <c r="T46" s="334" t="s">
        <v>485</v>
      </c>
      <c r="U46" s="324"/>
      <c r="V46" s="2266"/>
      <c r="W46" s="2267"/>
      <c r="X46" s="2267"/>
      <c r="Y46" s="2267"/>
      <c r="Z46" s="2267"/>
      <c r="AA46" s="2267"/>
      <c r="AB46" s="2267"/>
      <c r="AC46" s="2268"/>
      <c r="AD46" s="2266" t="str">
        <f>INDEX(PT_DIFFERENTIATION_IST_TE,MATCH(D46,PT_DIFFERENTIATION_IST_TE_ID,0))</f>
        <v/>
      </c>
      <c r="AE46" s="2267"/>
      <c r="AF46" s="2267"/>
      <c r="AG46" s="2267"/>
      <c r="AH46" s="2267"/>
      <c r="AI46" s="2267"/>
      <c r="AJ46" s="2267"/>
      <c r="AK46" s="2267"/>
      <c r="AL46" s="2268"/>
      <c r="AM46" s="1282" t="s">
        <v>486</v>
      </c>
      <c r="AO46" s="1648"/>
      <c r="AP46" s="1648" t="str">
        <f>IF(T46="","",T46)</f>
        <v>Источник тепловой энергии  </v>
      </c>
      <c r="AQ46" s="1648"/>
      <c r="AR46" s="1648"/>
      <c r="AS46" s="1655">
        <v>21</v>
      </c>
    </row>
    <row customHeight="1" ht="49.5">
      <c r="A47" s="1291" t="s">
        <v>296</v>
      </c>
      <c r="B47" s="1291" t="s">
        <v>297</v>
      </c>
      <c r="C47" s="1291" t="s">
        <v>298</v>
      </c>
      <c r="D47" s="1291" t="s">
        <v>299</v>
      </c>
      <c r="E47" s="2314"/>
      <c r="F47" s="2314"/>
      <c r="G47" s="2314"/>
      <c r="H47" s="2314"/>
      <c r="I47" s="2151" t="str">
        <f>S46&amp;".1"</f>
        <v>....1</v>
      </c>
      <c r="J47" s="1291"/>
      <c r="K47" s="1291"/>
      <c r="L47" s="1334" t="s">
        <v>487</v>
      </c>
      <c r="P47" s="2281">
        <v>1</v>
      </c>
      <c r="Q47" s="1978"/>
      <c r="R47" s="380"/>
      <c r="S47" s="1982" t="str">
        <f>$I47</f>
        <v>....1</v>
      </c>
      <c r="T47" s="309" t="s">
        <v>488</v>
      </c>
      <c r="U47" s="324"/>
      <c r="V47" s="2269"/>
      <c r="W47" s="2270"/>
      <c r="X47" s="2270"/>
      <c r="Y47" s="2270"/>
      <c r="Z47" s="2270"/>
      <c r="AA47" s="2270"/>
      <c r="AB47" s="2270"/>
      <c r="AC47" s="2271"/>
      <c r="AD47" s="2269"/>
      <c r="AE47" s="2270"/>
      <c r="AF47" s="2270"/>
      <c r="AG47" s="2270"/>
      <c r="AH47" s="2270"/>
      <c r="AI47" s="2270"/>
      <c r="AJ47" s="2270"/>
      <c r="AK47" s="2270"/>
      <c r="AL47" s="2271"/>
      <c r="AM47" s="1282" t="s">
        <v>489</v>
      </c>
      <c r="AO47" s="1648"/>
      <c r="AP47" s="1648" t="str">
        <f>IF(T47="","",T47)</f>
        <v>Схема подключения теплопотребляющей установки к коллектору источника тепловой энергии</v>
      </c>
      <c r="AQ47" s="1648"/>
      <c r="AR47" s="1648"/>
      <c r="AS47" s="1655">
        <v>47</v>
      </c>
    </row>
    <row customHeight="1" ht="22.049999999999997">
      <c r="A48" s="1291" t="s">
        <v>296</v>
      </c>
      <c r="B48" s="1291" t="s">
        <v>297</v>
      </c>
      <c r="C48" s="1291" t="s">
        <v>298</v>
      </c>
      <c r="D48" s="1291" t="s">
        <v>299</v>
      </c>
      <c r="E48" s="2314"/>
      <c r="F48" s="2314"/>
      <c r="G48" s="2314"/>
      <c r="H48" s="2314"/>
      <c r="I48" s="2125"/>
      <c r="J48" s="2151" t="str">
        <f>I47&amp;".1"</f>
        <v>....1.1</v>
      </c>
      <c r="K48" s="1291"/>
      <c r="L48" s="1334" t="s">
        <v>490</v>
      </c>
      <c r="P48" s="2281"/>
      <c r="Q48" s="2281">
        <v>1</v>
      </c>
      <c r="R48" s="381"/>
      <c r="S48" s="1982" t="str">
        <f>$J48</f>
        <v>....1.1</v>
      </c>
      <c r="T48" s="310" t="s">
        <v>491</v>
      </c>
      <c r="U48" s="324"/>
      <c r="V48" s="2269"/>
      <c r="W48" s="2270"/>
      <c r="X48" s="2270"/>
      <c r="Y48" s="2270"/>
      <c r="Z48" s="2270"/>
      <c r="AA48" s="2270"/>
      <c r="AB48" s="2270"/>
      <c r="AC48" s="2271"/>
      <c r="AD48" s="2269"/>
      <c r="AE48" s="2270"/>
      <c r="AF48" s="2270"/>
      <c r="AG48" s="2270"/>
      <c r="AH48" s="2270"/>
      <c r="AI48" s="2270"/>
      <c r="AJ48" s="2270"/>
      <c r="AK48" s="2270"/>
      <c r="AL48" s="2271"/>
      <c r="AM48" s="1282" t="s">
        <v>492</v>
      </c>
      <c r="AO48" s="1648"/>
      <c r="AP48" s="1648" t="str">
        <f>IF(T48="","",T48)</f>
        <v>Группа потребителей</v>
      </c>
      <c r="AQ48" s="1648"/>
      <c r="AR48" s="1648"/>
      <c r="AS48" s="1655">
        <v>21</v>
      </c>
    </row>
    <row customHeight="1" ht="22.049999999999997">
      <c r="A49" s="1291" t="s">
        <v>296</v>
      </c>
      <c r="B49" s="1291" t="s">
        <v>297</v>
      </c>
      <c r="C49" s="1291" t="s">
        <v>298</v>
      </c>
      <c r="D49" s="1291" t="s">
        <v>299</v>
      </c>
      <c r="E49" s="2314"/>
      <c r="F49" s="2314"/>
      <c r="G49" s="2314"/>
      <c r="H49" s="2314"/>
      <c r="I49" s="2125"/>
      <c r="J49" s="2125"/>
      <c r="K49" s="2151" t="str">
        <f>J48&amp;".1"</f>
        <v>....1.1.1</v>
      </c>
      <c r="L49" s="1334" t="s">
        <v>493</v>
      </c>
      <c r="P49" s="2281"/>
      <c r="Q49" s="2281"/>
      <c r="R49" s="381">
        <v>1</v>
      </c>
      <c r="S49" s="1982" t="str">
        <f>$K49</f>
        <v>....1.1.1</v>
      </c>
      <c r="T49" s="1371"/>
      <c r="U49" s="324"/>
      <c r="V49" s="775"/>
      <c r="W49" s="349"/>
      <c r="X49" s="775"/>
      <c r="Y49" s="1281"/>
      <c r="Z49" s="2289"/>
      <c r="AA49" s="2131" t="s">
        <v>66</v>
      </c>
      <c r="AB49" s="2289"/>
      <c r="AC49" s="2131" t="s">
        <v>66</v>
      </c>
      <c r="AD49" s="775"/>
      <c r="AE49" s="349"/>
      <c r="AF49" s="775"/>
      <c r="AG49" s="1281"/>
      <c r="AH49" s="2289"/>
      <c r="AI49" s="2131" t="s">
        <v>66</v>
      </c>
      <c r="AJ49" s="2311"/>
      <c r="AK49" s="2131" t="s">
        <v>66</v>
      </c>
      <c r="AL49" s="1372"/>
      <c r="AM49" s="2277" t="s">
        <v>494</v>
      </c>
      <c r="AN49" s="1660">
        <f>STRCHECKDATE(V50:AL50)</f>
      </c>
      <c r="AO49" s="1648"/>
      <c r="AP49" s="1648" t="str">
        <f>IF(T49="","",T49)</f>
        <v/>
      </c>
      <c r="AQ49" s="1648"/>
      <c r="AR49" s="1648"/>
      <c r="AS49" s="1655">
        <v>21</v>
      </c>
    </row>
    <row customHeight="1" ht="1.05">
      <c r="A50" s="1291" t="s">
        <v>296</v>
      </c>
      <c r="B50" s="1291" t="s">
        <v>297</v>
      </c>
      <c r="C50" s="1291" t="s">
        <v>298</v>
      </c>
      <c r="D50" s="1291" t="s">
        <v>299</v>
      </c>
      <c r="E50" s="2314"/>
      <c r="F50" s="2314"/>
      <c r="G50" s="2314"/>
      <c r="H50" s="2314"/>
      <c r="I50" s="2125"/>
      <c r="J50" s="2125"/>
      <c r="K50" s="2151"/>
      <c r="L50" s="1334"/>
      <c r="P50" s="2281"/>
      <c r="Q50" s="2281"/>
      <c r="R50" s="381"/>
      <c r="S50" s="1991"/>
      <c r="T50" s="324"/>
      <c r="U50" s="324"/>
      <c r="V50" s="349"/>
      <c r="W50" s="349"/>
      <c r="X50" s="349"/>
      <c r="Y50" s="352" t="str">
        <f>Z49&amp;"-"&amp;AB49</f>
        <v>-</v>
      </c>
      <c r="Z50" s="2290"/>
      <c r="AA50" s="2131"/>
      <c r="AB50" s="2290"/>
      <c r="AC50" s="2131"/>
      <c r="AD50" s="349"/>
      <c r="AE50" s="349"/>
      <c r="AF50" s="349"/>
      <c r="AG50" s="352" t="str">
        <f>AH49&amp;"-"&amp;AJ49</f>
        <v>-</v>
      </c>
      <c r="AH50" s="2290"/>
      <c r="AI50" s="2131"/>
      <c r="AJ50" s="2312"/>
      <c r="AK50" s="2131"/>
      <c r="AL50" s="1373"/>
      <c r="AM50" s="2278"/>
      <c r="AO50" s="1648"/>
      <c r="AP50" s="1648" t="str">
        <f>IF(T50="","",T50)</f>
        <v/>
      </c>
      <c r="AQ50" s="1648"/>
      <c r="AR50" s="1648"/>
      <c r="AS50" s="1655">
        <v>1</v>
      </c>
    </row>
    <row customHeight="1" ht="11.549999999999999">
      <c r="A51" s="1291" t="s">
        <v>296</v>
      </c>
      <c r="B51" s="1291" t="s">
        <v>297</v>
      </c>
      <c r="C51" s="1291" t="s">
        <v>298</v>
      </c>
      <c r="D51" s="1291" t="s">
        <v>299</v>
      </c>
      <c r="E51" s="2314"/>
      <c r="F51" s="2314"/>
      <c r="G51" s="2314"/>
      <c r="H51" s="2314"/>
      <c r="I51" s="2125"/>
      <c r="J51" s="2151"/>
      <c r="K51" s="1291"/>
      <c r="L51" s="1334"/>
      <c r="P51" s="2281"/>
      <c r="Q51" s="2281"/>
      <c r="R51" s="380"/>
      <c r="S51" s="1302"/>
      <c r="T51" s="312" t="s">
        <v>495</v>
      </c>
      <c r="U51" s="624"/>
      <c r="V51" s="624"/>
      <c r="W51" s="624"/>
      <c r="X51" s="624"/>
      <c r="Y51" s="624"/>
      <c r="Z51" s="624"/>
      <c r="AA51" s="624"/>
      <c r="AB51" s="624"/>
      <c r="AC51" s="624"/>
      <c r="AD51" s="624"/>
      <c r="AE51" s="624"/>
      <c r="AF51" s="624"/>
      <c r="AG51" s="624"/>
      <c r="AH51" s="624"/>
      <c r="AI51" s="624"/>
      <c r="AJ51" s="624"/>
      <c r="AK51" s="624"/>
      <c r="AL51" s="348"/>
      <c r="AM51" s="2279"/>
      <c r="AO51" s="1648"/>
      <c r="AP51" s="1648" t="str">
        <f>IF(T51="","",T51)</f>
        <v>Добавить вид теплоносителя (параметры теплоносителя)</v>
      </c>
      <c r="AQ51" s="1648"/>
      <c r="AR51" s="1648"/>
      <c r="AS51" s="1655">
        <v>11</v>
      </c>
    </row>
    <row customHeight="1" ht="11.549999999999999">
      <c r="A52" s="1291" t="s">
        <v>296</v>
      </c>
      <c r="B52" s="1291" t="s">
        <v>297</v>
      </c>
      <c r="C52" s="1291" t="s">
        <v>298</v>
      </c>
      <c r="D52" s="1291" t="s">
        <v>299</v>
      </c>
      <c r="E52" s="2314"/>
      <c r="F52" s="2314"/>
      <c r="G52" s="2314"/>
      <c r="H52" s="2314"/>
      <c r="I52" s="2151"/>
      <c r="J52" s="1291"/>
      <c r="K52" s="1291"/>
      <c r="L52" s="1334"/>
      <c r="P52" s="2281"/>
      <c r="Q52" s="1978"/>
      <c r="R52" s="380"/>
      <c r="S52" s="1302"/>
      <c r="T52" s="311" t="s">
        <v>496</v>
      </c>
      <c r="U52" s="624"/>
      <c r="V52" s="624"/>
      <c r="W52" s="624"/>
      <c r="X52" s="624"/>
      <c r="Y52" s="624"/>
      <c r="Z52" s="624"/>
      <c r="AA52" s="624"/>
      <c r="AB52" s="624"/>
      <c r="AC52" s="390"/>
      <c r="AD52" s="624"/>
      <c r="AE52" s="624"/>
      <c r="AF52" s="624"/>
      <c r="AG52" s="624"/>
      <c r="AH52" s="624"/>
      <c r="AI52" s="624"/>
      <c r="AJ52" s="624"/>
      <c r="AK52" s="390"/>
      <c r="AL52" s="624"/>
      <c r="AM52" s="327"/>
      <c r="AO52" s="1648"/>
      <c r="AP52" s="1648" t="str">
        <f>IF(T52="","",T52)</f>
        <v>Добавить группу потребителей</v>
      </c>
      <c r="AQ52" s="1648"/>
      <c r="AR52" s="1648"/>
      <c r="AS52" s="1655">
        <v>11</v>
      </c>
    </row>
    <row customHeight="1" ht="14.699999999999998">
      <c r="A53" s="1291" t="s">
        <v>296</v>
      </c>
      <c r="B53" s="1291" t="s">
        <v>297</v>
      </c>
      <c r="C53" s="1291" t="s">
        <v>298</v>
      </c>
      <c r="D53" s="1291" t="s">
        <v>299</v>
      </c>
      <c r="E53" s="2314"/>
      <c r="F53" s="2314"/>
      <c r="G53" s="2314"/>
      <c r="H53" s="2313"/>
      <c r="I53" s="1291"/>
      <c r="J53" s="1291"/>
      <c r="K53" s="1291"/>
      <c r="L53" s="1334"/>
      <c r="M53" s="1634"/>
      <c r="N53" s="1634"/>
      <c r="O53" s="1659"/>
      <c r="P53" s="384"/>
      <c r="Q53" s="399"/>
      <c r="R53" s="379"/>
      <c r="S53" s="1302"/>
      <c r="T53" s="389" t="s">
        <v>497</v>
      </c>
      <c r="U53" s="624"/>
      <c r="V53" s="624"/>
      <c r="W53" s="624"/>
      <c r="X53" s="624"/>
      <c r="Y53" s="624"/>
      <c r="Z53" s="624"/>
      <c r="AA53" s="624"/>
      <c r="AB53" s="624"/>
      <c r="AC53" s="390"/>
      <c r="AD53" s="624"/>
      <c r="AE53" s="624"/>
      <c r="AF53" s="624"/>
      <c r="AG53" s="624"/>
      <c r="AH53" s="624"/>
      <c r="AI53" s="624"/>
      <c r="AJ53" s="624"/>
      <c r="AK53" s="390"/>
      <c r="AL53" s="624"/>
      <c r="AM53" s="327"/>
      <c r="AO53" s="1648"/>
      <c r="AP53" s="1648" t="str">
        <f>IF(T53="","",T53)</f>
        <v>Добавить схему подключения</v>
      </c>
      <c r="AQ53" s="1648"/>
      <c r="AR53" s="1648"/>
      <c r="AS53" s="1655">
        <v>14</v>
      </c>
    </row>
    <row s="1666" customFormat="1" customHeight="1" ht="4.2">
      <c r="A54" s="1399" t="s">
        <v>296</v>
      </c>
      <c r="B54" s="1399" t="s">
        <v>297</v>
      </c>
      <c r="C54" s="1399" t="s">
        <v>298</v>
      </c>
      <c r="D54" s="1398"/>
      <c r="E54" s="2314"/>
      <c r="F54" s="2314"/>
      <c r="G54" s="2313"/>
      <c r="H54" s="1398"/>
      <c r="I54" s="1398"/>
      <c r="J54" s="1398"/>
      <c r="K54" s="1398"/>
      <c r="L54" s="1401"/>
      <c r="M54" s="1402"/>
      <c r="N54" s="1402"/>
      <c r="O54" s="375"/>
      <c r="P54" s="1340"/>
      <c r="Q54" s="1341"/>
      <c r="R54" s="1340"/>
      <c r="S54" s="1346"/>
      <c r="T54" s="1349" t="s">
        <v>498</v>
      </c>
      <c r="U54" s="1348"/>
      <c r="V54" s="1348"/>
      <c r="W54" s="1348"/>
      <c r="X54" s="1348"/>
      <c r="Y54" s="1348"/>
      <c r="Z54" s="1348"/>
      <c r="AA54" s="1348"/>
      <c r="AB54" s="1348"/>
      <c r="AC54" s="1348"/>
      <c r="AD54" s="1348"/>
      <c r="AE54" s="1348"/>
      <c r="AF54" s="1348"/>
      <c r="AG54" s="1348"/>
      <c r="AH54" s="1348"/>
      <c r="AI54" s="1348"/>
      <c r="AJ54" s="1348"/>
      <c r="AK54" s="1348"/>
      <c r="AL54" s="1348"/>
      <c r="AM54" s="1348"/>
      <c r="AO54" s="1275"/>
      <c r="AP54" s="1275" t="str">
        <f>IF(T54="","",T54)</f>
        <v>Добавить источник для дифференциации</v>
      </c>
      <c r="AQ54" s="1275"/>
      <c r="AR54" s="1275"/>
      <c r="AS54" s="1666">
        <v>4</v>
      </c>
    </row>
    <row s="1666" customFormat="1" customHeight="1" ht="4.2">
      <c r="A55" s="1399" t="s">
        <v>296</v>
      </c>
      <c r="B55" s="1399" t="s">
        <v>297</v>
      </c>
      <c r="C55" s="1398"/>
      <c r="D55" s="1398"/>
      <c r="E55" s="2314"/>
      <c r="F55" s="2313"/>
      <c r="G55" s="1398"/>
      <c r="H55" s="1398"/>
      <c r="I55" s="1398"/>
      <c r="J55" s="1398"/>
      <c r="K55" s="1398"/>
      <c r="L55" s="1401"/>
      <c r="M55" s="1403"/>
      <c r="N55" s="1403"/>
      <c r="O55" s="375"/>
      <c r="P55" s="1340"/>
      <c r="Q55" s="1341"/>
      <c r="R55" s="1340"/>
      <c r="S55" s="1346"/>
      <c r="T55" s="1349" t="s">
        <v>499</v>
      </c>
      <c r="U55" s="1348"/>
      <c r="V55" s="1348"/>
      <c r="W55" s="1348"/>
      <c r="X55" s="1348"/>
      <c r="Y55" s="1348"/>
      <c r="Z55" s="1348"/>
      <c r="AA55" s="1348"/>
      <c r="AB55" s="1348"/>
      <c r="AC55" s="1348"/>
      <c r="AD55" s="1348"/>
      <c r="AE55" s="1348"/>
      <c r="AF55" s="1348"/>
      <c r="AG55" s="1348"/>
      <c r="AH55" s="1348"/>
      <c r="AI55" s="1348"/>
      <c r="AJ55" s="1348"/>
      <c r="AK55" s="1348"/>
      <c r="AL55" s="1348"/>
      <c r="AM55" s="1348"/>
      <c r="AO55" s="1275"/>
      <c r="AP55" s="1275" t="str">
        <f>IF(T55="","",T55)</f>
        <v>Добавить централизованную систему для дифференциации</v>
      </c>
      <c r="AQ55" s="1275"/>
      <c r="AR55" s="1275"/>
      <c r="AS55" s="1666">
        <v>4</v>
      </c>
    </row>
    <row s="1666" customFormat="1" customHeight="1" ht="4.2">
      <c r="A56" s="1399" t="s">
        <v>296</v>
      </c>
      <c r="B56" s="1399"/>
      <c r="C56" s="1399"/>
      <c r="D56" s="1399"/>
      <c r="E56" s="2313"/>
      <c r="F56" s="1399"/>
      <c r="G56" s="1399"/>
      <c r="H56" s="1399"/>
      <c r="I56" s="1399"/>
      <c r="J56" s="1399"/>
      <c r="K56" s="1399"/>
      <c r="L56" s="1405"/>
      <c r="M56" s="1403"/>
      <c r="N56" s="1403"/>
      <c r="O56" s="375"/>
      <c r="P56" s="404"/>
      <c r="Q56" s="1368"/>
      <c r="R56" s="404"/>
      <c r="S56" s="1346"/>
      <c r="T56" s="1349" t="s">
        <v>500</v>
      </c>
      <c r="U56" s="1348"/>
      <c r="V56" s="1348"/>
      <c r="W56" s="1348"/>
      <c r="X56" s="1348"/>
      <c r="Y56" s="1348"/>
      <c r="Z56" s="1348"/>
      <c r="AA56" s="1348"/>
      <c r="AB56" s="1348"/>
      <c r="AC56" s="1348"/>
      <c r="AD56" s="1348"/>
      <c r="AE56" s="1348"/>
      <c r="AF56" s="1348"/>
      <c r="AG56" s="1348"/>
      <c r="AH56" s="1348"/>
      <c r="AI56" s="1348"/>
      <c r="AJ56" s="1348"/>
      <c r="AK56" s="1348"/>
      <c r="AL56" s="1348"/>
      <c r="AM56" s="1348"/>
      <c r="AO56" s="1648"/>
      <c r="AP56" s="1648" t="str">
        <f>IF(T56="","",T56)</f>
        <v>Добавить территорию для дифференциации</v>
      </c>
      <c r="AQ56" s="1648"/>
      <c r="AR56" s="1648"/>
      <c r="AS56" s="1660">
        <v>4</v>
      </c>
    </row>
    <row s="1666" customFormat="1" customHeight="1" ht="4.2">
      <c r="A57" s="1398"/>
      <c r="B57" s="1398"/>
      <c r="C57" s="1398"/>
      <c r="D57" s="1398"/>
      <c r="E57" s="1399"/>
      <c r="F57" s="1398"/>
      <c r="G57" s="1398"/>
      <c r="H57" s="1398"/>
      <c r="I57" s="1398"/>
      <c r="J57" s="1398"/>
      <c r="K57" s="1398"/>
      <c r="L57" s="1401"/>
      <c r="M57" s="1403"/>
      <c r="N57" s="1403"/>
      <c r="O57" s="375"/>
      <c r="P57" s="1340"/>
      <c r="Q57" s="1341"/>
      <c r="R57" s="1340"/>
      <c r="S57" s="1346"/>
      <c r="T57" s="1349" t="s">
        <v>532</v>
      </c>
      <c r="U57" s="1348"/>
      <c r="V57" s="1348"/>
      <c r="W57" s="1348"/>
      <c r="X57" s="1348"/>
      <c r="Y57" s="1348"/>
      <c r="Z57" s="1348"/>
      <c r="AA57" s="1348"/>
      <c r="AB57" s="1348"/>
      <c r="AC57" s="1348"/>
      <c r="AD57" s="1348"/>
      <c r="AE57" s="1348"/>
      <c r="AF57" s="1348"/>
      <c r="AG57" s="1348"/>
      <c r="AH57" s="1348"/>
      <c r="AI57" s="1348"/>
      <c r="AJ57" s="1348"/>
      <c r="AK57" s="1348"/>
      <c r="AL57" s="1348"/>
      <c r="AM57" s="1348"/>
      <c r="AO57" s="1275"/>
      <c r="AP57" s="1275" t="str">
        <f>IF(T57="","",T57)</f>
        <v>Добавить наименование тарифа</v>
      </c>
      <c r="AQ57" s="1275"/>
      <c r="AR57" s="1275"/>
      <c r="AS57" s="1666">
        <v>4</v>
      </c>
    </row>
    <row customHeight="1" ht="11.549999999999999">
      <c r="M58" s="1655"/>
      <c r="N58" s="1655"/>
      <c r="O58" s="1659"/>
      <c r="P58" s="1655"/>
      <c r="Q58" s="1655"/>
      <c r="R58" s="1655"/>
      <c r="S58" s="1655"/>
      <c r="AN58" s="1655"/>
      <c r="AO58" s="1655"/>
      <c r="AP58" s="1655"/>
      <c r="AQ58" s="1655"/>
      <c r="AR58" s="1655"/>
      <c r="AS58" s="1655">
        <v>11</v>
      </c>
    </row>
    <row customHeight="1" ht="28.5">
      <c r="O59" s="1659"/>
      <c r="S59" s="1277"/>
      <c r="T59" s="2309"/>
      <c r="U59" s="2309"/>
      <c r="V59" s="2309"/>
      <c r="W59" s="2309"/>
      <c r="X59" s="2309"/>
      <c r="Y59" s="2309"/>
      <c r="Z59" s="2309"/>
      <c r="AA59" s="2309"/>
      <c r="AB59" s="2309"/>
      <c r="AC59" s="2309"/>
      <c r="AD59" s="2309"/>
      <c r="AE59" s="2309"/>
      <c r="AF59" s="2309"/>
      <c r="AG59" s="2309"/>
      <c r="AH59" s="2309"/>
      <c r="AI59" s="2309"/>
      <c r="AJ59" s="2309"/>
      <c r="AK59" s="2309"/>
      <c r="AL59" s="2309"/>
      <c r="AM59" s="2309"/>
      <c r="AS59" s="1655">
        <v>27</v>
      </c>
    </row>
    <row customHeight="1" ht="65.25">
      <c r="O60" s="1659"/>
      <c r="T60" s="2309"/>
      <c r="U60" s="2309"/>
      <c r="V60" s="2309"/>
      <c r="W60" s="2309"/>
      <c r="X60" s="2309"/>
      <c r="Y60" s="2309"/>
      <c r="Z60" s="2309"/>
      <c r="AA60" s="2309"/>
      <c r="AB60" s="2309"/>
      <c r="AC60" s="2309"/>
      <c r="AD60" s="2309"/>
      <c r="AE60" s="2309"/>
      <c r="AF60" s="2309"/>
      <c r="AG60" s="2309"/>
      <c r="AH60" s="2309"/>
      <c r="AI60" s="2309"/>
      <c r="AJ60" s="2309"/>
      <c r="AK60" s="2309"/>
      <c r="AL60" s="2309"/>
      <c r="AM60" s="2309"/>
      <c r="AS60" s="1655">
        <v>62</v>
      </c>
    </row>
    <row customHeight="1" ht="14.699999999999998">
      <c r="O61" s="1659"/>
      <c r="AS61" s="1655">
        <v>14</v>
      </c>
    </row>
    <row customHeight="1" ht="18.75">
      <c r="O62" s="1659"/>
      <c r="S62" s="1277"/>
      <c r="T62" s="2309"/>
      <c r="U62" s="2309"/>
      <c r="V62" s="2309"/>
      <c r="W62" s="2309"/>
      <c r="X62" s="2309"/>
      <c r="Y62" s="2309"/>
      <c r="Z62" s="2309"/>
      <c r="AA62" s="2309"/>
      <c r="AB62" s="2309"/>
      <c r="AC62" s="2309"/>
      <c r="AD62" s="2309"/>
      <c r="AE62" s="2309"/>
      <c r="AF62" s="2309"/>
      <c r="AG62" s="2309"/>
      <c r="AH62" s="2309"/>
      <c r="AI62" s="2309"/>
      <c r="AJ62" s="2309"/>
      <c r="AK62" s="2309"/>
      <c r="AL62" s="2309"/>
      <c r="AM62" s="2309"/>
      <c r="AS62" s="1655">
        <v>18</v>
      </c>
    </row>
    <row customHeight="1" ht="18.75">
      <c r="O63" s="1659"/>
      <c r="T63" s="2309"/>
      <c r="U63" s="2309"/>
      <c r="V63" s="2309"/>
      <c r="W63" s="2309"/>
      <c r="X63" s="2309"/>
      <c r="Y63" s="2309"/>
      <c r="Z63" s="2309"/>
      <c r="AA63" s="2309"/>
      <c r="AB63" s="2309"/>
      <c r="AC63" s="2309"/>
      <c r="AD63" s="2309"/>
      <c r="AE63" s="2309"/>
      <c r="AF63" s="2309"/>
      <c r="AG63" s="2309"/>
      <c r="AH63" s="2309"/>
      <c r="AI63" s="2309"/>
      <c r="AJ63" s="2309"/>
      <c r="AK63" s="2309"/>
      <c r="AL63" s="2309"/>
      <c r="AM63" s="2309"/>
      <c r="AS63" s="1655">
        <v>18</v>
      </c>
    </row>
    <row customHeight="1" ht="29.25">
      <c r="O64" s="1659"/>
      <c r="S64" s="1277"/>
      <c r="T64" s="2309"/>
      <c r="U64" s="2309"/>
      <c r="V64" s="2309"/>
      <c r="W64" s="2309"/>
      <c r="X64" s="2309"/>
      <c r="Y64" s="2309"/>
      <c r="Z64" s="2309"/>
      <c r="AA64" s="2309"/>
      <c r="AB64" s="2309"/>
      <c r="AC64" s="2309"/>
      <c r="AD64" s="2309"/>
      <c r="AE64" s="2309"/>
      <c r="AF64" s="2309"/>
      <c r="AG64" s="2309"/>
      <c r="AH64" s="2309"/>
      <c r="AI64" s="2309"/>
      <c r="AJ64" s="2309"/>
      <c r="AK64" s="2309"/>
      <c r="AL64" s="2309"/>
      <c r="AM64" s="2309"/>
      <c r="AS64" s="1655">
        <v>28</v>
      </c>
    </row>
    <row customHeight="1" ht="22.5" hidden="1">
      <c r="A65" s="1655" t="s">
        <v>82</v>
      </c>
      <c r="B65" s="1655">
        <v>0</v>
      </c>
      <c r="C65" s="1655">
        <v>0</v>
      </c>
      <c r="D65" s="1655">
        <v>0</v>
      </c>
      <c r="E65" s="1655">
        <v>0</v>
      </c>
      <c r="F65" s="1655">
        <v>0</v>
      </c>
      <c r="G65" s="1655">
        <v>0</v>
      </c>
      <c r="H65" s="1655">
        <v>0</v>
      </c>
      <c r="I65" s="1655">
        <v>0</v>
      </c>
      <c r="J65" s="1655">
        <v>0</v>
      </c>
      <c r="K65" s="1655">
        <v>0</v>
      </c>
      <c r="L65" s="1963">
        <v>0</v>
      </c>
      <c r="M65" s="1989">
        <v>0</v>
      </c>
      <c r="N65" s="1989">
        <v>0</v>
      </c>
      <c r="O65" s="1989">
        <v>0</v>
      </c>
      <c r="P65" s="1989">
        <v>3</v>
      </c>
      <c r="Q65" s="368">
        <v>3</v>
      </c>
      <c r="R65" s="368">
        <v>3</v>
      </c>
      <c r="S65" s="605">
        <v>12</v>
      </c>
      <c r="T65" s="1655">
        <v>31</v>
      </c>
      <c r="U65" s="1655">
        <v>0</v>
      </c>
      <c r="V65" s="1655">
        <v>0</v>
      </c>
      <c r="W65" s="1655">
        <v>0</v>
      </c>
      <c r="X65" s="1655">
        <v>0</v>
      </c>
      <c r="Y65" s="1655">
        <v>0</v>
      </c>
      <c r="Z65" s="1655">
        <v>0</v>
      </c>
      <c r="AA65" s="1655">
        <v>0</v>
      </c>
      <c r="AB65" s="1655">
        <v>0</v>
      </c>
      <c r="AC65" s="1655">
        <v>0</v>
      </c>
      <c r="AD65" s="1655">
        <v>24</v>
      </c>
      <c r="AE65" s="1655">
        <v>0</v>
      </c>
      <c r="AF65" s="1655">
        <v>24</v>
      </c>
      <c r="AG65" s="1655">
        <v>24</v>
      </c>
      <c r="AH65" s="1655">
        <v>11</v>
      </c>
      <c r="AI65" s="1655">
        <v>3</v>
      </c>
      <c r="AJ65" s="1655">
        <v>11</v>
      </c>
      <c r="AK65" s="1655">
        <v>0</v>
      </c>
      <c r="AL65" s="1655">
        <v>4</v>
      </c>
      <c r="AM65" s="1655">
        <v>115</v>
      </c>
      <c r="AN65" s="1660">
        <v>10</v>
      </c>
      <c r="AO65" s="1660">
        <v>10</v>
      </c>
      <c r="AP65" s="1660">
        <v>10</v>
      </c>
      <c r="AQ65" s="1660">
        <v>10</v>
      </c>
      <c r="AR65" s="1660">
        <v>10</v>
      </c>
      <c r="AS65" s="1655">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9A923A-176D-C9EC-216D-0.BD7EEB8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59" width="10.57421875" hidden="1"/>
    <col min="2" max="2" style="1659" width="11.00390625" hidden="1" customWidth="1"/>
    <col min="3" max="3" style="1659" width="10.57421875" hidden="1"/>
    <col min="4" max="4" style="1659" width="11.8515625" hidden="1" customWidth="1"/>
    <col min="5" max="5" style="1659" width="10.00390625" hidden="1" customWidth="1"/>
    <col min="6" max="6" style="1659" width="8.7109375" hidden="1" customWidth="1"/>
    <col min="7" max="7" style="1659" width="7.57421875" hidden="1" customWidth="1"/>
    <col min="8" max="8" style="1659" width="11.421875" hidden="1" customWidth="1"/>
    <col min="9" max="9" style="1659" width="12.00390625" hidden="1" customWidth="1"/>
    <col min="10" max="10" style="1659" width="9.8515625" hidden="1" customWidth="1"/>
    <col min="11" max="11" style="1659" width="11.421875" hidden="1" customWidth="1"/>
    <col min="12" max="12" style="2149" width="19.140625" hidden="1" customWidth="1"/>
    <col min="13" max="14" style="2421" width="12.28125" hidden="1" customWidth="1"/>
    <col min="15" max="15" style="2421" width="23.421875" hidden="1" customWidth="1"/>
    <col min="16" max="16" style="2421" width="3.00390625" customWidth="1"/>
    <col min="17" max="18" style="368" width="3.00390625" customWidth="1"/>
    <col min="19" max="19" style="2431" width="12.00390625" customWidth="1"/>
    <col min="20" max="20" style="1659" width="31.00390625" customWidth="1"/>
    <col min="21" max="21" style="1659" width="0.140625" customWidth="1"/>
    <col min="22" max="22" style="1659" width="24.7109375" hidden="1" customWidth="1"/>
    <col min="23" max="23" style="1659" width="0.140625" hidden="1" customWidth="1"/>
    <col min="24" max="25" style="1659" width="24.7109375" hidden="1" customWidth="1"/>
    <col min="26" max="26" style="1659" width="11.7109375" hidden="1" customWidth="1"/>
    <col min="27" max="27" style="1659" width="3.7109375" hidden="1" customWidth="1"/>
    <col min="28" max="28" style="1659" width="11.7109375" hidden="1" customWidth="1"/>
    <col min="29" max="29" style="1659" width="8.57421875" hidden="1" customWidth="1"/>
    <col min="30" max="30" style="1659" width="24.7109375" customWidth="1"/>
    <col min="31" max="31" style="1659" width="0.140625" customWidth="1"/>
    <col min="32" max="33" style="1659" width="24.00390625" customWidth="1"/>
    <col min="34" max="34" style="1659" width="11.00390625" customWidth="1"/>
    <col min="35" max="35" style="1659" width="3.7109375" customWidth="1"/>
    <col min="36" max="36" style="1659" width="11.00390625" customWidth="1"/>
    <col min="37" max="37" style="1659" width="8.57421875" hidden="1" customWidth="1"/>
    <col min="38" max="38" style="1659" width="4.00390625" customWidth="1"/>
    <col min="39" max="39" style="1659" width="115.00390625" customWidth="1"/>
    <col min="40" max="44" style="1666" width="10.00390625" customWidth="1"/>
    <col min="45" max="45" style="1659" width="10.57421875" hidden="1"/>
  </cols>
  <sheetData>
    <row customHeight="1" ht="22.5" hidden="1">
      <c r="AS1" s="1655" t="s">
        <v>14</v>
      </c>
    </row>
    <row customHeight="1" ht="21" hidden="1">
      <c r="A2" s="1291"/>
      <c r="B2" s="1291"/>
      <c r="C2" s="1291"/>
      <c r="D2" s="1291"/>
      <c r="E2" s="2313">
        <v>1</v>
      </c>
      <c r="F2" s="1291"/>
      <c r="G2" s="1291"/>
      <c r="H2" s="1291"/>
      <c r="I2" s="1291"/>
      <c r="J2" s="1291"/>
      <c r="K2" s="1291"/>
      <c r="L2" s="1334"/>
      <c r="M2" s="1634"/>
      <c r="N2" s="1634"/>
      <c r="O2" s="1634"/>
      <c r="P2" s="1614"/>
      <c r="Q2" s="384"/>
      <c r="R2" s="379"/>
      <c r="S2" s="1982">
        <f>INDEX(PT_DIFFERENTIATION_NUM_NTAR,MATCH(A2,PT_DIFFERENTIATION_NTAR_ID,0))</f>
      </c>
      <c r="T2" s="1549" t="s">
        <v>211</v>
      </c>
      <c r="U2" s="324"/>
      <c r="V2" s="2266"/>
      <c r="W2" s="2267"/>
      <c r="X2" s="2267"/>
      <c r="Y2" s="2267"/>
      <c r="Z2" s="2267"/>
      <c r="AA2" s="2267"/>
      <c r="AB2" s="2267"/>
      <c r="AC2" s="2268"/>
      <c r="AD2" s="2266">
        <f>INDEX(PT_DIFFERENTIATION_NTAR,MATCH(A2,PT_DIFFERENTIATION_NTAR_ID,0))</f>
      </c>
      <c r="AE2" s="2267"/>
      <c r="AF2" s="2267"/>
      <c r="AG2" s="2267"/>
      <c r="AH2" s="2267"/>
      <c r="AI2" s="2267"/>
      <c r="AJ2" s="2267"/>
      <c r="AK2" s="2267"/>
      <c r="AL2" s="2268"/>
      <c r="AM2" s="1282" t="s">
        <v>480</v>
      </c>
      <c r="AO2" s="1648"/>
      <c r="AP2" s="1648" t="str">
        <f>IF(T2="","",T2)</f>
        <v>Наименование тарифа</v>
      </c>
      <c r="AQ2" s="1648"/>
      <c r="AR2" s="1648"/>
      <c r="AS2" s="1655">
        <v>0</v>
      </c>
    </row>
    <row customHeight="1" ht="21" hidden="1">
      <c r="A3" s="1291"/>
      <c r="B3" s="1291"/>
      <c r="C3" s="1291"/>
      <c r="D3" s="1291"/>
      <c r="E3" s="2314"/>
      <c r="F3" s="2313">
        <v>1</v>
      </c>
      <c r="G3" s="1291"/>
      <c r="H3" s="1291"/>
      <c r="I3" s="1291"/>
      <c r="J3" s="1291"/>
      <c r="K3" s="1291"/>
      <c r="L3" s="1334"/>
      <c r="M3" s="1634"/>
      <c r="N3" s="1634"/>
      <c r="O3" s="1634"/>
      <c r="P3" s="1964"/>
      <c r="Q3" s="376"/>
      <c r="R3" s="377"/>
      <c r="S3" s="1982">
        <f>INDEX(PT_DIFFERENTIATION_NUM_TER,MATCH(B3,PT_DIFFERENTIATION_TER_ID,0))</f>
      </c>
      <c r="T3" s="1546" t="s">
        <v>481</v>
      </c>
      <c r="U3" s="324"/>
      <c r="V3" s="2266"/>
      <c r="W3" s="2267"/>
      <c r="X3" s="2267"/>
      <c r="Y3" s="2267"/>
      <c r="Z3" s="2267"/>
      <c r="AA3" s="2267"/>
      <c r="AB3" s="2267"/>
      <c r="AC3" s="2268"/>
      <c r="AD3" s="2266">
        <f>INDEX(PT_DIFFERENTIATION_TER,MATCH(B3,PT_DIFFERENTIATION_TER_ID,0))</f>
      </c>
      <c r="AE3" s="2267"/>
      <c r="AF3" s="2267"/>
      <c r="AG3" s="2267"/>
      <c r="AH3" s="2267"/>
      <c r="AI3" s="2267"/>
      <c r="AJ3" s="2267"/>
      <c r="AK3" s="2267"/>
      <c r="AL3" s="2268"/>
      <c r="AM3" s="1282" t="s">
        <v>482</v>
      </c>
      <c r="AO3" s="1648"/>
      <c r="AP3" s="1648" t="str">
        <f>IF(T3="","",T3)</f>
        <v>Территория действия тарифа</v>
      </c>
      <c r="AQ3" s="1648"/>
      <c r="AR3" s="1648"/>
      <c r="AS3" s="1655">
        <v>0</v>
      </c>
    </row>
    <row customHeight="1" ht="23.25" hidden="1">
      <c r="A4" s="1291"/>
      <c r="B4" s="1291"/>
      <c r="C4" s="1291"/>
      <c r="D4" s="1291"/>
      <c r="E4" s="2314"/>
      <c r="F4" s="2314"/>
      <c r="G4" s="2313">
        <v>1</v>
      </c>
      <c r="H4" s="1291"/>
      <c r="I4" s="1291"/>
      <c r="J4" s="1291"/>
      <c r="K4" s="1291"/>
      <c r="L4" s="1334"/>
      <c r="M4" s="1634"/>
      <c r="N4" s="1634"/>
      <c r="O4" s="1634"/>
      <c r="P4" s="378"/>
      <c r="Q4" s="376"/>
      <c r="R4" s="377"/>
      <c r="S4" s="1982">
        <f>INDEX(PT_DIFFERENTIATION_NUM_CS,MATCH(C4,PT_DIFFERENTIATION_CS_ID,0))</f>
      </c>
      <c r="T4" s="333" t="s">
        <v>483</v>
      </c>
      <c r="U4" s="324"/>
      <c r="V4" s="2266"/>
      <c r="W4" s="2267"/>
      <c r="X4" s="2267"/>
      <c r="Y4" s="2267"/>
      <c r="Z4" s="2267"/>
      <c r="AA4" s="2267"/>
      <c r="AB4" s="2267"/>
      <c r="AC4" s="2268"/>
      <c r="AD4" s="2266">
        <f>INDEX(PT_DIFFERENTIATION_CS,MATCH(C4,PT_DIFFERENTIATION_CS_ID,0))</f>
      </c>
      <c r="AE4" s="2267"/>
      <c r="AF4" s="2267"/>
      <c r="AG4" s="2267"/>
      <c r="AH4" s="2267"/>
      <c r="AI4" s="2267"/>
      <c r="AJ4" s="2267"/>
      <c r="AK4" s="2267"/>
      <c r="AL4" s="2268"/>
      <c r="AM4" s="1282" t="s">
        <v>484</v>
      </c>
      <c r="AO4" s="1648"/>
      <c r="AP4" s="1648" t="str">
        <f>IF(T4="","",T4)</f>
        <v>Наименование системы теплоснабжения </v>
      </c>
      <c r="AQ4" s="1648"/>
      <c r="AR4" s="1648"/>
      <c r="AS4" s="1655">
        <v>0</v>
      </c>
    </row>
    <row customHeight="1" ht="21" hidden="1">
      <c r="A5" s="1291"/>
      <c r="B5" s="1291"/>
      <c r="C5" s="1291"/>
      <c r="D5" s="1291"/>
      <c r="E5" s="2314"/>
      <c r="F5" s="2314"/>
      <c r="G5" s="2314"/>
      <c r="H5" s="2313">
        <v>1</v>
      </c>
      <c r="I5" s="1291"/>
      <c r="J5" s="1291"/>
      <c r="K5" s="1291"/>
      <c r="L5" s="1334"/>
      <c r="M5" s="1634"/>
      <c r="N5" s="1634"/>
      <c r="O5" s="1634"/>
      <c r="P5" s="378"/>
      <c r="Q5" s="376"/>
      <c r="R5" s="377"/>
      <c r="S5" s="1982">
        <f>INDEX(PT_DIFFERENTIATION_NUM_IST_TE,MATCH(D5,PT_DIFFERENTIATION_IST_TE_ID,0))</f>
      </c>
      <c r="T5" s="334" t="s">
        <v>485</v>
      </c>
      <c r="U5" s="324"/>
      <c r="V5" s="2266"/>
      <c r="W5" s="2267"/>
      <c r="X5" s="2267"/>
      <c r="Y5" s="2267"/>
      <c r="Z5" s="2267"/>
      <c r="AA5" s="2267"/>
      <c r="AB5" s="2267"/>
      <c r="AC5" s="2268"/>
      <c r="AD5" s="2266">
        <f>INDEX(PT_DIFFERENTIATION_IST_TE,MATCH(D5,PT_DIFFERENTIATION_IST_TE_ID,0))</f>
      </c>
      <c r="AE5" s="2267"/>
      <c r="AF5" s="2267"/>
      <c r="AG5" s="2267"/>
      <c r="AH5" s="2267"/>
      <c r="AI5" s="2267"/>
      <c r="AJ5" s="2267"/>
      <c r="AK5" s="2267"/>
      <c r="AL5" s="2268"/>
      <c r="AM5" s="1282" t="s">
        <v>486</v>
      </c>
      <c r="AO5" s="1648"/>
      <c r="AP5" s="1648" t="str">
        <f>IF(T5="","",T5)</f>
        <v>Источник тепловой энергии  </v>
      </c>
      <c r="AQ5" s="1648"/>
      <c r="AR5" s="1648"/>
      <c r="AS5" s="1655">
        <v>0</v>
      </c>
    </row>
    <row customHeight="1" ht="47.25" hidden="1">
      <c r="A6" s="1291"/>
      <c r="B6" s="1291"/>
      <c r="C6" s="1291"/>
      <c r="D6" s="1291"/>
      <c r="E6" s="2314"/>
      <c r="F6" s="2314"/>
      <c r="G6" s="2314"/>
      <c r="H6" s="2314"/>
      <c r="I6" s="2151">
        <f>S5&amp;".1"</f>
      </c>
      <c r="J6" s="1291"/>
      <c r="K6" s="1291"/>
      <c r="L6" s="1334" t="s">
        <v>487</v>
      </c>
      <c r="M6" s="1659"/>
      <c r="P6" s="2281">
        <v>1</v>
      </c>
      <c r="Q6" s="1978"/>
      <c r="R6" s="380"/>
      <c r="S6" s="1982">
        <f>$I6</f>
      </c>
      <c r="T6" s="309" t="s">
        <v>488</v>
      </c>
      <c r="U6" s="324"/>
      <c r="V6" s="2269"/>
      <c r="W6" s="2270"/>
      <c r="X6" s="2270"/>
      <c r="Y6" s="2270"/>
      <c r="Z6" s="2270"/>
      <c r="AA6" s="2270"/>
      <c r="AB6" s="2270"/>
      <c r="AC6" s="2271"/>
      <c r="AD6" s="2269"/>
      <c r="AE6" s="2270"/>
      <c r="AF6" s="2270"/>
      <c r="AG6" s="2270"/>
      <c r="AH6" s="2270"/>
      <c r="AI6" s="2270"/>
      <c r="AJ6" s="2270"/>
      <c r="AK6" s="2270"/>
      <c r="AL6" s="2271"/>
      <c r="AM6" s="1282" t="s">
        <v>489</v>
      </c>
      <c r="AO6" s="1648"/>
      <c r="AP6" s="1648" t="str">
        <f>IF(T6="","",T6)</f>
        <v>Схема подключения теплопотребляющей установки к коллектору источника тепловой энергии</v>
      </c>
      <c r="AQ6" s="1648"/>
      <c r="AR6" s="1648"/>
      <c r="AS6" s="1655">
        <v>0</v>
      </c>
    </row>
    <row customHeight="1" ht="21" hidden="1">
      <c r="A7" s="1291"/>
      <c r="B7" s="1291"/>
      <c r="C7" s="1291"/>
      <c r="D7" s="1291"/>
      <c r="E7" s="2314"/>
      <c r="F7" s="2314"/>
      <c r="G7" s="2314"/>
      <c r="H7" s="2314"/>
      <c r="I7" s="2125"/>
      <c r="J7" s="2151">
        <f>I6&amp;".1"</f>
      </c>
      <c r="K7" s="1291"/>
      <c r="L7" s="1334" t="s">
        <v>490</v>
      </c>
      <c r="M7" s="1659"/>
      <c r="N7" s="1655"/>
      <c r="P7" s="2281"/>
      <c r="Q7" s="2281">
        <v>1</v>
      </c>
      <c r="R7" s="381"/>
      <c r="S7" s="1982">
        <f>$J7</f>
      </c>
      <c r="T7" s="310" t="s">
        <v>491</v>
      </c>
      <c r="U7" s="324"/>
      <c r="V7" s="2269"/>
      <c r="W7" s="2270"/>
      <c r="X7" s="2270"/>
      <c r="Y7" s="2270"/>
      <c r="Z7" s="2270"/>
      <c r="AA7" s="2270"/>
      <c r="AB7" s="2270"/>
      <c r="AC7" s="2271"/>
      <c r="AD7" s="2269"/>
      <c r="AE7" s="2270"/>
      <c r="AF7" s="2270"/>
      <c r="AG7" s="2270"/>
      <c r="AH7" s="2270"/>
      <c r="AI7" s="2270"/>
      <c r="AJ7" s="2270"/>
      <c r="AK7" s="2270"/>
      <c r="AL7" s="2271"/>
      <c r="AM7" s="1282" t="s">
        <v>492</v>
      </c>
      <c r="AO7" s="1648"/>
      <c r="AP7" s="1648" t="str">
        <f>IF(T7="","",T7)</f>
        <v>Группа потребителей</v>
      </c>
      <c r="AQ7" s="1648"/>
      <c r="AR7" s="1648"/>
      <c r="AS7" s="1655">
        <v>0</v>
      </c>
    </row>
    <row customHeight="1" ht="21" hidden="1">
      <c r="A8" s="1291"/>
      <c r="B8" s="1291"/>
      <c r="C8" s="1291"/>
      <c r="D8" s="1291"/>
      <c r="E8" s="2314"/>
      <c r="F8" s="2314"/>
      <c r="G8" s="2314"/>
      <c r="H8" s="2314"/>
      <c r="I8" s="2125"/>
      <c r="J8" s="2125"/>
      <c r="K8" s="2151">
        <f>J7&amp;".1"</f>
      </c>
      <c r="L8" s="1334" t="s">
        <v>493</v>
      </c>
      <c r="M8" s="1659"/>
      <c r="N8" s="1655"/>
      <c r="O8" s="1655"/>
      <c r="P8" s="2281"/>
      <c r="Q8" s="2281"/>
      <c r="R8" s="381">
        <v>1</v>
      </c>
      <c r="S8" s="1982">
        <f>$K8</f>
      </c>
      <c r="T8" s="1371"/>
      <c r="U8" s="324"/>
      <c r="V8" s="775"/>
      <c r="W8" s="349"/>
      <c r="X8" s="775"/>
      <c r="Y8" s="1281"/>
      <c r="Z8" s="2289"/>
      <c r="AA8" s="2131" t="s">
        <v>66</v>
      </c>
      <c r="AB8" s="2289"/>
      <c r="AC8" s="2131" t="s">
        <v>66</v>
      </c>
      <c r="AD8" s="775"/>
      <c r="AE8" s="349"/>
      <c r="AF8" s="775"/>
      <c r="AG8" s="1281"/>
      <c r="AH8" s="2289"/>
      <c r="AI8" s="2131" t="s">
        <v>66</v>
      </c>
      <c r="AJ8" s="2289"/>
      <c r="AK8" s="2131" t="s">
        <v>66</v>
      </c>
      <c r="AL8" s="349"/>
      <c r="AM8" s="2277" t="s">
        <v>494</v>
      </c>
      <c r="AN8" s="1660">
        <f>STRCHECKDATE(V9:AL9)</f>
      </c>
      <c r="AO8" s="1648"/>
      <c r="AP8" s="1648" t="str">
        <f>IF(T8="","",T8)</f>
        <v/>
      </c>
      <c r="AQ8" s="1648"/>
      <c r="AR8" s="1648"/>
      <c r="AS8" s="1655">
        <v>0</v>
      </c>
    </row>
    <row customHeight="1" ht="0.75" hidden="1">
      <c r="A9" s="1291"/>
      <c r="B9" s="1291"/>
      <c r="C9" s="1291"/>
      <c r="D9" s="1291"/>
      <c r="E9" s="2314"/>
      <c r="F9" s="2314"/>
      <c r="G9" s="2314"/>
      <c r="H9" s="2314"/>
      <c r="I9" s="2125"/>
      <c r="J9" s="2125"/>
      <c r="K9" s="2151"/>
      <c r="L9" s="1334"/>
      <c r="M9" s="1659"/>
      <c r="N9" s="1655"/>
      <c r="O9" s="1655"/>
      <c r="P9" s="2281"/>
      <c r="Q9" s="2281"/>
      <c r="R9" s="381"/>
      <c r="S9" s="1991"/>
      <c r="T9" s="324"/>
      <c r="U9" s="324"/>
      <c r="V9" s="349"/>
      <c r="W9" s="349"/>
      <c r="X9" s="349"/>
      <c r="Y9" s="352" t="str">
        <f>Z8&amp;"-"&amp;AB8</f>
        <v>-</v>
      </c>
      <c r="Z9" s="2290"/>
      <c r="AA9" s="2131"/>
      <c r="AB9" s="2290"/>
      <c r="AC9" s="2131"/>
      <c r="AD9" s="349"/>
      <c r="AE9" s="349"/>
      <c r="AF9" s="349"/>
      <c r="AG9" s="352" t="str">
        <f>AH8&amp;"-"&amp;AJ8</f>
        <v>-</v>
      </c>
      <c r="AH9" s="2290"/>
      <c r="AI9" s="2131"/>
      <c r="AJ9" s="2290"/>
      <c r="AK9" s="2131"/>
      <c r="AL9" s="349"/>
      <c r="AM9" s="2278"/>
      <c r="AO9" s="1648"/>
      <c r="AP9" s="1648" t="str">
        <f>IF(T9="","",T9)</f>
        <v/>
      </c>
      <c r="AQ9" s="1648"/>
      <c r="AR9" s="1648"/>
      <c r="AS9" s="1655">
        <v>0</v>
      </c>
    </row>
    <row customHeight="1" ht="15" hidden="1">
      <c r="A10" s="1291"/>
      <c r="B10" s="1291"/>
      <c r="C10" s="1291"/>
      <c r="D10" s="1291"/>
      <c r="E10" s="2314"/>
      <c r="F10" s="2314"/>
      <c r="G10" s="2314"/>
      <c r="H10" s="2314"/>
      <c r="I10" s="2125"/>
      <c r="J10" s="2151"/>
      <c r="K10" s="1291"/>
      <c r="L10" s="1334"/>
      <c r="M10" s="1659"/>
      <c r="N10" s="1655"/>
      <c r="P10" s="2281"/>
      <c r="Q10" s="2281"/>
      <c r="R10" s="380"/>
      <c r="S10" s="1302"/>
      <c r="T10" s="312" t="s">
        <v>495</v>
      </c>
      <c r="U10" s="624"/>
      <c r="V10" s="624"/>
      <c r="W10" s="624"/>
      <c r="X10" s="624"/>
      <c r="Y10" s="624"/>
      <c r="Z10" s="624"/>
      <c r="AA10" s="624"/>
      <c r="AB10" s="624"/>
      <c r="AC10" s="624"/>
      <c r="AD10" s="624"/>
      <c r="AE10" s="624"/>
      <c r="AF10" s="624"/>
      <c r="AG10" s="624"/>
      <c r="AH10" s="624"/>
      <c r="AI10" s="624"/>
      <c r="AJ10" s="624"/>
      <c r="AK10" s="624"/>
      <c r="AL10" s="348"/>
      <c r="AM10" s="2279"/>
      <c r="AO10" s="1648"/>
      <c r="AP10" s="1648" t="str">
        <f>IF(T10="","",T10)</f>
        <v>Добавить вид теплоносителя (параметры теплоносителя)</v>
      </c>
      <c r="AQ10" s="1648"/>
      <c r="AR10" s="1648"/>
      <c r="AS10" s="1655">
        <v>0</v>
      </c>
    </row>
    <row customHeight="1" ht="15" hidden="1">
      <c r="A11" s="1291"/>
      <c r="B11" s="1291"/>
      <c r="C11" s="1291"/>
      <c r="D11" s="1291"/>
      <c r="E11" s="2314"/>
      <c r="F11" s="2314"/>
      <c r="G11" s="2314"/>
      <c r="H11" s="2314"/>
      <c r="I11" s="2151"/>
      <c r="J11" s="1291"/>
      <c r="K11" s="1291"/>
      <c r="L11" s="1334"/>
      <c r="M11" s="1659"/>
      <c r="P11" s="2281"/>
      <c r="Q11" s="1978"/>
      <c r="R11" s="380"/>
      <c r="S11" s="1302"/>
      <c r="T11" s="311" t="s">
        <v>496</v>
      </c>
      <c r="U11" s="624"/>
      <c r="V11" s="624"/>
      <c r="W11" s="624"/>
      <c r="X11" s="624"/>
      <c r="Y11" s="624"/>
      <c r="Z11" s="624"/>
      <c r="AA11" s="624"/>
      <c r="AB11" s="624"/>
      <c r="AC11" s="390"/>
      <c r="AD11" s="624"/>
      <c r="AE11" s="624"/>
      <c r="AF11" s="624"/>
      <c r="AG11" s="624"/>
      <c r="AH11" s="624"/>
      <c r="AI11" s="624"/>
      <c r="AJ11" s="624"/>
      <c r="AK11" s="390"/>
      <c r="AL11" s="624"/>
      <c r="AM11" s="327"/>
      <c r="AO11" s="1648"/>
      <c r="AP11" s="1648" t="str">
        <f>IF(T11="","",T11)</f>
        <v>Добавить группу потребителей</v>
      </c>
      <c r="AQ11" s="1648"/>
      <c r="AR11" s="1648"/>
      <c r="AS11" s="1655">
        <v>0</v>
      </c>
    </row>
    <row customHeight="1" ht="14.25" hidden="1">
      <c r="A12" s="1291"/>
      <c r="B12" s="1291"/>
      <c r="C12" s="1291"/>
      <c r="D12" s="1291"/>
      <c r="E12" s="2314"/>
      <c r="F12" s="2314"/>
      <c r="G12" s="2314"/>
      <c r="H12" s="2313"/>
      <c r="I12" s="1291"/>
      <c r="J12" s="1291"/>
      <c r="K12" s="1291"/>
      <c r="L12" s="1334"/>
      <c r="M12" s="1634"/>
      <c r="N12" s="1634"/>
      <c r="O12" s="1659"/>
      <c r="P12" s="384"/>
      <c r="Q12" s="399"/>
      <c r="R12" s="379"/>
      <c r="S12" s="1302"/>
      <c r="T12" s="389" t="s">
        <v>497</v>
      </c>
      <c r="U12" s="624"/>
      <c r="V12" s="624"/>
      <c r="W12" s="624"/>
      <c r="X12" s="624"/>
      <c r="Y12" s="624"/>
      <c r="Z12" s="624"/>
      <c r="AA12" s="624"/>
      <c r="AB12" s="624"/>
      <c r="AC12" s="390"/>
      <c r="AD12" s="624"/>
      <c r="AE12" s="624"/>
      <c r="AF12" s="624"/>
      <c r="AG12" s="624"/>
      <c r="AH12" s="624"/>
      <c r="AI12" s="624"/>
      <c r="AJ12" s="624"/>
      <c r="AK12" s="390"/>
      <c r="AL12" s="624"/>
      <c r="AM12" s="327"/>
      <c r="AO12" s="1648"/>
      <c r="AP12" s="1648" t="str">
        <f>IF(T12="","",T12)</f>
        <v>Добавить схему подключения</v>
      </c>
      <c r="AQ12" s="1648"/>
      <c r="AR12" s="1648"/>
      <c r="AS12" s="1655">
        <v>0</v>
      </c>
    </row>
    <row s="1666" customFormat="1" customHeight="1" ht="0.75" hidden="1">
      <c r="A13" s="1998"/>
      <c r="B13" s="1998"/>
      <c r="C13" s="1998"/>
      <c r="D13" s="1998"/>
      <c r="E13" s="2314"/>
      <c r="F13" s="2314"/>
      <c r="G13" s="2313"/>
      <c r="H13" s="1998"/>
      <c r="I13" s="1998"/>
      <c r="J13" s="1998"/>
      <c r="K13" s="1998"/>
      <c r="L13" s="1404"/>
      <c r="M13" s="1634"/>
      <c r="N13" s="1634"/>
      <c r="O13" s="1659"/>
      <c r="P13" s="1340"/>
      <c r="Q13" s="1341"/>
      <c r="R13" s="1340"/>
      <c r="S13" s="1342"/>
      <c r="T13" s="1343" t="s">
        <v>498</v>
      </c>
      <c r="U13" s="1344"/>
      <c r="V13" s="1344"/>
      <c r="W13" s="1344"/>
      <c r="X13" s="1344"/>
      <c r="Y13" s="1344"/>
      <c r="Z13" s="1344"/>
      <c r="AA13" s="1344"/>
      <c r="AB13" s="1344"/>
      <c r="AC13" s="1344"/>
      <c r="AD13" s="1344"/>
      <c r="AE13" s="1344"/>
      <c r="AF13" s="1344"/>
      <c r="AG13" s="1344"/>
      <c r="AH13" s="1344"/>
      <c r="AI13" s="1344"/>
      <c r="AJ13" s="1344"/>
      <c r="AK13" s="1344"/>
      <c r="AL13" s="1344"/>
      <c r="AM13" s="1344"/>
      <c r="AO13" s="1275"/>
      <c r="AP13" s="1275" t="str">
        <f>IF(T13="","",T13)</f>
        <v>Добавить источник для дифференциации</v>
      </c>
      <c r="AQ13" s="1275"/>
      <c r="AR13" s="1275"/>
      <c r="AS13" s="1666">
        <v>0</v>
      </c>
    </row>
    <row s="1666" customFormat="1" customHeight="1" ht="0.75" hidden="1">
      <c r="A14" s="1998"/>
      <c r="B14" s="1998"/>
      <c r="C14" s="1998"/>
      <c r="D14" s="1998"/>
      <c r="E14" s="2314"/>
      <c r="F14" s="2313"/>
      <c r="G14" s="1998"/>
      <c r="H14" s="1998"/>
      <c r="I14" s="1998"/>
      <c r="J14" s="1998"/>
      <c r="K14" s="1998"/>
      <c r="L14" s="1404"/>
      <c r="M14" s="1999"/>
      <c r="N14" s="1999"/>
      <c r="O14" s="1659"/>
      <c r="P14" s="1340"/>
      <c r="Q14" s="1341"/>
      <c r="R14" s="1340"/>
      <c r="S14" s="1346"/>
      <c r="T14" s="1347" t="s">
        <v>499</v>
      </c>
      <c r="U14" s="1348"/>
      <c r="V14" s="1348"/>
      <c r="W14" s="1348"/>
      <c r="X14" s="1348"/>
      <c r="Y14" s="1348"/>
      <c r="Z14" s="1348"/>
      <c r="AA14" s="1348"/>
      <c r="AB14" s="1348"/>
      <c r="AC14" s="1348"/>
      <c r="AD14" s="1348"/>
      <c r="AE14" s="1348"/>
      <c r="AF14" s="1348"/>
      <c r="AG14" s="1348"/>
      <c r="AH14" s="1348"/>
      <c r="AI14" s="1348"/>
      <c r="AJ14" s="1348"/>
      <c r="AK14" s="1348"/>
      <c r="AL14" s="1348"/>
      <c r="AM14" s="1348"/>
      <c r="AO14" s="1275"/>
      <c r="AP14" s="1275" t="str">
        <f>IF(T14="","",T14)</f>
        <v>Добавить централизованную систему для дифференциации</v>
      </c>
      <c r="AQ14" s="1275"/>
      <c r="AR14" s="1275"/>
      <c r="AS14" s="1666">
        <v>0</v>
      </c>
    </row>
    <row s="1666" customFormat="1" customHeight="1" ht="0.75" hidden="1">
      <c r="A15" s="1998"/>
      <c r="B15" s="1998"/>
      <c r="C15" s="1998"/>
      <c r="D15" s="1998"/>
      <c r="E15" s="2313"/>
      <c r="F15" s="1998"/>
      <c r="G15" s="1998"/>
      <c r="H15" s="1998"/>
      <c r="I15" s="1998"/>
      <c r="J15" s="1998"/>
      <c r="K15" s="1998"/>
      <c r="L15" s="1404"/>
      <c r="M15" s="1999"/>
      <c r="N15" s="1999"/>
      <c r="O15" s="1659"/>
      <c r="P15" s="1340"/>
      <c r="Q15" s="1341"/>
      <c r="R15" s="1340"/>
      <c r="S15" s="1346"/>
      <c r="T15" s="1349" t="s">
        <v>500</v>
      </c>
      <c r="U15" s="1348"/>
      <c r="V15" s="1348"/>
      <c r="W15" s="1348"/>
      <c r="X15" s="1348"/>
      <c r="Y15" s="1348"/>
      <c r="Z15" s="1348"/>
      <c r="AA15" s="1348"/>
      <c r="AB15" s="1348"/>
      <c r="AC15" s="1348"/>
      <c r="AD15" s="1348"/>
      <c r="AE15" s="1348"/>
      <c r="AF15" s="1348"/>
      <c r="AG15" s="1348"/>
      <c r="AH15" s="1348"/>
      <c r="AI15" s="1348"/>
      <c r="AJ15" s="1348"/>
      <c r="AK15" s="1348"/>
      <c r="AL15" s="1348"/>
      <c r="AM15" s="1348"/>
      <c r="AO15" s="1275"/>
      <c r="AP15" s="1275" t="str">
        <f>IF(T15="","",T15)</f>
        <v>Добавить территорию для дифференциации</v>
      </c>
      <c r="AQ15" s="1275"/>
      <c r="AR15" s="1275"/>
      <c r="AS15" s="1666">
        <v>0</v>
      </c>
    </row>
    <row customHeight="1" ht="14.25" hidden="1">
      <c r="AS16" s="1655">
        <v>0</v>
      </c>
    </row>
    <row customHeight="1" ht="14.25" hidden="1">
      <c r="AD17" s="1384"/>
      <c r="AE17" s="1384"/>
      <c r="AF17" s="1384"/>
      <c r="AG17" s="1385"/>
      <c r="AH17" s="2291"/>
      <c r="AI17" s="2292" t="s">
        <v>66</v>
      </c>
      <c r="AJ17" s="2291"/>
      <c r="AK17" s="2292" t="s">
        <v>66</v>
      </c>
      <c r="AS17" s="1655">
        <v>0</v>
      </c>
    </row>
    <row customHeight="1" ht="14.25" hidden="1">
      <c r="AD18" s="1384"/>
      <c r="AE18" s="1384"/>
      <c r="AF18" s="1384"/>
      <c r="AG18" s="352" t="str">
        <f>AH17&amp;"-"&amp;AJ17</f>
        <v>-</v>
      </c>
      <c r="AH18" s="2292"/>
      <c r="AI18" s="2292"/>
      <c r="AJ18" s="2292"/>
      <c r="AK18" s="2292"/>
      <c r="AS18" s="1655">
        <v>0</v>
      </c>
    </row>
    <row customHeight="1" ht="14.25" hidden="1">
      <c r="AS19" s="1655">
        <v>0</v>
      </c>
    </row>
    <row s="1390" customFormat="1" customHeight="1" ht="14.25" hidden="1">
      <c r="A20" s="1655"/>
      <c r="B20" s="1655"/>
      <c r="C20" s="1655"/>
      <c r="D20" s="1655"/>
      <c r="E20" s="1655"/>
      <c r="F20" s="1655"/>
      <c r="G20" s="1655"/>
      <c r="H20" s="1655"/>
      <c r="I20" s="1655"/>
      <c r="J20" s="1655"/>
      <c r="K20" s="1655"/>
      <c r="L20" s="1963"/>
      <c r="M20" s="1989"/>
      <c r="N20" s="1989"/>
      <c r="O20" s="1369" t="s">
        <v>501</v>
      </c>
      <c r="P20" s="1386"/>
      <c r="Q20" s="1395"/>
      <c r="R20" s="1395"/>
      <c r="S20" s="753"/>
      <c r="Z20" s="1391"/>
      <c r="AB20" s="1391"/>
      <c r="AH20" s="1391"/>
      <c r="AJ20" s="1391"/>
      <c r="AN20" s="1660"/>
      <c r="AO20" s="1660"/>
      <c r="AP20" s="1660"/>
      <c r="AQ20" s="1660"/>
      <c r="AR20" s="1660"/>
      <c r="AS20" s="1390">
        <v>0</v>
      </c>
    </row>
    <row s="1390" customFormat="1" customHeight="1" ht="14.25" hidden="1">
      <c r="A21" s="1655"/>
      <c r="B21" s="1655"/>
      <c r="C21" s="1655"/>
      <c r="D21" s="1655"/>
      <c r="E21" s="1655"/>
      <c r="F21" s="1655"/>
      <c r="G21" s="1655"/>
      <c r="H21" s="1655"/>
      <c r="I21" s="1655"/>
      <c r="J21" s="1655"/>
      <c r="K21" s="1655"/>
      <c r="L21" s="1963"/>
      <c r="M21" s="1989"/>
      <c r="N21" s="1989"/>
      <c r="O21" s="1989"/>
      <c r="P21" s="1386"/>
      <c r="Q21" s="1395"/>
      <c r="R21" s="1395"/>
      <c r="S21" s="753"/>
      <c r="AN21" s="1660"/>
      <c r="AO21" s="1660"/>
      <c r="AP21" s="1660"/>
      <c r="AQ21" s="1660"/>
      <c r="AR21" s="1660"/>
      <c r="AS21" s="1390">
        <v>0</v>
      </c>
    </row>
    <row s="1390" customFormat="1" customHeight="1" ht="14.25" hidden="1">
      <c r="A22" s="1655"/>
      <c r="B22" s="1655"/>
      <c r="C22" s="1655"/>
      <c r="D22" s="1655"/>
      <c r="E22" s="1655"/>
      <c r="F22" s="1655"/>
      <c r="G22" s="1655"/>
      <c r="H22" s="1655"/>
      <c r="I22" s="1655"/>
      <c r="J22" s="1655"/>
      <c r="K22" s="1655"/>
      <c r="L22" s="1963"/>
      <c r="M22" s="1989"/>
      <c r="N22" s="1989"/>
      <c r="O22" s="1334" t="s">
        <v>502</v>
      </c>
      <c r="P22" s="1386"/>
      <c r="Q22" s="1395"/>
      <c r="R22" s="1395"/>
      <c r="S22" s="753"/>
      <c r="T22" s="1390" t="s">
        <v>503</v>
      </c>
      <c r="AA22" s="619" t="s">
        <v>504</v>
      </c>
      <c r="AC22" s="619" t="s">
        <v>505</v>
      </c>
      <c r="AD22" s="1390" t="s">
        <v>503</v>
      </c>
      <c r="AI22" s="619" t="s">
        <v>506</v>
      </c>
      <c r="AK22" s="619" t="s">
        <v>505</v>
      </c>
      <c r="AN22" s="1660"/>
      <c r="AO22" s="1660"/>
      <c r="AP22" s="1660"/>
      <c r="AQ22" s="1660"/>
      <c r="AR22" s="1660"/>
      <c r="AS22" s="1390">
        <v>0</v>
      </c>
    </row>
    <row customHeight="1" ht="14.25" hidden="1">
      <c r="O23" s="1334"/>
      <c r="AS23" s="1655">
        <v>0</v>
      </c>
    </row>
    <row customHeight="1" ht="14.25" hidden="1">
      <c r="O24" s="1334"/>
      <c r="AS24" s="1655">
        <v>0</v>
      </c>
    </row>
    <row customHeight="1" ht="14.699999999999998">
      <c r="Q25" s="400"/>
      <c r="R25" s="400"/>
      <c r="S25" s="1299"/>
      <c r="T25" s="481"/>
      <c r="U25" s="481"/>
      <c r="V25" s="1659"/>
      <c r="W25" s="1659"/>
      <c r="X25" s="1659"/>
      <c r="Y25" s="1659"/>
      <c r="Z25" s="1659"/>
      <c r="AA25" s="1659"/>
      <c r="AB25" s="1659"/>
      <c r="AC25" s="1659"/>
      <c r="AD25" s="1659"/>
      <c r="AE25" s="1659"/>
      <c r="AF25" s="1659"/>
      <c r="AG25" s="1659"/>
      <c r="AH25" s="1659"/>
      <c r="AI25" s="1659"/>
      <c r="AJ25" s="1659"/>
      <c r="AK25" s="1659"/>
      <c r="AS25" s="1655">
        <v>14</v>
      </c>
    </row>
    <row customHeight="1" ht="14.699999999999998">
      <c r="Q26" s="400"/>
      <c r="R26" s="400"/>
      <c r="S26" s="22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2"/>
      <c r="U26" s="2272"/>
      <c r="V26" s="2272"/>
      <c r="W26" s="2272"/>
      <c r="X26" s="2272"/>
      <c r="Y26" s="2272"/>
      <c r="Z26" s="2272"/>
      <c r="AA26" s="2272"/>
      <c r="AB26" s="2272"/>
      <c r="AC26" s="2272"/>
      <c r="AD26" s="2272"/>
      <c r="AE26" s="2272"/>
      <c r="AF26" s="2272"/>
      <c r="AG26" s="2272"/>
      <c r="AH26" s="2272"/>
      <c r="AI26" s="2272"/>
      <c r="AJ26" s="2272"/>
      <c r="AK26" s="1267"/>
      <c r="AS26" s="1655">
        <v>14</v>
      </c>
    </row>
    <row customHeight="1" ht="14.699999999999998">
      <c r="Q27" s="400"/>
      <c r="R27" s="400"/>
      <c r="S27" s="2273" t="str">
        <f>IF(org=0,"Не определено",org)</f>
        <v>АО "ДГК"</v>
      </c>
      <c r="T27" s="2273"/>
      <c r="U27" s="2273"/>
      <c r="V27" s="2273"/>
      <c r="W27" s="2273"/>
      <c r="X27" s="2273"/>
      <c r="Y27" s="2273"/>
      <c r="Z27" s="2273"/>
      <c r="AA27" s="2273"/>
      <c r="AB27" s="2273"/>
      <c r="AC27" s="2273"/>
      <c r="AD27" s="2273"/>
      <c r="AE27" s="2273"/>
      <c r="AF27" s="2273"/>
      <c r="AG27" s="2273"/>
      <c r="AH27" s="2273"/>
      <c r="AI27" s="2273"/>
      <c r="AJ27" s="2273"/>
      <c r="AK27" s="1267"/>
      <c r="AS27" s="1655">
        <v>14</v>
      </c>
    </row>
    <row customHeight="1" ht="14.25" hidden="1">
      <c r="Q28" s="400"/>
      <c r="R28" s="400"/>
      <c r="S28" s="1299"/>
      <c r="T28" s="481"/>
      <c r="U28" s="481"/>
      <c r="V28" s="346"/>
      <c r="W28" s="346"/>
      <c r="X28" s="346"/>
      <c r="Y28" s="346"/>
      <c r="Z28" s="346"/>
      <c r="AA28" s="346"/>
      <c r="AB28" s="346"/>
      <c r="AC28" s="346"/>
      <c r="AD28" s="346"/>
      <c r="AE28" s="346"/>
      <c r="AF28" s="346"/>
      <c r="AG28" s="346"/>
      <c r="AH28" s="346"/>
      <c r="AI28" s="346"/>
      <c r="AJ28" s="346"/>
      <c r="AK28" s="346"/>
      <c r="AL28" s="1659"/>
      <c r="AS28" s="1655">
        <v>0</v>
      </c>
    </row>
    <row s="1877" customFormat="1" customHeight="1" ht="25.5" hidden="1">
      <c r="A29" s="1272"/>
      <c r="B29" s="1272"/>
      <c r="C29" s="1272"/>
      <c r="D29" s="1272"/>
      <c r="E29" s="1272"/>
      <c r="F29" s="1272"/>
      <c r="G29" s="1272"/>
      <c r="H29" s="1272"/>
      <c r="I29" s="1272"/>
      <c r="J29" s="1272"/>
      <c r="K29" s="1272"/>
      <c r="L29" s="1404"/>
      <c r="M29" s="1272"/>
      <c r="N29" s="1272"/>
      <c r="O29" s="1272"/>
      <c r="S29" s="2274" t="s">
        <v>42</v>
      </c>
      <c r="T29" s="2274"/>
      <c r="U29" s="1396"/>
      <c r="V29" s="2275" t="str">
        <f>IF(TITLE_NAME_OR_PR_CHANGE="",IF(TITLE_NAME_OR_PR="","",TITLE_NAME_OR_PR),TITLE_NAME_OR_PR_CHANGE)</f>
        <v/>
      </c>
      <c r="W29" s="2275"/>
      <c r="X29" s="2275"/>
      <c r="Y29" s="2275"/>
      <c r="Z29" s="2275"/>
      <c r="AA29" s="2275"/>
      <c r="AB29" s="2275"/>
      <c r="AC29" s="1659"/>
      <c r="AD29" s="2275" t="str">
        <f>IF(TITLE_NAME_OR_PR_CHANGE="",IF(TITLE_NAME_OR_PR="","",TITLE_NAME_OR_PR),TITLE_NAME_OR_PR_CHANGE)</f>
        <v/>
      </c>
      <c r="AE29" s="2275"/>
      <c r="AF29" s="2275"/>
      <c r="AG29" s="2275"/>
      <c r="AH29" s="2275"/>
      <c r="AI29" s="2275"/>
      <c r="AJ29" s="2275"/>
      <c r="AK29" s="1659"/>
      <c r="AL29" s="1659"/>
      <c r="AM29" s="304"/>
      <c r="AN29" s="392"/>
      <c r="AO29" s="392"/>
      <c r="AP29" s="392"/>
      <c r="AQ29" s="392"/>
      <c r="AR29" s="392"/>
      <c r="AS29" s="442">
        <v>0</v>
      </c>
    </row>
    <row s="1877" customFormat="1" customHeight="1" ht="18.75" hidden="1">
      <c r="A30" s="1272"/>
      <c r="B30" s="1272"/>
      <c r="C30" s="1272"/>
      <c r="D30" s="1272"/>
      <c r="E30" s="1272"/>
      <c r="F30" s="1272"/>
      <c r="G30" s="1272"/>
      <c r="H30" s="1272"/>
      <c r="I30" s="1272"/>
      <c r="J30" s="1272"/>
      <c r="K30" s="1272"/>
      <c r="L30" s="1404"/>
      <c r="M30" s="1272"/>
      <c r="N30" s="1272"/>
      <c r="O30" s="1272"/>
      <c r="S30" s="2274" t="s">
        <v>507</v>
      </c>
      <c r="T30" s="2274"/>
      <c r="U30" s="1396"/>
      <c r="V30" s="2288" t="str">
        <f>IF(TITLE_DATE_PR_CHANGE="",IF(TITLE_DATE_PR="","",TITLE_DATE_PR),TITLE_DATE_PR_CHANGE)</f>
        <v/>
      </c>
      <c r="W30" s="2288"/>
      <c r="X30" s="2288"/>
      <c r="Y30" s="2288"/>
      <c r="Z30" s="2288"/>
      <c r="AA30" s="2288"/>
      <c r="AB30" s="2288"/>
      <c r="AC30" s="1659"/>
      <c r="AD30" s="2288" t="str">
        <f>IF(TITLE_DATE_PR_CHANGE="",IF(TITLE_DATE_PR="","",TITLE_DATE_PR),TITLE_DATE_PR_CHANGE)</f>
        <v/>
      </c>
      <c r="AE30" s="2288"/>
      <c r="AF30" s="2288"/>
      <c r="AG30" s="2288"/>
      <c r="AH30" s="2288"/>
      <c r="AI30" s="2288"/>
      <c r="AJ30" s="2288"/>
      <c r="AK30" s="1659"/>
      <c r="AL30" s="1659"/>
      <c r="AM30" s="304"/>
      <c r="AN30" s="392"/>
      <c r="AO30" s="392"/>
      <c r="AP30" s="392"/>
      <c r="AQ30" s="392"/>
      <c r="AR30" s="392"/>
      <c r="AS30" s="442">
        <v>0</v>
      </c>
    </row>
    <row s="1877" customFormat="1" customHeight="1" ht="18.75" hidden="1">
      <c r="A31" s="1272"/>
      <c r="B31" s="1272"/>
      <c r="C31" s="1272"/>
      <c r="D31" s="1272"/>
      <c r="E31" s="1272"/>
      <c r="F31" s="1272"/>
      <c r="G31" s="1272"/>
      <c r="H31" s="1272"/>
      <c r="I31" s="1272"/>
      <c r="J31" s="1272"/>
      <c r="K31" s="1272"/>
      <c r="L31" s="1404"/>
      <c r="M31" s="1272"/>
      <c r="N31" s="1272"/>
      <c r="O31" s="1272"/>
      <c r="S31" s="2274" t="s">
        <v>508</v>
      </c>
      <c r="T31" s="2274"/>
      <c r="U31" s="1396"/>
      <c r="V31" s="2275" t="str">
        <f>IF(TITLE_NUMBER_PR_CHANGE="",IF(TITLE_NUMBER_PR="","",TITLE_NUMBER_PR),TITLE_NUMBER_PR_CHANGE)</f>
        <v/>
      </c>
      <c r="W31" s="2275"/>
      <c r="X31" s="2275"/>
      <c r="Y31" s="2275"/>
      <c r="Z31" s="2275"/>
      <c r="AA31" s="2275"/>
      <c r="AB31" s="2275"/>
      <c r="AC31" s="1659"/>
      <c r="AD31" s="2275" t="str">
        <f>IF(TITLE_NUMBER_PR_CHANGE="",IF(TITLE_NUMBER_PR="","",TITLE_NUMBER_PR),TITLE_NUMBER_PR_CHANGE)</f>
        <v/>
      </c>
      <c r="AE31" s="2275"/>
      <c r="AF31" s="2275"/>
      <c r="AG31" s="2275"/>
      <c r="AH31" s="2275"/>
      <c r="AI31" s="2275"/>
      <c r="AJ31" s="2275"/>
      <c r="AK31" s="1659"/>
      <c r="AL31" s="1659"/>
      <c r="AM31" s="304"/>
      <c r="AN31" s="392"/>
      <c r="AO31" s="392"/>
      <c r="AP31" s="392"/>
      <c r="AQ31" s="392"/>
      <c r="AR31" s="392"/>
      <c r="AS31" s="442">
        <v>0</v>
      </c>
    </row>
    <row s="1877" customFormat="1" customHeight="1" ht="18.75" hidden="1">
      <c r="A32" s="1272"/>
      <c r="B32" s="1272"/>
      <c r="C32" s="1272"/>
      <c r="D32" s="1272"/>
      <c r="E32" s="1272"/>
      <c r="F32" s="1272"/>
      <c r="G32" s="1272"/>
      <c r="H32" s="1272"/>
      <c r="I32" s="1272"/>
      <c r="J32" s="1272"/>
      <c r="K32" s="1272"/>
      <c r="L32" s="1404"/>
      <c r="M32" s="1272"/>
      <c r="N32" s="1272"/>
      <c r="O32" s="1272"/>
      <c r="S32" s="2274" t="s">
        <v>43</v>
      </c>
      <c r="T32" s="2274"/>
      <c r="U32" s="1396"/>
      <c r="V32" s="2275" t="str">
        <f>IF(TITLE_IST_PUB_CHANGE="",IF(TITLE_IST_PUB="","",TITLE_IST_PUB),TITLE_IST_PUB_CHANGE)</f>
        <v/>
      </c>
      <c r="W32" s="2275"/>
      <c r="X32" s="2275"/>
      <c r="Y32" s="2275"/>
      <c r="Z32" s="2275"/>
      <c r="AA32" s="2275"/>
      <c r="AB32" s="2275"/>
      <c r="AC32" s="1659"/>
      <c r="AD32" s="2275" t="str">
        <f>IF(TITLE_IST_PUB_CHANGE="",IF(TITLE_IST_PUB="","",TITLE_IST_PUB),TITLE_IST_PUB_CHANGE)</f>
        <v/>
      </c>
      <c r="AE32" s="2275"/>
      <c r="AF32" s="2275"/>
      <c r="AG32" s="2275"/>
      <c r="AH32" s="2275"/>
      <c r="AI32" s="2275"/>
      <c r="AJ32" s="2275"/>
      <c r="AK32" s="1659"/>
      <c r="AL32" s="1659"/>
      <c r="AM32" s="304"/>
      <c r="AN32" s="392"/>
      <c r="AO32" s="392"/>
      <c r="AP32" s="392"/>
      <c r="AQ32" s="392"/>
      <c r="AR32" s="392"/>
      <c r="AS32" s="442">
        <v>0</v>
      </c>
    </row>
    <row customHeight="1" ht="14.25" hidden="1">
      <c r="Q33" s="400"/>
      <c r="R33" s="400"/>
      <c r="S33" s="1299"/>
      <c r="T33" s="481"/>
      <c r="U33" s="481"/>
      <c r="V33" s="346"/>
      <c r="W33" s="346"/>
      <c r="X33" s="346"/>
      <c r="Y33" s="346"/>
      <c r="Z33" s="346"/>
      <c r="AA33" s="346"/>
      <c r="AB33" s="346"/>
      <c r="AC33" s="346"/>
      <c r="AD33" s="346"/>
      <c r="AE33" s="346"/>
      <c r="AF33" s="346"/>
      <c r="AG33" s="346"/>
      <c r="AH33" s="346"/>
      <c r="AI33" s="346"/>
      <c r="AJ33" s="346"/>
      <c r="AK33" s="346"/>
      <c r="AL33" s="1659"/>
      <c r="AS33" s="1655">
        <v>0</v>
      </c>
    </row>
    <row s="1877" customFormat="1" customHeight="1" ht="18.75" hidden="1">
      <c r="A34" s="1272"/>
      <c r="B34" s="1272"/>
      <c r="C34" s="1272"/>
      <c r="D34" s="1272"/>
      <c r="E34" s="1272"/>
      <c r="F34" s="1272"/>
      <c r="G34" s="1272"/>
      <c r="H34" s="1272"/>
      <c r="I34" s="1272"/>
      <c r="J34" s="1272"/>
      <c r="K34" s="1272"/>
      <c r="L34" s="1404"/>
      <c r="M34" s="1272"/>
      <c r="N34" s="1272"/>
      <c r="O34" s="1272"/>
      <c r="S34" s="2274" t="s">
        <v>509</v>
      </c>
      <c r="T34" s="2274"/>
      <c r="U34" s="1396"/>
      <c r="V34" s="2288" t="str">
        <f>IF(TITLE_DATE_PR_CHANGE="",IF(TITLE_DATE_PR="","",TITLE_DATE_PR),TITLE_DATE_PR_CHANGE)</f>
        <v/>
      </c>
      <c r="W34" s="2288"/>
      <c r="X34" s="2288"/>
      <c r="Y34" s="2288"/>
      <c r="Z34" s="2288"/>
      <c r="AA34" s="2288"/>
      <c r="AB34" s="2288"/>
      <c r="AC34" s="1659"/>
      <c r="AD34" s="2288" t="str">
        <f>IF(TITLE_DATE_PR_CHANGE="",IF(TITLE_DATE_PR="","",TITLE_DATE_PR),TITLE_DATE_PR_CHANGE)</f>
        <v/>
      </c>
      <c r="AE34" s="2288"/>
      <c r="AF34" s="2288"/>
      <c r="AG34" s="2288"/>
      <c r="AH34" s="2288"/>
      <c r="AI34" s="2288"/>
      <c r="AJ34" s="2288"/>
      <c r="AK34" s="1659"/>
      <c r="AL34" s="1659"/>
      <c r="AM34" s="304"/>
      <c r="AN34" s="392"/>
      <c r="AO34" s="392"/>
      <c r="AP34" s="392"/>
      <c r="AQ34" s="392"/>
      <c r="AR34" s="392"/>
      <c r="AS34" s="442">
        <v>0</v>
      </c>
    </row>
    <row s="1877" customFormat="1" customHeight="1" ht="18.75" hidden="1">
      <c r="A35" s="1272"/>
      <c r="B35" s="1272"/>
      <c r="C35" s="1272"/>
      <c r="D35" s="1272"/>
      <c r="E35" s="1272"/>
      <c r="F35" s="1272"/>
      <c r="G35" s="1272"/>
      <c r="H35" s="1272"/>
      <c r="I35" s="1272"/>
      <c r="J35" s="1272"/>
      <c r="K35" s="1272"/>
      <c r="L35" s="1404"/>
      <c r="M35" s="1272"/>
      <c r="N35" s="1272"/>
      <c r="O35" s="1272"/>
      <c r="S35" s="2274" t="s">
        <v>510</v>
      </c>
      <c r="T35" s="2274"/>
      <c r="U35" s="1396"/>
      <c r="V35" s="2275" t="str">
        <f>IF(TITLE_NUMBER_PR_CHANGE="",IF(TITLE_NUMBER_PR="","",TITLE_NUMBER_PR),TITLE_NUMBER_PR_CHANGE)</f>
        <v/>
      </c>
      <c r="W35" s="2275"/>
      <c r="X35" s="2275"/>
      <c r="Y35" s="2275"/>
      <c r="Z35" s="2275"/>
      <c r="AA35" s="2275"/>
      <c r="AB35" s="2275"/>
      <c r="AC35" s="1659"/>
      <c r="AD35" s="2275" t="str">
        <f>IF(TITLE_NUMBER_PR_CHANGE="",IF(TITLE_NUMBER_PR="","",TITLE_NUMBER_PR),TITLE_NUMBER_PR_CHANGE)</f>
        <v/>
      </c>
      <c r="AE35" s="2275"/>
      <c r="AF35" s="2275"/>
      <c r="AG35" s="2275"/>
      <c r="AH35" s="2275"/>
      <c r="AI35" s="2275"/>
      <c r="AJ35" s="2275"/>
      <c r="AK35" s="1659"/>
      <c r="AL35" s="1659"/>
      <c r="AM35" s="304"/>
      <c r="AN35" s="392"/>
      <c r="AO35" s="392"/>
      <c r="AP35" s="392"/>
      <c r="AQ35" s="392"/>
      <c r="AR35" s="392"/>
      <c r="AS35" s="442">
        <v>0</v>
      </c>
    </row>
    <row s="1877" customFormat="1" customHeight="1" ht="0">
      <c r="A36" s="1272"/>
      <c r="B36" s="1272"/>
      <c r="C36" s="1272"/>
      <c r="D36" s="1272"/>
      <c r="E36" s="1272"/>
      <c r="F36" s="1272"/>
      <c r="G36" s="1272"/>
      <c r="H36" s="1272"/>
      <c r="I36" s="1272"/>
      <c r="J36" s="1272"/>
      <c r="K36" s="1272"/>
      <c r="L36" s="1404"/>
      <c r="M36" s="1272"/>
      <c r="N36" s="1272"/>
      <c r="O36" s="1272"/>
      <c r="S36" s="1659"/>
      <c r="T36" s="1659"/>
      <c r="U36" s="1994"/>
      <c r="V36" s="1659"/>
      <c r="W36" s="1659"/>
      <c r="X36" s="1659"/>
      <c r="Y36" s="1659"/>
      <c r="Z36" s="1659"/>
      <c r="AA36" s="1659"/>
      <c r="AB36" s="1659"/>
      <c r="AC36" s="1666" t="s">
        <v>511</v>
      </c>
      <c r="AD36" s="1659"/>
      <c r="AE36" s="1659"/>
      <c r="AF36" s="1659"/>
      <c r="AG36" s="1659"/>
      <c r="AH36" s="1659"/>
      <c r="AI36" s="1659"/>
      <c r="AJ36" s="1659"/>
      <c r="AK36" s="1666" t="s">
        <v>511</v>
      </c>
      <c r="AN36" s="392"/>
      <c r="AO36" s="392"/>
      <c r="AP36" s="392"/>
      <c r="AQ36" s="392"/>
      <c r="AR36" s="392"/>
      <c r="AS36" s="442">
        <v>0</v>
      </c>
    </row>
    <row customHeight="1" ht="14.699999999999998">
      <c r="Q37" s="400"/>
      <c r="R37" s="400"/>
      <c r="S37" s="1299"/>
      <c r="T37" s="481"/>
      <c r="U37" s="1268"/>
      <c r="V37" s="2276"/>
      <c r="W37" s="2276"/>
      <c r="X37" s="2276"/>
      <c r="Y37" s="2276"/>
      <c r="Z37" s="2276"/>
      <c r="AA37" s="2276"/>
      <c r="AB37" s="2276"/>
      <c r="AC37" s="2276"/>
      <c r="AD37" s="2276"/>
      <c r="AE37" s="2276"/>
      <c r="AF37" s="2276"/>
      <c r="AG37" s="2276"/>
      <c r="AH37" s="2276"/>
      <c r="AI37" s="2276"/>
      <c r="AJ37" s="2276"/>
      <c r="AK37" s="2276"/>
      <c r="AS37" s="1655">
        <v>14</v>
      </c>
    </row>
    <row customHeight="1" ht="14.699999999999998">
      <c r="Q38" s="400"/>
      <c r="R38" s="400"/>
      <c r="S38" s="2151" t="s">
        <v>384</v>
      </c>
      <c r="T38" s="2151"/>
      <c r="U38" s="2151"/>
      <c r="V38" s="2151"/>
      <c r="W38" s="2151"/>
      <c r="X38" s="2151"/>
      <c r="Y38" s="2151"/>
      <c r="Z38" s="2151"/>
      <c r="AA38" s="2151"/>
      <c r="AB38" s="2151"/>
      <c r="AC38" s="2151"/>
      <c r="AD38" s="2151"/>
      <c r="AE38" s="2151"/>
      <c r="AF38" s="2151"/>
      <c r="AG38" s="2151"/>
      <c r="AH38" s="2151"/>
      <c r="AI38" s="2151"/>
      <c r="AJ38" s="2151"/>
      <c r="AK38" s="2151"/>
      <c r="AL38" s="2151"/>
      <c r="AM38" s="2151" t="s">
        <v>385</v>
      </c>
      <c r="AS38" s="1655">
        <v>14</v>
      </c>
    </row>
    <row customHeight="1" ht="14.699999999999998">
      <c r="Q39" s="400"/>
      <c r="R39" s="400"/>
      <c r="S39" s="2297" t="s">
        <v>88</v>
      </c>
      <c r="T39" s="2233" t="s">
        <v>512</v>
      </c>
      <c r="U39" s="361"/>
      <c r="V39" s="2298" t="s">
        <v>513</v>
      </c>
      <c r="W39" s="2299"/>
      <c r="X39" s="2299"/>
      <c r="Y39" s="2299"/>
      <c r="Z39" s="2299"/>
      <c r="AA39" s="2299"/>
      <c r="AB39" s="2300"/>
      <c r="AC39" s="2301" t="s">
        <v>514</v>
      </c>
      <c r="AD39" s="2298" t="s">
        <v>513</v>
      </c>
      <c r="AE39" s="2299"/>
      <c r="AF39" s="2299"/>
      <c r="AG39" s="2299"/>
      <c r="AH39" s="2299"/>
      <c r="AI39" s="2299"/>
      <c r="AJ39" s="2300"/>
      <c r="AK39" s="2301" t="s">
        <v>515</v>
      </c>
      <c r="AL39" s="2304" t="s">
        <v>516</v>
      </c>
      <c r="AM39" s="2151"/>
      <c r="AS39" s="1655">
        <v>14</v>
      </c>
    </row>
    <row customHeight="1" ht="35.699999999999996">
      <c r="Q40" s="400"/>
      <c r="R40" s="400"/>
      <c r="S40" s="2297"/>
      <c r="T40" s="2233"/>
      <c r="U40" s="1055"/>
      <c r="V40" s="2284" t="s">
        <v>517</v>
      </c>
      <c r="W40" s="2307" t="s">
        <v>518</v>
      </c>
      <c r="X40" s="2286" t="s">
        <v>519</v>
      </c>
      <c r="Y40" s="2287"/>
      <c r="Z40" s="2286" t="s">
        <v>533</v>
      </c>
      <c r="AA40" s="2293"/>
      <c r="AB40" s="2287"/>
      <c r="AC40" s="2302"/>
      <c r="AD40" s="2284" t="s">
        <v>517</v>
      </c>
      <c r="AE40" s="2307" t="s">
        <v>518</v>
      </c>
      <c r="AF40" s="2286" t="s">
        <v>519</v>
      </c>
      <c r="AG40" s="2287"/>
      <c r="AH40" s="2286" t="s">
        <v>520</v>
      </c>
      <c r="AI40" s="2293"/>
      <c r="AJ40" s="2287"/>
      <c r="AK40" s="2302"/>
      <c r="AL40" s="2305"/>
      <c r="AM40" s="2151"/>
      <c r="AS40" s="1655">
        <v>34</v>
      </c>
    </row>
    <row customHeight="1" ht="35.699999999999996">
      <c r="A41" s="1290"/>
      <c r="B41" s="1290" t="s">
        <v>223</v>
      </c>
      <c r="C41" s="1290" t="s">
        <v>224</v>
      </c>
      <c r="D41" s="1290" t="s">
        <v>225</v>
      </c>
      <c r="E41" s="1334" t="s">
        <v>521</v>
      </c>
      <c r="F41" s="1334" t="s">
        <v>522</v>
      </c>
      <c r="G41" s="1334" t="s">
        <v>523</v>
      </c>
      <c r="H41" s="1334" t="s">
        <v>524</v>
      </c>
      <c r="I41" s="1334" t="s">
        <v>525</v>
      </c>
      <c r="J41" s="1334" t="s">
        <v>526</v>
      </c>
      <c r="K41" s="1334" t="s">
        <v>527</v>
      </c>
      <c r="L41" s="1334" t="s">
        <v>502</v>
      </c>
      <c r="Q41" s="400"/>
      <c r="R41" s="400"/>
      <c r="S41" s="2297"/>
      <c r="T41" s="2233"/>
      <c r="U41" s="326"/>
      <c r="V41" s="2285"/>
      <c r="W41" s="2308"/>
      <c r="X41" s="1962" t="s">
        <v>528</v>
      </c>
      <c r="Y41" s="1962" t="s">
        <v>529</v>
      </c>
      <c r="Z41" s="1962" t="s">
        <v>530</v>
      </c>
      <c r="AA41" s="2294" t="s">
        <v>531</v>
      </c>
      <c r="AB41" s="2295"/>
      <c r="AC41" s="2303"/>
      <c r="AD41" s="2285"/>
      <c r="AE41" s="2308"/>
      <c r="AF41" s="1962" t="s">
        <v>528</v>
      </c>
      <c r="AG41" s="1962" t="s">
        <v>529</v>
      </c>
      <c r="AH41" s="1962" t="s">
        <v>530</v>
      </c>
      <c r="AI41" s="2294" t="s">
        <v>531</v>
      </c>
      <c r="AJ41" s="2295"/>
      <c r="AK41" s="2303"/>
      <c r="AL41" s="2306"/>
      <c r="AM41" s="2151"/>
      <c r="AS41" s="1655">
        <v>34</v>
      </c>
    </row>
    <row s="1665" customFormat="1" customHeight="1" ht="11.25" hidden="1">
      <c r="A42" s="1290"/>
      <c r="B42" s="1290"/>
      <c r="C42" s="1290"/>
      <c r="D42" s="1290"/>
      <c r="E42" s="1290"/>
      <c r="F42" s="1290"/>
      <c r="G42" s="1290"/>
      <c r="H42" s="1290"/>
      <c r="I42" s="1290"/>
      <c r="J42" s="1290"/>
      <c r="K42" s="1290"/>
      <c r="L42" s="1334"/>
      <c r="M42" s="1989"/>
      <c r="N42" s="1989"/>
      <c r="O42" s="1989"/>
      <c r="P42" s="1270"/>
      <c r="Q42" s="1271"/>
      <c r="R42" s="1278">
        <v>1</v>
      </c>
      <c r="S42" s="1301" t="s">
        <v>170</v>
      </c>
      <c r="T42" s="1279" t="s">
        <v>103</v>
      </c>
      <c r="U42" s="1269" t="str">
        <f>OFFSET(U42,0,-1)</f>
        <v>2</v>
      </c>
      <c r="V42" s="1980">
        <f>OFFSET(V42,0,-1)+1</f>
        <v>3</v>
      </c>
      <c r="W42" s="1980"/>
      <c r="X42" s="1980">
        <f>OFFSET(X42,0,-1)+1</f>
        <v>1</v>
      </c>
      <c r="Y42" s="1980">
        <f>OFFSET(Y42,0,-1)+1</f>
        <v>2</v>
      </c>
      <c r="Z42" s="1980">
        <f>OFFSET(Z42,0,-1)+1</f>
        <v>3</v>
      </c>
      <c r="AA42" s="2296">
        <f>OFFSET(AA42,0,-1)+1</f>
        <v>4</v>
      </c>
      <c r="AB42" s="2296"/>
      <c r="AC42" s="1980">
        <f>OFFSET(AC42,0,-2)+1</f>
        <v>5</v>
      </c>
      <c r="AD42" s="1980">
        <f>OFFSET(AD42,0,-1)+1</f>
        <v>6</v>
      </c>
      <c r="AE42" s="1980"/>
      <c r="AF42" s="1980">
        <f>OFFSET(AF42,0,-1)+1</f>
        <v>1</v>
      </c>
      <c r="AG42" s="1980">
        <f>OFFSET(AG42,0,-1)+1</f>
        <v>2</v>
      </c>
      <c r="AH42" s="1980">
        <f>OFFSET(AH42,0,-1)+1</f>
        <v>3</v>
      </c>
      <c r="AI42" s="2296">
        <f>OFFSET(AI42,0,-1)+1</f>
        <v>4</v>
      </c>
      <c r="AJ42" s="2296"/>
      <c r="AK42" s="1980">
        <f>OFFSET(AK42,0,-2)+1</f>
        <v>5</v>
      </c>
      <c r="AL42" s="1269">
        <f>OFFSET(AL42,0,-1)</f>
        <v>5</v>
      </c>
      <c r="AM42" s="1980">
        <f>OFFSET(AM42,0,-1)+1</f>
        <v>6</v>
      </c>
      <c r="AN42" s="1660"/>
      <c r="AO42" s="1660"/>
      <c r="AP42" s="1660"/>
      <c r="AQ42" s="1660"/>
      <c r="AR42" s="1660"/>
      <c r="AS42" s="1665">
        <v>0</v>
      </c>
    </row>
    <row customHeight="1" ht="22.049999999999997">
      <c r="A43" s="1291" t="s">
        <v>296</v>
      </c>
      <c r="B43" s="1291"/>
      <c r="C43" s="1291"/>
      <c r="D43" s="1291"/>
      <c r="E43" s="2313">
        <v>1</v>
      </c>
      <c r="F43" s="1291"/>
      <c r="G43" s="1291"/>
      <c r="H43" s="1291"/>
      <c r="I43" s="1291"/>
      <c r="J43" s="1291"/>
      <c r="K43" s="1291"/>
      <c r="L43" s="1334"/>
      <c r="M43" s="1634"/>
      <c r="N43" s="1634"/>
      <c r="O43" s="1634"/>
      <c r="P43" s="1614"/>
      <c r="Q43" s="384"/>
      <c r="R43" s="379"/>
      <c r="S43" s="1982">
        <f>INDEX(PT_DIFFERENTIATION_NUM_NTAR,MATCH(A43,PT_DIFFERENTIATION_NTAR_ID,0))</f>
        <v>0</v>
      </c>
      <c r="T43" s="1549" t="s">
        <v>211</v>
      </c>
      <c r="U43" s="324"/>
      <c r="V43" s="2266"/>
      <c r="W43" s="2267"/>
      <c r="X43" s="2267"/>
      <c r="Y43" s="2267"/>
      <c r="Z43" s="2267"/>
      <c r="AA43" s="2267"/>
      <c r="AB43" s="2267"/>
      <c r="AC43" s="2268"/>
      <c r="AD43" s="2266" t="str">
        <f>INDEX(PT_DIFFERENTIATION_NTAR,MATCH(A43,PT_DIFFERENTIATION_NTAR_ID,0))</f>
        <v/>
      </c>
      <c r="AE43" s="2267"/>
      <c r="AF43" s="2267"/>
      <c r="AG43" s="2267"/>
      <c r="AH43" s="2267"/>
      <c r="AI43" s="2267"/>
      <c r="AJ43" s="2267"/>
      <c r="AK43" s="2267"/>
      <c r="AL43" s="2268"/>
      <c r="AM43" s="12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48"/>
      <c r="AP43" s="1648" t="str">
        <f>IF(T43="","",T43)</f>
        <v>Наименование тарифа</v>
      </c>
      <c r="AQ43" s="1648"/>
      <c r="AR43" s="1648"/>
      <c r="AS43" s="1655">
        <v>21</v>
      </c>
    </row>
    <row customHeight="1" ht="22.049999999999997">
      <c r="A44" s="1291" t="s">
        <v>296</v>
      </c>
      <c r="B44" s="1291" t="s">
        <v>297</v>
      </c>
      <c r="C44" s="1291"/>
      <c r="D44" s="1291"/>
      <c r="E44" s="2314"/>
      <c r="F44" s="2313">
        <v>1</v>
      </c>
      <c r="G44" s="1291"/>
      <c r="H44" s="1291"/>
      <c r="I44" s="1291"/>
      <c r="J44" s="1291"/>
      <c r="K44" s="1291"/>
      <c r="L44" s="1334"/>
      <c r="M44" s="1634"/>
      <c r="N44" s="1634"/>
      <c r="O44" s="1634"/>
      <c r="P44" s="1964"/>
      <c r="Q44" s="376"/>
      <c r="R44" s="377"/>
      <c r="S44" s="1982" t="str">
        <f>INDEX(PT_DIFFERENTIATION_NUM_TER,MATCH(B44,PT_DIFFERENTIATION_TER_ID,0))</f>
        <v>.</v>
      </c>
      <c r="T44" s="1546" t="s">
        <v>481</v>
      </c>
      <c r="U44" s="324"/>
      <c r="V44" s="2266"/>
      <c r="W44" s="2267"/>
      <c r="X44" s="2267"/>
      <c r="Y44" s="2267"/>
      <c r="Z44" s="2267"/>
      <c r="AA44" s="2267"/>
      <c r="AB44" s="2267"/>
      <c r="AC44" s="2268"/>
      <c r="AD44" s="2266" t="str">
        <f>INDEX(PT_DIFFERENTIATION_TER,MATCH(B44,PT_DIFFERENTIATION_TER_ID,0))</f>
        <v/>
      </c>
      <c r="AE44" s="2267"/>
      <c r="AF44" s="2267"/>
      <c r="AG44" s="2267"/>
      <c r="AH44" s="2267"/>
      <c r="AI44" s="2267"/>
      <c r="AJ44" s="2267"/>
      <c r="AK44" s="2267"/>
      <c r="AL44" s="2268"/>
      <c r="AM44" s="1282" t="s">
        <v>482</v>
      </c>
      <c r="AO44" s="1648"/>
      <c r="AP44" s="1648" t="str">
        <f>IF(T44="","",T44)</f>
        <v>Территория действия тарифа</v>
      </c>
      <c r="AQ44" s="1648"/>
      <c r="AR44" s="1648"/>
      <c r="AS44" s="1655">
        <v>21</v>
      </c>
    </row>
    <row customHeight="1" ht="24">
      <c r="A45" s="1291" t="s">
        <v>296</v>
      </c>
      <c r="B45" s="1291" t="s">
        <v>297</v>
      </c>
      <c r="C45" s="1291" t="s">
        <v>298</v>
      </c>
      <c r="D45" s="1291"/>
      <c r="E45" s="2314"/>
      <c r="F45" s="2314"/>
      <c r="G45" s="2313">
        <v>1</v>
      </c>
      <c r="H45" s="1291"/>
      <c r="I45" s="1291"/>
      <c r="J45" s="1291"/>
      <c r="K45" s="1291"/>
      <c r="L45" s="1334"/>
      <c r="M45" s="1634"/>
      <c r="N45" s="1634"/>
      <c r="O45" s="1634"/>
      <c r="P45" s="378"/>
      <c r="Q45" s="376"/>
      <c r="R45" s="377"/>
      <c r="S45" s="1982" t="str">
        <f>INDEX(PT_DIFFERENTIATION_NUM_CS,MATCH(C45,PT_DIFFERENTIATION_CS_ID,0))</f>
        <v>..</v>
      </c>
      <c r="T45" s="333" t="s">
        <v>483</v>
      </c>
      <c r="U45" s="324"/>
      <c r="V45" s="2266"/>
      <c r="W45" s="2267"/>
      <c r="X45" s="2267"/>
      <c r="Y45" s="2267"/>
      <c r="Z45" s="2267"/>
      <c r="AA45" s="2267"/>
      <c r="AB45" s="2267"/>
      <c r="AC45" s="2268"/>
      <c r="AD45" s="2266" t="str">
        <f>INDEX(PT_DIFFERENTIATION_CS,MATCH(C45,PT_DIFFERENTIATION_CS_ID,0))</f>
        <v/>
      </c>
      <c r="AE45" s="2267"/>
      <c r="AF45" s="2267"/>
      <c r="AG45" s="2267"/>
      <c r="AH45" s="2267"/>
      <c r="AI45" s="2267"/>
      <c r="AJ45" s="2267"/>
      <c r="AK45" s="2267"/>
      <c r="AL45" s="2268"/>
      <c r="AM45" s="1282" t="s">
        <v>484</v>
      </c>
      <c r="AO45" s="1648"/>
      <c r="AP45" s="1648" t="str">
        <f>IF(T45="","",T45)</f>
        <v>Наименование системы теплоснабжения </v>
      </c>
      <c r="AQ45" s="1648"/>
      <c r="AR45" s="1648"/>
      <c r="AS45" s="1655">
        <v>23</v>
      </c>
    </row>
    <row customHeight="1" ht="22.049999999999997">
      <c r="A46" s="1291" t="s">
        <v>296</v>
      </c>
      <c r="B46" s="1291" t="s">
        <v>297</v>
      </c>
      <c r="C46" s="1291" t="s">
        <v>298</v>
      </c>
      <c r="D46" s="1291" t="s">
        <v>299</v>
      </c>
      <c r="E46" s="2314"/>
      <c r="F46" s="2314"/>
      <c r="G46" s="2314"/>
      <c r="H46" s="2313">
        <v>1</v>
      </c>
      <c r="I46" s="1291"/>
      <c r="J46" s="1291"/>
      <c r="K46" s="1291"/>
      <c r="L46" s="1334"/>
      <c r="M46" s="1634"/>
      <c r="N46" s="1634"/>
      <c r="O46" s="1634"/>
      <c r="P46" s="378"/>
      <c r="Q46" s="376"/>
      <c r="R46" s="377"/>
      <c r="S46" s="1982" t="str">
        <f>INDEX(PT_DIFFERENTIATION_NUM_IST_TE,MATCH(D46,PT_DIFFERENTIATION_IST_TE_ID,0))</f>
        <v>...</v>
      </c>
      <c r="T46" s="334" t="s">
        <v>485</v>
      </c>
      <c r="U46" s="324"/>
      <c r="V46" s="2266"/>
      <c r="W46" s="2267"/>
      <c r="X46" s="2267"/>
      <c r="Y46" s="2267"/>
      <c r="Z46" s="2267"/>
      <c r="AA46" s="2267"/>
      <c r="AB46" s="2267"/>
      <c r="AC46" s="2268"/>
      <c r="AD46" s="2266" t="str">
        <f>INDEX(PT_DIFFERENTIATION_IST_TE,MATCH(D46,PT_DIFFERENTIATION_IST_TE_ID,0))</f>
        <v/>
      </c>
      <c r="AE46" s="2267"/>
      <c r="AF46" s="2267"/>
      <c r="AG46" s="2267"/>
      <c r="AH46" s="2267"/>
      <c r="AI46" s="2267"/>
      <c r="AJ46" s="2267"/>
      <c r="AK46" s="2267"/>
      <c r="AL46" s="2268"/>
      <c r="AM46" s="1282" t="s">
        <v>486</v>
      </c>
      <c r="AO46" s="1648"/>
      <c r="AP46" s="1648" t="str">
        <f>IF(T46="","",T46)</f>
        <v>Источник тепловой энергии  </v>
      </c>
      <c r="AQ46" s="1648"/>
      <c r="AR46" s="1648"/>
      <c r="AS46" s="1655">
        <v>21</v>
      </c>
    </row>
    <row customHeight="1" ht="49.5">
      <c r="A47" s="1291" t="s">
        <v>296</v>
      </c>
      <c r="B47" s="1291" t="s">
        <v>297</v>
      </c>
      <c r="C47" s="1291" t="s">
        <v>298</v>
      </c>
      <c r="D47" s="1291" t="s">
        <v>299</v>
      </c>
      <c r="E47" s="2314"/>
      <c r="F47" s="2314"/>
      <c r="G47" s="2314"/>
      <c r="H47" s="2314"/>
      <c r="I47" s="2151" t="str">
        <f>S46&amp;".1"</f>
        <v>....1</v>
      </c>
      <c r="J47" s="1291"/>
      <c r="K47" s="1291"/>
      <c r="L47" s="1334" t="s">
        <v>487</v>
      </c>
      <c r="P47" s="2281">
        <v>1</v>
      </c>
      <c r="Q47" s="1978"/>
      <c r="R47" s="380"/>
      <c r="S47" s="1982" t="str">
        <f>$I47</f>
        <v>....1</v>
      </c>
      <c r="T47" s="309" t="s">
        <v>488</v>
      </c>
      <c r="U47" s="324"/>
      <c r="V47" s="2269"/>
      <c r="W47" s="2270"/>
      <c r="X47" s="2270"/>
      <c r="Y47" s="2270"/>
      <c r="Z47" s="2270"/>
      <c r="AA47" s="2270"/>
      <c r="AB47" s="2270"/>
      <c r="AC47" s="2271"/>
      <c r="AD47" s="2269"/>
      <c r="AE47" s="2270"/>
      <c r="AF47" s="2270"/>
      <c r="AG47" s="2270"/>
      <c r="AH47" s="2270"/>
      <c r="AI47" s="2270"/>
      <c r="AJ47" s="2270"/>
      <c r="AK47" s="2270"/>
      <c r="AL47" s="2271"/>
      <c r="AM47" s="1282" t="s">
        <v>489</v>
      </c>
      <c r="AO47" s="1648"/>
      <c r="AP47" s="1648" t="str">
        <f>IF(T47="","",T47)</f>
        <v>Схема подключения теплопотребляющей установки к коллектору источника тепловой энергии</v>
      </c>
      <c r="AQ47" s="1648"/>
      <c r="AR47" s="1648"/>
      <c r="AS47" s="1655">
        <v>47</v>
      </c>
    </row>
    <row customHeight="1" ht="22.049999999999997">
      <c r="A48" s="1291" t="s">
        <v>296</v>
      </c>
      <c r="B48" s="1291" t="s">
        <v>297</v>
      </c>
      <c r="C48" s="1291" t="s">
        <v>298</v>
      </c>
      <c r="D48" s="1291" t="s">
        <v>299</v>
      </c>
      <c r="E48" s="2314"/>
      <c r="F48" s="2314"/>
      <c r="G48" s="2314"/>
      <c r="H48" s="2314"/>
      <c r="I48" s="2125"/>
      <c r="J48" s="2151" t="str">
        <f>I47&amp;".1"</f>
        <v>....1.1</v>
      </c>
      <c r="K48" s="1291"/>
      <c r="L48" s="1334" t="s">
        <v>490</v>
      </c>
      <c r="P48" s="2281"/>
      <c r="Q48" s="2281">
        <v>1</v>
      </c>
      <c r="R48" s="381"/>
      <c r="S48" s="1982" t="str">
        <f>$J48</f>
        <v>....1.1</v>
      </c>
      <c r="T48" s="310" t="s">
        <v>491</v>
      </c>
      <c r="U48" s="324"/>
      <c r="V48" s="2269"/>
      <c r="W48" s="2270"/>
      <c r="X48" s="2270"/>
      <c r="Y48" s="2270"/>
      <c r="Z48" s="2270"/>
      <c r="AA48" s="2270"/>
      <c r="AB48" s="2270"/>
      <c r="AC48" s="2271"/>
      <c r="AD48" s="2269"/>
      <c r="AE48" s="2270"/>
      <c r="AF48" s="2270"/>
      <c r="AG48" s="2270"/>
      <c r="AH48" s="2270"/>
      <c r="AI48" s="2270"/>
      <c r="AJ48" s="2270"/>
      <c r="AK48" s="2270"/>
      <c r="AL48" s="2271"/>
      <c r="AM48" s="1282" t="s">
        <v>492</v>
      </c>
      <c r="AO48" s="1648"/>
      <c r="AP48" s="1648" t="str">
        <f>IF(T48="","",T48)</f>
        <v>Группа потребителей</v>
      </c>
      <c r="AQ48" s="1648"/>
      <c r="AR48" s="1648"/>
      <c r="AS48" s="1655">
        <v>21</v>
      </c>
    </row>
    <row customHeight="1" ht="22.049999999999997">
      <c r="A49" s="1291" t="s">
        <v>296</v>
      </c>
      <c r="B49" s="1291" t="s">
        <v>297</v>
      </c>
      <c r="C49" s="1291" t="s">
        <v>298</v>
      </c>
      <c r="D49" s="1291" t="s">
        <v>299</v>
      </c>
      <c r="E49" s="2314"/>
      <c r="F49" s="2314"/>
      <c r="G49" s="2314"/>
      <c r="H49" s="2314"/>
      <c r="I49" s="2125"/>
      <c r="J49" s="2125"/>
      <c r="K49" s="2151" t="str">
        <f>J48&amp;".1"</f>
        <v>....1.1.1</v>
      </c>
      <c r="L49" s="1334" t="s">
        <v>493</v>
      </c>
      <c r="P49" s="2281"/>
      <c r="Q49" s="2281"/>
      <c r="R49" s="381">
        <v>1</v>
      </c>
      <c r="S49" s="1982" t="str">
        <f>$K49</f>
        <v>....1.1.1</v>
      </c>
      <c r="T49" s="1371"/>
      <c r="U49" s="324"/>
      <c r="V49" s="775"/>
      <c r="W49" s="349"/>
      <c r="X49" s="775"/>
      <c r="Y49" s="1281"/>
      <c r="Z49" s="2289"/>
      <c r="AA49" s="2131" t="s">
        <v>66</v>
      </c>
      <c r="AB49" s="2289"/>
      <c r="AC49" s="2131" t="s">
        <v>66</v>
      </c>
      <c r="AD49" s="775"/>
      <c r="AE49" s="349"/>
      <c r="AF49" s="775"/>
      <c r="AG49" s="1281"/>
      <c r="AH49" s="2289"/>
      <c r="AI49" s="2131" t="s">
        <v>66</v>
      </c>
      <c r="AJ49" s="2311"/>
      <c r="AK49" s="2131" t="s">
        <v>66</v>
      </c>
      <c r="AL49" s="1372"/>
      <c r="AM49" s="2277" t="s">
        <v>494</v>
      </c>
      <c r="AN49" s="1660">
        <f>STRCHECKDATE(V50:AL50)</f>
      </c>
      <c r="AO49" s="1648"/>
      <c r="AP49" s="1648" t="str">
        <f>IF(T49="","",T49)</f>
        <v/>
      </c>
      <c r="AQ49" s="1648"/>
      <c r="AR49" s="1648"/>
      <c r="AS49" s="1655">
        <v>21</v>
      </c>
    </row>
    <row customHeight="1" ht="1.05">
      <c r="A50" s="1291" t="s">
        <v>296</v>
      </c>
      <c r="B50" s="1291" t="s">
        <v>297</v>
      </c>
      <c r="C50" s="1291" t="s">
        <v>298</v>
      </c>
      <c r="D50" s="1291" t="s">
        <v>299</v>
      </c>
      <c r="E50" s="2314"/>
      <c r="F50" s="2314"/>
      <c r="G50" s="2314"/>
      <c r="H50" s="2314"/>
      <c r="I50" s="2125"/>
      <c r="J50" s="2125"/>
      <c r="K50" s="2151"/>
      <c r="L50" s="1334"/>
      <c r="P50" s="2281"/>
      <c r="Q50" s="2281"/>
      <c r="R50" s="381"/>
      <c r="S50" s="1991"/>
      <c r="T50" s="324"/>
      <c r="U50" s="324"/>
      <c r="V50" s="349"/>
      <c r="W50" s="349"/>
      <c r="X50" s="349"/>
      <c r="Y50" s="352" t="str">
        <f>Z49&amp;"-"&amp;AB49</f>
        <v>-</v>
      </c>
      <c r="Z50" s="2290"/>
      <c r="AA50" s="2131"/>
      <c r="AB50" s="2290"/>
      <c r="AC50" s="2131"/>
      <c r="AD50" s="349"/>
      <c r="AE50" s="349"/>
      <c r="AF50" s="349"/>
      <c r="AG50" s="352" t="str">
        <f>AH49&amp;"-"&amp;AJ49</f>
        <v>-</v>
      </c>
      <c r="AH50" s="2290"/>
      <c r="AI50" s="2131"/>
      <c r="AJ50" s="2312"/>
      <c r="AK50" s="2131"/>
      <c r="AL50" s="1373"/>
      <c r="AM50" s="2278"/>
      <c r="AO50" s="1648"/>
      <c r="AP50" s="1648" t="str">
        <f>IF(T50="","",T50)</f>
        <v/>
      </c>
      <c r="AQ50" s="1648"/>
      <c r="AR50" s="1648"/>
      <c r="AS50" s="1655">
        <v>1</v>
      </c>
    </row>
    <row customHeight="1" ht="11.549999999999999">
      <c r="A51" s="1291" t="s">
        <v>296</v>
      </c>
      <c r="B51" s="1291" t="s">
        <v>297</v>
      </c>
      <c r="C51" s="1291" t="s">
        <v>298</v>
      </c>
      <c r="D51" s="1291" t="s">
        <v>299</v>
      </c>
      <c r="E51" s="2314"/>
      <c r="F51" s="2314"/>
      <c r="G51" s="2314"/>
      <c r="H51" s="2314"/>
      <c r="I51" s="2125"/>
      <c r="J51" s="2151"/>
      <c r="K51" s="1291"/>
      <c r="L51" s="1334"/>
      <c r="P51" s="2281"/>
      <c r="Q51" s="2281"/>
      <c r="R51" s="380"/>
      <c r="S51" s="1302"/>
      <c r="T51" s="312" t="s">
        <v>495</v>
      </c>
      <c r="U51" s="624"/>
      <c r="V51" s="624"/>
      <c r="W51" s="624"/>
      <c r="X51" s="624"/>
      <c r="Y51" s="624"/>
      <c r="Z51" s="624"/>
      <c r="AA51" s="624"/>
      <c r="AB51" s="624"/>
      <c r="AC51" s="624"/>
      <c r="AD51" s="624"/>
      <c r="AE51" s="624"/>
      <c r="AF51" s="624"/>
      <c r="AG51" s="624"/>
      <c r="AH51" s="624"/>
      <c r="AI51" s="624"/>
      <c r="AJ51" s="624"/>
      <c r="AK51" s="624"/>
      <c r="AL51" s="348"/>
      <c r="AM51" s="2279"/>
      <c r="AO51" s="1648"/>
      <c r="AP51" s="1648" t="str">
        <f>IF(T51="","",T51)</f>
        <v>Добавить вид теплоносителя (параметры теплоносителя)</v>
      </c>
      <c r="AQ51" s="1648"/>
      <c r="AR51" s="1648"/>
      <c r="AS51" s="1655">
        <v>11</v>
      </c>
    </row>
    <row customHeight="1" ht="11.549999999999999">
      <c r="A52" s="1291" t="s">
        <v>296</v>
      </c>
      <c r="B52" s="1291" t="s">
        <v>297</v>
      </c>
      <c r="C52" s="1291" t="s">
        <v>298</v>
      </c>
      <c r="D52" s="1291" t="s">
        <v>299</v>
      </c>
      <c r="E52" s="2314"/>
      <c r="F52" s="2314"/>
      <c r="G52" s="2314"/>
      <c r="H52" s="2314"/>
      <c r="I52" s="2151"/>
      <c r="J52" s="1291"/>
      <c r="K52" s="1291"/>
      <c r="L52" s="1334"/>
      <c r="P52" s="2281"/>
      <c r="Q52" s="1978"/>
      <c r="R52" s="380"/>
      <c r="S52" s="1302"/>
      <c r="T52" s="311" t="s">
        <v>496</v>
      </c>
      <c r="U52" s="624"/>
      <c r="V52" s="624"/>
      <c r="W52" s="624"/>
      <c r="X52" s="624"/>
      <c r="Y52" s="624"/>
      <c r="Z52" s="624"/>
      <c r="AA52" s="624"/>
      <c r="AB52" s="624"/>
      <c r="AC52" s="390"/>
      <c r="AD52" s="624"/>
      <c r="AE52" s="624"/>
      <c r="AF52" s="624"/>
      <c r="AG52" s="624"/>
      <c r="AH52" s="624"/>
      <c r="AI52" s="624"/>
      <c r="AJ52" s="624"/>
      <c r="AK52" s="390"/>
      <c r="AL52" s="624"/>
      <c r="AM52" s="327"/>
      <c r="AO52" s="1648"/>
      <c r="AP52" s="1648" t="str">
        <f>IF(T52="","",T52)</f>
        <v>Добавить группу потребителей</v>
      </c>
      <c r="AQ52" s="1648"/>
      <c r="AR52" s="1648"/>
      <c r="AS52" s="1655">
        <v>11</v>
      </c>
    </row>
    <row customHeight="1" ht="14.699999999999998">
      <c r="A53" s="1291" t="s">
        <v>296</v>
      </c>
      <c r="B53" s="1291" t="s">
        <v>297</v>
      </c>
      <c r="C53" s="1291" t="s">
        <v>298</v>
      </c>
      <c r="D53" s="1291" t="s">
        <v>299</v>
      </c>
      <c r="E53" s="2314"/>
      <c r="F53" s="2314"/>
      <c r="G53" s="2314"/>
      <c r="H53" s="2313"/>
      <c r="I53" s="1291"/>
      <c r="J53" s="1291"/>
      <c r="K53" s="1291"/>
      <c r="L53" s="1334"/>
      <c r="M53" s="1634"/>
      <c r="N53" s="1634"/>
      <c r="O53" s="1659"/>
      <c r="P53" s="384"/>
      <c r="Q53" s="399"/>
      <c r="R53" s="379"/>
      <c r="S53" s="1302"/>
      <c r="T53" s="389" t="s">
        <v>497</v>
      </c>
      <c r="U53" s="624"/>
      <c r="V53" s="624"/>
      <c r="W53" s="624"/>
      <c r="X53" s="624"/>
      <c r="Y53" s="624"/>
      <c r="Z53" s="624"/>
      <c r="AA53" s="624"/>
      <c r="AB53" s="624"/>
      <c r="AC53" s="390"/>
      <c r="AD53" s="624"/>
      <c r="AE53" s="624"/>
      <c r="AF53" s="624"/>
      <c r="AG53" s="624"/>
      <c r="AH53" s="624"/>
      <c r="AI53" s="624"/>
      <c r="AJ53" s="624"/>
      <c r="AK53" s="390"/>
      <c r="AL53" s="624"/>
      <c r="AM53" s="327"/>
      <c r="AO53" s="1648"/>
      <c r="AP53" s="1648" t="str">
        <f>IF(T53="","",T53)</f>
        <v>Добавить схему подключения</v>
      </c>
      <c r="AQ53" s="1648"/>
      <c r="AR53" s="1648"/>
      <c r="AS53" s="1655">
        <v>14</v>
      </c>
    </row>
    <row s="1666" customFormat="1" customHeight="1" ht="1.05">
      <c r="A54" s="1291" t="s">
        <v>296</v>
      </c>
      <c r="B54" s="1291" t="s">
        <v>297</v>
      </c>
      <c r="C54" s="1291" t="s">
        <v>298</v>
      </c>
      <c r="D54" s="1998"/>
      <c r="E54" s="2314"/>
      <c r="F54" s="2314"/>
      <c r="G54" s="2313"/>
      <c r="H54" s="1998"/>
      <c r="I54" s="1998"/>
      <c r="J54" s="1998"/>
      <c r="K54" s="1998"/>
      <c r="L54" s="1404"/>
      <c r="M54" s="1634"/>
      <c r="N54" s="1634"/>
      <c r="O54" s="1659"/>
      <c r="P54" s="1340"/>
      <c r="Q54" s="1341"/>
      <c r="R54" s="1340"/>
      <c r="S54" s="1346"/>
      <c r="T54" s="1349" t="s">
        <v>498</v>
      </c>
      <c r="U54" s="1348"/>
      <c r="V54" s="1348"/>
      <c r="W54" s="1348"/>
      <c r="X54" s="1348"/>
      <c r="Y54" s="1348"/>
      <c r="Z54" s="1348"/>
      <c r="AA54" s="1348"/>
      <c r="AB54" s="1348"/>
      <c r="AC54" s="1348"/>
      <c r="AD54" s="1348"/>
      <c r="AE54" s="1348"/>
      <c r="AF54" s="1348"/>
      <c r="AG54" s="1348"/>
      <c r="AH54" s="1348"/>
      <c r="AI54" s="1348"/>
      <c r="AJ54" s="1348"/>
      <c r="AK54" s="1348"/>
      <c r="AL54" s="1348"/>
      <c r="AM54" s="1348"/>
      <c r="AO54" s="1275"/>
      <c r="AP54" s="1275" t="str">
        <f>IF(T54="","",T54)</f>
        <v>Добавить источник для дифференциации</v>
      </c>
      <c r="AQ54" s="1275"/>
      <c r="AR54" s="1275"/>
      <c r="AS54" s="1666">
        <v>1</v>
      </c>
    </row>
    <row s="1666" customFormat="1" customHeight="1" ht="1.05">
      <c r="A55" s="1291" t="s">
        <v>296</v>
      </c>
      <c r="B55" s="1291" t="s">
        <v>297</v>
      </c>
      <c r="C55" s="1998"/>
      <c r="D55" s="1998"/>
      <c r="E55" s="2314"/>
      <c r="F55" s="2313"/>
      <c r="G55" s="1998"/>
      <c r="H55" s="1998"/>
      <c r="I55" s="1998"/>
      <c r="J55" s="1998"/>
      <c r="K55" s="1998"/>
      <c r="L55" s="1404"/>
      <c r="M55" s="1999"/>
      <c r="N55" s="1999"/>
      <c r="O55" s="1659"/>
      <c r="P55" s="1340"/>
      <c r="Q55" s="1341"/>
      <c r="R55" s="1340"/>
      <c r="S55" s="1346"/>
      <c r="T55" s="1349" t="s">
        <v>499</v>
      </c>
      <c r="U55" s="1348"/>
      <c r="V55" s="1348"/>
      <c r="W55" s="1348"/>
      <c r="X55" s="1348"/>
      <c r="Y55" s="1348"/>
      <c r="Z55" s="1348"/>
      <c r="AA55" s="1348"/>
      <c r="AB55" s="1348"/>
      <c r="AC55" s="1348"/>
      <c r="AD55" s="1348"/>
      <c r="AE55" s="1348"/>
      <c r="AF55" s="1348"/>
      <c r="AG55" s="1348"/>
      <c r="AH55" s="1348"/>
      <c r="AI55" s="1348"/>
      <c r="AJ55" s="1348"/>
      <c r="AK55" s="1348"/>
      <c r="AL55" s="1348"/>
      <c r="AM55" s="1348"/>
      <c r="AO55" s="1275"/>
      <c r="AP55" s="1275" t="str">
        <f>IF(T55="","",T55)</f>
        <v>Добавить централизованную систему для дифференциации</v>
      </c>
      <c r="AQ55" s="1275"/>
      <c r="AR55" s="1275"/>
      <c r="AS55" s="1666">
        <v>1</v>
      </c>
    </row>
    <row s="1666" customFormat="1" customHeight="1" ht="1.05">
      <c r="A56" s="1291" t="s">
        <v>296</v>
      </c>
      <c r="B56" s="1291"/>
      <c r="C56" s="1291"/>
      <c r="D56" s="1291"/>
      <c r="E56" s="2313"/>
      <c r="F56" s="1291"/>
      <c r="G56" s="1291"/>
      <c r="H56" s="1291"/>
      <c r="I56" s="1291"/>
      <c r="J56" s="1291"/>
      <c r="K56" s="1291"/>
      <c r="L56" s="1334"/>
      <c r="M56" s="1999"/>
      <c r="N56" s="1999"/>
      <c r="O56" s="1659"/>
      <c r="P56" s="404"/>
      <c r="Q56" s="1368"/>
      <c r="R56" s="404"/>
      <c r="S56" s="1346"/>
      <c r="T56" s="1349" t="s">
        <v>500</v>
      </c>
      <c r="U56" s="1348"/>
      <c r="V56" s="1348"/>
      <c r="W56" s="1348"/>
      <c r="X56" s="1348"/>
      <c r="Y56" s="1348"/>
      <c r="Z56" s="1348"/>
      <c r="AA56" s="1348"/>
      <c r="AB56" s="1348"/>
      <c r="AC56" s="1348"/>
      <c r="AD56" s="1348"/>
      <c r="AE56" s="1348"/>
      <c r="AF56" s="1348"/>
      <c r="AG56" s="1348"/>
      <c r="AH56" s="1348"/>
      <c r="AI56" s="1348"/>
      <c r="AJ56" s="1348"/>
      <c r="AK56" s="1348"/>
      <c r="AL56" s="1348"/>
      <c r="AM56" s="1348"/>
      <c r="AO56" s="1648"/>
      <c r="AP56" s="1648" t="str">
        <f>IF(T56="","",T56)</f>
        <v>Добавить территорию для дифференциации</v>
      </c>
      <c r="AQ56" s="1648"/>
      <c r="AR56" s="1648"/>
      <c r="AS56" s="1660">
        <v>1</v>
      </c>
    </row>
    <row s="1666" customFormat="1" customHeight="1" ht="1.05">
      <c r="A57" s="1998"/>
      <c r="B57" s="1998"/>
      <c r="C57" s="1998"/>
      <c r="D57" s="1998"/>
      <c r="E57" s="1291"/>
      <c r="F57" s="1998"/>
      <c r="G57" s="1998"/>
      <c r="H57" s="1998"/>
      <c r="I57" s="1998"/>
      <c r="J57" s="1998"/>
      <c r="K57" s="1998"/>
      <c r="L57" s="1404"/>
      <c r="M57" s="1999"/>
      <c r="N57" s="1999"/>
      <c r="O57" s="1659"/>
      <c r="P57" s="1340"/>
      <c r="Q57" s="1341"/>
      <c r="R57" s="1340"/>
      <c r="S57" s="1346"/>
      <c r="T57" s="1349" t="s">
        <v>532</v>
      </c>
      <c r="U57" s="1348"/>
      <c r="V57" s="1348"/>
      <c r="W57" s="1348"/>
      <c r="X57" s="1348"/>
      <c r="Y57" s="1348"/>
      <c r="Z57" s="1348"/>
      <c r="AA57" s="1348"/>
      <c r="AB57" s="1348"/>
      <c r="AC57" s="1348"/>
      <c r="AD57" s="1348"/>
      <c r="AE57" s="1348"/>
      <c r="AF57" s="1348"/>
      <c r="AG57" s="1348"/>
      <c r="AH57" s="1348"/>
      <c r="AI57" s="1348"/>
      <c r="AJ57" s="1348"/>
      <c r="AK57" s="1348"/>
      <c r="AL57" s="1348"/>
      <c r="AM57" s="1348"/>
      <c r="AO57" s="1275"/>
      <c r="AP57" s="1275" t="str">
        <f>IF(T57="","",T57)</f>
        <v>Добавить наименование тарифа</v>
      </c>
      <c r="AQ57" s="1275"/>
      <c r="AR57" s="1275"/>
      <c r="AS57" s="1666">
        <v>1</v>
      </c>
    </row>
    <row customHeight="1" ht="11.549999999999999">
      <c r="M58" s="1655"/>
      <c r="N58" s="1655"/>
      <c r="O58" s="1659"/>
      <c r="P58" s="1655"/>
      <c r="Q58" s="1655"/>
      <c r="R58" s="1655"/>
      <c r="S58" s="1655"/>
      <c r="AN58" s="1655"/>
      <c r="AO58" s="1655"/>
      <c r="AP58" s="1655"/>
      <c r="AQ58" s="1655"/>
      <c r="AR58" s="1655"/>
      <c r="AS58" s="1655">
        <v>11</v>
      </c>
    </row>
    <row customHeight="1" ht="28.5">
      <c r="O59" s="1659"/>
      <c r="S59" s="1277"/>
      <c r="T59" s="2309"/>
      <c r="U59" s="2309"/>
      <c r="V59" s="2309"/>
      <c r="W59" s="2309"/>
      <c r="X59" s="2309"/>
      <c r="Y59" s="2309"/>
      <c r="Z59" s="2309"/>
      <c r="AA59" s="2309"/>
      <c r="AB59" s="2309"/>
      <c r="AC59" s="2309"/>
      <c r="AD59" s="2309"/>
      <c r="AE59" s="2309"/>
      <c r="AF59" s="2309"/>
      <c r="AG59" s="2309"/>
      <c r="AH59" s="2309"/>
      <c r="AI59" s="2309"/>
      <c r="AJ59" s="2309"/>
      <c r="AK59" s="2309"/>
      <c r="AL59" s="2309"/>
      <c r="AM59" s="2309"/>
      <c r="AS59" s="1655">
        <v>27</v>
      </c>
    </row>
    <row customHeight="1" ht="65.25">
      <c r="O60" s="1659"/>
      <c r="T60" s="2309"/>
      <c r="U60" s="2309"/>
      <c r="V60" s="2309"/>
      <c r="W60" s="2309"/>
      <c r="X60" s="2309"/>
      <c r="Y60" s="2309"/>
      <c r="Z60" s="2309"/>
      <c r="AA60" s="2309"/>
      <c r="AB60" s="2309"/>
      <c r="AC60" s="2309"/>
      <c r="AD60" s="2309"/>
      <c r="AE60" s="2309"/>
      <c r="AF60" s="2309"/>
      <c r="AG60" s="2309"/>
      <c r="AH60" s="2309"/>
      <c r="AI60" s="2309"/>
      <c r="AJ60" s="2309"/>
      <c r="AK60" s="2309"/>
      <c r="AL60" s="2309"/>
      <c r="AM60" s="2309"/>
      <c r="AS60" s="1655">
        <v>62</v>
      </c>
    </row>
    <row customHeight="1" ht="14.699999999999998">
      <c r="O61" s="1659"/>
      <c r="AS61" s="1655">
        <v>14</v>
      </c>
    </row>
    <row customHeight="1" ht="18.75">
      <c r="O62" s="1659"/>
      <c r="S62" s="1277"/>
      <c r="T62" s="2309"/>
      <c r="U62" s="2309"/>
      <c r="V62" s="2309"/>
      <c r="W62" s="2309"/>
      <c r="X62" s="2309"/>
      <c r="Y62" s="2309"/>
      <c r="Z62" s="2309"/>
      <c r="AA62" s="2309"/>
      <c r="AB62" s="2309"/>
      <c r="AC62" s="2309"/>
      <c r="AD62" s="2309"/>
      <c r="AE62" s="2309"/>
      <c r="AF62" s="2309"/>
      <c r="AG62" s="2309"/>
      <c r="AH62" s="2309"/>
      <c r="AI62" s="2309"/>
      <c r="AJ62" s="2309"/>
      <c r="AK62" s="2309"/>
      <c r="AL62" s="2309"/>
      <c r="AM62" s="2309"/>
      <c r="AS62" s="1655">
        <v>18</v>
      </c>
    </row>
    <row customHeight="1" ht="18.75">
      <c r="O63" s="1659"/>
      <c r="T63" s="2309"/>
      <c r="U63" s="2309"/>
      <c r="V63" s="2309"/>
      <c r="W63" s="2309"/>
      <c r="X63" s="2309"/>
      <c r="Y63" s="2309"/>
      <c r="Z63" s="2309"/>
      <c r="AA63" s="2309"/>
      <c r="AB63" s="2309"/>
      <c r="AC63" s="2309"/>
      <c r="AD63" s="2309"/>
      <c r="AE63" s="2309"/>
      <c r="AF63" s="2309"/>
      <c r="AG63" s="2309"/>
      <c r="AH63" s="2309"/>
      <c r="AI63" s="2309"/>
      <c r="AJ63" s="2309"/>
      <c r="AK63" s="2309"/>
      <c r="AL63" s="2309"/>
      <c r="AM63" s="2309"/>
      <c r="AS63" s="1655">
        <v>18</v>
      </c>
    </row>
    <row customHeight="1" ht="29.25">
      <c r="O64" s="1659"/>
      <c r="S64" s="1277"/>
      <c r="T64" s="2309"/>
      <c r="U64" s="2309"/>
      <c r="V64" s="2309"/>
      <c r="W64" s="2309"/>
      <c r="X64" s="2309"/>
      <c r="Y64" s="2309"/>
      <c r="Z64" s="2309"/>
      <c r="AA64" s="2309"/>
      <c r="AB64" s="2309"/>
      <c r="AC64" s="2309"/>
      <c r="AD64" s="2309"/>
      <c r="AE64" s="2309"/>
      <c r="AF64" s="2309"/>
      <c r="AG64" s="2309"/>
      <c r="AH64" s="2309"/>
      <c r="AI64" s="2309"/>
      <c r="AJ64" s="2309"/>
      <c r="AK64" s="2309"/>
      <c r="AL64" s="2309"/>
      <c r="AM64" s="2309"/>
      <c r="AS64" s="1655">
        <v>28</v>
      </c>
    </row>
    <row customHeight="1" ht="22.5" hidden="1">
      <c r="A65" s="1655" t="s">
        <v>82</v>
      </c>
      <c r="B65" s="1655">
        <v>0</v>
      </c>
      <c r="C65" s="1655">
        <v>0</v>
      </c>
      <c r="D65" s="1655">
        <v>0</v>
      </c>
      <c r="E65" s="1655">
        <v>0</v>
      </c>
      <c r="F65" s="1655">
        <v>0</v>
      </c>
      <c r="G65" s="1655">
        <v>0</v>
      </c>
      <c r="H65" s="1655">
        <v>0</v>
      </c>
      <c r="I65" s="1655">
        <v>0</v>
      </c>
      <c r="J65" s="1655">
        <v>0</v>
      </c>
      <c r="K65" s="1655">
        <v>0</v>
      </c>
      <c r="L65" s="1963">
        <v>0</v>
      </c>
      <c r="M65" s="1989">
        <v>0</v>
      </c>
      <c r="N65" s="1989">
        <v>0</v>
      </c>
      <c r="O65" s="1989">
        <v>0</v>
      </c>
      <c r="P65" s="1989">
        <v>3</v>
      </c>
      <c r="Q65" s="368">
        <v>3</v>
      </c>
      <c r="R65" s="368">
        <v>3</v>
      </c>
      <c r="S65" s="605">
        <v>12</v>
      </c>
      <c r="T65" s="1655">
        <v>31</v>
      </c>
      <c r="U65" s="1655">
        <v>0</v>
      </c>
      <c r="V65" s="1655">
        <v>0</v>
      </c>
      <c r="W65" s="1655">
        <v>0</v>
      </c>
      <c r="X65" s="1655">
        <v>0</v>
      </c>
      <c r="Y65" s="1655">
        <v>0</v>
      </c>
      <c r="Z65" s="1655">
        <v>0</v>
      </c>
      <c r="AA65" s="1655">
        <v>0</v>
      </c>
      <c r="AB65" s="1655">
        <v>0</v>
      </c>
      <c r="AC65" s="1655">
        <v>0</v>
      </c>
      <c r="AD65" s="1655">
        <v>24</v>
      </c>
      <c r="AE65" s="1655">
        <v>0</v>
      </c>
      <c r="AF65" s="1655">
        <v>24</v>
      </c>
      <c r="AG65" s="1655">
        <v>24</v>
      </c>
      <c r="AH65" s="1655">
        <v>11</v>
      </c>
      <c r="AI65" s="1655">
        <v>3</v>
      </c>
      <c r="AJ65" s="1655">
        <v>11</v>
      </c>
      <c r="AK65" s="1655">
        <v>0</v>
      </c>
      <c r="AL65" s="1655">
        <v>4</v>
      </c>
      <c r="AM65" s="1655">
        <v>115</v>
      </c>
      <c r="AN65" s="1660">
        <v>10</v>
      </c>
      <c r="AO65" s="1660">
        <v>10</v>
      </c>
      <c r="AP65" s="1660">
        <v>10</v>
      </c>
      <c r="AQ65" s="1660">
        <v>10</v>
      </c>
      <c r="AR65" s="1660">
        <v>10</v>
      </c>
      <c r="AS65" s="1655">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A45F1A-8727-51BA-8A9B-0.05F1BF0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2.00390625" hidden="1" customWidth="1"/>
    <col min="10" max="10" style="1390" width="9.8515625" hidden="1" customWidth="1"/>
    <col min="11" max="11" style="1390" width="11.421875" hidden="1" customWidth="1"/>
    <col min="12" max="12" style="2631" width="19.140625" hidden="1" customWidth="1"/>
    <col min="13" max="14" style="1800" width="12.28125" hidden="1" customWidth="1"/>
    <col min="15" max="15" style="1800" width="23.421875" hidden="1" customWidth="1"/>
    <col min="16" max="16" style="2421" width="3.00390625" customWidth="1"/>
    <col min="17" max="18" style="368" width="3.00390625" customWidth="1"/>
    <col min="19" max="19" style="2431" width="12.00390625" customWidth="1"/>
    <col min="20" max="20" style="1659" width="31.00390625" customWidth="1"/>
    <col min="21" max="21" style="1659" width="0.7109375" hidden="1" customWidth="1"/>
    <col min="22" max="22" style="1659" width="1.7109375" hidden="1" customWidth="1"/>
    <col min="23" max="23" style="1659" width="24.7109375" hidden="1" customWidth="1"/>
    <col min="24" max="25" style="1659" width="0.140625" hidden="1" customWidth="1"/>
    <col min="26" max="26" style="1659" width="11.7109375" hidden="1" customWidth="1"/>
    <col min="27" max="27" style="1659" width="3.7109375" hidden="1" customWidth="1"/>
    <col min="28" max="28" style="1659" width="11.7109375" hidden="1" customWidth="1"/>
    <col min="29" max="29" style="1659" width="8.57421875" hidden="1" customWidth="1"/>
    <col min="30" max="30" style="1659" width="0.140625" customWidth="1"/>
    <col min="31" max="31" style="1659" width="24.00390625" customWidth="1"/>
    <col min="32" max="33" style="1659" width="0.140625" customWidth="1"/>
    <col min="34" max="34" style="1659" width="11.00390625" customWidth="1"/>
    <col min="35" max="35" style="1659" width="3.7109375" customWidth="1"/>
    <col min="36" max="36" style="1659" width="11.00390625" customWidth="1"/>
    <col min="37" max="37" style="1659" width="8.57421875" hidden="1" customWidth="1"/>
    <col min="38" max="38" style="1659" width="4.00390625" customWidth="1"/>
    <col min="39" max="39" style="1659" width="115.00390625" customWidth="1"/>
    <col min="40" max="44" style="1666" width="10.00390625" customWidth="1"/>
    <col min="45" max="45" style="1659" width="10.57421875" hidden="1"/>
  </cols>
  <sheetData>
    <row customHeight="1" ht="22.5" hidden="1">
      <c r="Y1" s="351"/>
      <c r="Z1" s="351"/>
      <c r="AG1" s="351"/>
      <c r="AH1" s="351"/>
      <c r="AS1" s="1179" t="s">
        <v>14</v>
      </c>
    </row>
    <row customHeight="1" ht="21" hidden="1">
      <c r="A2" s="1387"/>
      <c r="B2" s="1387"/>
      <c r="C2" s="1387"/>
      <c r="D2" s="1387"/>
      <c r="E2" s="2282">
        <v>1</v>
      </c>
      <c r="F2" s="1387"/>
      <c r="G2" s="1387"/>
      <c r="H2" s="1387"/>
      <c r="I2" s="1387"/>
      <c r="J2" s="1387"/>
      <c r="K2" s="1387"/>
      <c r="L2" s="1388"/>
      <c r="M2" s="1389"/>
      <c r="N2" s="1389"/>
      <c r="O2" s="1389"/>
      <c r="P2" s="385"/>
      <c r="Q2" s="384"/>
      <c r="R2" s="379"/>
      <c r="S2" s="1360">
        <f>INDEX(PT_DIFFERENTIATION_NUM_NTAR,MATCH(A2,PT_DIFFERENTIATION_NTAR_ID,0))</f>
      </c>
      <c r="T2" s="322" t="s">
        <v>211</v>
      </c>
      <c r="U2" s="324"/>
      <c r="V2" s="2266"/>
      <c r="W2" s="2267"/>
      <c r="X2" s="2267"/>
      <c r="Y2" s="2267"/>
      <c r="Z2" s="2267"/>
      <c r="AA2" s="2267"/>
      <c r="AB2" s="2267"/>
      <c r="AC2" s="2268"/>
      <c r="AD2" s="2266">
        <f>INDEX(PT_DIFFERENTIATION_NTAR,MATCH(A2,PT_DIFFERENTIATION_NTAR_ID,0))</f>
      </c>
      <c r="AE2" s="2267"/>
      <c r="AF2" s="2267"/>
      <c r="AG2" s="2267"/>
      <c r="AH2" s="2267"/>
      <c r="AI2" s="2267"/>
      <c r="AJ2" s="2267"/>
      <c r="AK2" s="2267"/>
      <c r="AL2" s="2268"/>
      <c r="AM2" s="1282" t="s">
        <v>480</v>
      </c>
      <c r="AO2" s="524"/>
      <c r="AP2" s="524" t="str">
        <f>IF(T2="","",T2)</f>
        <v>Наименование тарифа</v>
      </c>
      <c r="AQ2" s="524"/>
      <c r="AR2" s="524"/>
      <c r="AS2" s="1179">
        <v>0</v>
      </c>
    </row>
    <row customHeight="1" ht="21" hidden="1">
      <c r="A3" s="1387"/>
      <c r="B3" s="1387"/>
      <c r="C3" s="1387"/>
      <c r="D3" s="1387"/>
      <c r="E3" s="2283"/>
      <c r="F3" s="2282">
        <v>1</v>
      </c>
      <c r="G3" s="1387"/>
      <c r="H3" s="1387"/>
      <c r="I3" s="1387"/>
      <c r="J3" s="1387"/>
      <c r="K3" s="1387"/>
      <c r="L3" s="1388"/>
      <c r="M3" s="1389"/>
      <c r="N3" s="1389"/>
      <c r="O3" s="1389"/>
      <c r="P3" s="1356"/>
      <c r="Q3" s="376"/>
      <c r="R3" s="377"/>
      <c r="S3" s="1360">
        <f>INDEX(PT_DIFFERENTIATION_NUM_TER,MATCH(B3,PT_DIFFERENTIATION_TER_ID,0))</f>
      </c>
      <c r="T3" s="332" t="s">
        <v>481</v>
      </c>
      <c r="U3" s="324"/>
      <c r="V3" s="2266"/>
      <c r="W3" s="2267"/>
      <c r="X3" s="2267"/>
      <c r="Y3" s="2267"/>
      <c r="Z3" s="2267"/>
      <c r="AA3" s="2267"/>
      <c r="AB3" s="2267"/>
      <c r="AC3" s="2268"/>
      <c r="AD3" s="2266">
        <f>INDEX(PT_DIFFERENTIATION_TER,MATCH(B3,PT_DIFFERENTIATION_TER_ID,0))</f>
      </c>
      <c r="AE3" s="2267"/>
      <c r="AF3" s="2267"/>
      <c r="AG3" s="2267"/>
      <c r="AH3" s="2267"/>
      <c r="AI3" s="2267"/>
      <c r="AJ3" s="2267"/>
      <c r="AK3" s="2267"/>
      <c r="AL3" s="2268"/>
      <c r="AM3" s="1282" t="s">
        <v>482</v>
      </c>
      <c r="AO3" s="524"/>
      <c r="AP3" s="524" t="str">
        <f>IF(T3="","",T3)</f>
        <v>Территория действия тарифа</v>
      </c>
      <c r="AQ3" s="524"/>
      <c r="AR3" s="524"/>
      <c r="AS3" s="1179">
        <v>0</v>
      </c>
    </row>
    <row customHeight="1" ht="23.25" hidden="1">
      <c r="A4" s="1387"/>
      <c r="B4" s="1387"/>
      <c r="C4" s="1387"/>
      <c r="D4" s="1387"/>
      <c r="E4" s="2283"/>
      <c r="F4" s="2283"/>
      <c r="G4" s="2282">
        <v>1</v>
      </c>
      <c r="H4" s="1387"/>
      <c r="I4" s="1387"/>
      <c r="J4" s="1387"/>
      <c r="K4" s="1387"/>
      <c r="L4" s="1388"/>
      <c r="M4" s="1389"/>
      <c r="N4" s="1389"/>
      <c r="O4" s="1389"/>
      <c r="P4" s="378"/>
      <c r="Q4" s="376"/>
      <c r="R4" s="377"/>
      <c r="S4" s="1360">
        <f>INDEX(PT_DIFFERENTIATION_NUM_CS,MATCH(C4,PT_DIFFERENTIATION_CS_ID,0))</f>
      </c>
      <c r="T4" s="333" t="s">
        <v>483</v>
      </c>
      <c r="U4" s="324"/>
      <c r="V4" s="2266"/>
      <c r="W4" s="2267"/>
      <c r="X4" s="2267"/>
      <c r="Y4" s="2267"/>
      <c r="Z4" s="2267"/>
      <c r="AA4" s="2267"/>
      <c r="AB4" s="2267"/>
      <c r="AC4" s="2268"/>
      <c r="AD4" s="2266">
        <f>INDEX(PT_DIFFERENTIATION_CS,MATCH(C4,PT_DIFFERENTIATION_CS_ID,0))</f>
      </c>
      <c r="AE4" s="2267"/>
      <c r="AF4" s="2267"/>
      <c r="AG4" s="2267"/>
      <c r="AH4" s="2267"/>
      <c r="AI4" s="2267"/>
      <c r="AJ4" s="2267"/>
      <c r="AK4" s="2267"/>
      <c r="AL4" s="2268"/>
      <c r="AM4" s="1282" t="s">
        <v>484</v>
      </c>
      <c r="AO4" s="524"/>
      <c r="AP4" s="524" t="str">
        <f>IF(T4="","",T4)</f>
        <v>Наименование системы теплоснабжения </v>
      </c>
      <c r="AQ4" s="524"/>
      <c r="AR4" s="524"/>
      <c r="AS4" s="1179">
        <v>0</v>
      </c>
    </row>
    <row customHeight="1" ht="21" hidden="1">
      <c r="A5" s="1387"/>
      <c r="B5" s="1387"/>
      <c r="C5" s="1387"/>
      <c r="D5" s="1387"/>
      <c r="E5" s="2283"/>
      <c r="F5" s="2283"/>
      <c r="G5" s="2283"/>
      <c r="H5" s="2282">
        <v>1</v>
      </c>
      <c r="I5" s="1387"/>
      <c r="J5" s="1387"/>
      <c r="K5" s="1387"/>
      <c r="L5" s="1388"/>
      <c r="M5" s="1389"/>
      <c r="N5" s="1389"/>
      <c r="O5" s="1389"/>
      <c r="P5" s="378"/>
      <c r="Q5" s="376"/>
      <c r="R5" s="377"/>
      <c r="S5" s="1360">
        <f>INDEX(PT_DIFFERENTIATION_NUM_IST_TE,MATCH(D5,PT_DIFFERENTIATION_IST_TE_ID,0))</f>
      </c>
      <c r="T5" s="334" t="s">
        <v>485</v>
      </c>
      <c r="U5" s="324"/>
      <c r="V5" s="2266"/>
      <c r="W5" s="2267"/>
      <c r="X5" s="2267"/>
      <c r="Y5" s="2267"/>
      <c r="Z5" s="2267"/>
      <c r="AA5" s="2267"/>
      <c r="AB5" s="2267"/>
      <c r="AC5" s="2268"/>
      <c r="AD5" s="2266">
        <f>INDEX(PT_DIFFERENTIATION_IST_TE,MATCH(D5,PT_DIFFERENTIATION_IST_TE_ID,0))</f>
      </c>
      <c r="AE5" s="2267"/>
      <c r="AF5" s="2267"/>
      <c r="AG5" s="2267"/>
      <c r="AH5" s="2267"/>
      <c r="AI5" s="2267"/>
      <c r="AJ5" s="2267"/>
      <c r="AK5" s="2267"/>
      <c r="AL5" s="2268"/>
      <c r="AM5" s="1282" t="s">
        <v>486</v>
      </c>
      <c r="AO5" s="524"/>
      <c r="AP5" s="524" t="str">
        <f>IF(T5="","",T5)</f>
        <v>Источник тепловой энергии  </v>
      </c>
      <c r="AQ5" s="524"/>
      <c r="AR5" s="524"/>
      <c r="AS5" s="1179">
        <v>0</v>
      </c>
    </row>
    <row customHeight="1" ht="47.25" hidden="1">
      <c r="A6" s="1387"/>
      <c r="B6" s="1387"/>
      <c r="C6" s="1387"/>
      <c r="D6" s="1387"/>
      <c r="E6" s="2283"/>
      <c r="F6" s="2283"/>
      <c r="G6" s="2283"/>
      <c r="H6" s="2283"/>
      <c r="I6" s="2280">
        <f>S5&amp;".1"</f>
      </c>
      <c r="J6" s="1387"/>
      <c r="K6" s="1387"/>
      <c r="L6" s="1388" t="s">
        <v>487</v>
      </c>
      <c r="M6" s="561"/>
      <c r="P6" s="2281">
        <v>1</v>
      </c>
      <c r="Q6" s="1355"/>
      <c r="R6" s="380"/>
      <c r="S6" s="1360">
        <f>$I6</f>
      </c>
      <c r="T6" s="309" t="s">
        <v>488</v>
      </c>
      <c r="U6" s="324"/>
      <c r="V6" s="2269"/>
      <c r="W6" s="2270"/>
      <c r="X6" s="2270"/>
      <c r="Y6" s="2270"/>
      <c r="Z6" s="2270"/>
      <c r="AA6" s="2270"/>
      <c r="AB6" s="2270"/>
      <c r="AC6" s="2271"/>
      <c r="AD6" s="2269"/>
      <c r="AE6" s="2270"/>
      <c r="AF6" s="2270"/>
      <c r="AG6" s="2270"/>
      <c r="AH6" s="2270"/>
      <c r="AI6" s="2270"/>
      <c r="AJ6" s="2270"/>
      <c r="AK6" s="2270"/>
      <c r="AL6" s="2271"/>
      <c r="AM6" s="1282" t="s">
        <v>489</v>
      </c>
      <c r="AO6" s="524"/>
      <c r="AP6" s="524" t="str">
        <f>IF(T6="","",T6)</f>
        <v>Схема подключения теплопотребляющей установки к коллектору источника тепловой энергии</v>
      </c>
      <c r="AQ6" s="524"/>
      <c r="AR6" s="524"/>
      <c r="AS6" s="1179">
        <v>0</v>
      </c>
    </row>
    <row customHeight="1" ht="21" hidden="1">
      <c r="A7" s="1387"/>
      <c r="B7" s="1387"/>
      <c r="C7" s="1387"/>
      <c r="D7" s="1387"/>
      <c r="E7" s="2283"/>
      <c r="F7" s="2283"/>
      <c r="G7" s="2283"/>
      <c r="H7" s="2283"/>
      <c r="I7" s="2310"/>
      <c r="J7" s="2280">
        <f>I6&amp;".1"</f>
      </c>
      <c r="K7" s="1387"/>
      <c r="L7" s="1388" t="s">
        <v>490</v>
      </c>
      <c r="M7" s="561"/>
      <c r="N7" s="1390"/>
      <c r="P7" s="2281"/>
      <c r="Q7" s="2281">
        <v>1</v>
      </c>
      <c r="R7" s="381"/>
      <c r="S7" s="1360">
        <f>$J7</f>
      </c>
      <c r="T7" s="310" t="s">
        <v>491</v>
      </c>
      <c r="U7" s="324"/>
      <c r="V7" s="2269"/>
      <c r="W7" s="2270"/>
      <c r="X7" s="2270"/>
      <c r="Y7" s="2270"/>
      <c r="Z7" s="2270"/>
      <c r="AA7" s="2270"/>
      <c r="AB7" s="2270"/>
      <c r="AC7" s="2271"/>
      <c r="AD7" s="2269"/>
      <c r="AE7" s="2270"/>
      <c r="AF7" s="2270"/>
      <c r="AG7" s="2270"/>
      <c r="AH7" s="2270"/>
      <c r="AI7" s="2270"/>
      <c r="AJ7" s="2270"/>
      <c r="AK7" s="2270"/>
      <c r="AL7" s="2271"/>
      <c r="AM7" s="1282" t="s">
        <v>492</v>
      </c>
      <c r="AO7" s="524"/>
      <c r="AP7" s="524" t="str">
        <f>IF(T7="","",T7)</f>
        <v>Группа потребителей</v>
      </c>
      <c r="AQ7" s="524"/>
      <c r="AR7" s="524"/>
      <c r="AS7" s="1179">
        <v>0</v>
      </c>
    </row>
    <row customHeight="1" ht="21" hidden="1">
      <c r="A8" s="1387"/>
      <c r="B8" s="1387"/>
      <c r="C8" s="1387"/>
      <c r="D8" s="1387"/>
      <c r="E8" s="2283"/>
      <c r="F8" s="2283"/>
      <c r="G8" s="2283"/>
      <c r="H8" s="2283"/>
      <c r="I8" s="2310"/>
      <c r="J8" s="2310"/>
      <c r="K8" s="2280">
        <f>J7&amp;".1"</f>
      </c>
      <c r="L8" s="1388" t="s">
        <v>493</v>
      </c>
      <c r="M8" s="561"/>
      <c r="N8" s="1390"/>
      <c r="O8" s="1390"/>
      <c r="P8" s="2281"/>
      <c r="Q8" s="2281"/>
      <c r="R8" s="381">
        <v>1</v>
      </c>
      <c r="S8" s="1360">
        <f>$K8</f>
      </c>
      <c r="T8" s="1371"/>
      <c r="U8" s="324"/>
      <c r="V8" s="349"/>
      <c r="W8" s="775"/>
      <c r="X8" s="349"/>
      <c r="Y8" s="408"/>
      <c r="Z8" s="2289"/>
      <c r="AA8" s="2131" t="s">
        <v>66</v>
      </c>
      <c r="AB8" s="2289"/>
      <c r="AC8" s="2131" t="s">
        <v>66</v>
      </c>
      <c r="AD8" s="349"/>
      <c r="AE8" s="775"/>
      <c r="AF8" s="349"/>
      <c r="AG8" s="408"/>
      <c r="AH8" s="2289"/>
      <c r="AI8" s="2131" t="s">
        <v>66</v>
      </c>
      <c r="AJ8" s="2289"/>
      <c r="AK8" s="2131" t="s">
        <v>66</v>
      </c>
      <c r="AL8" s="349"/>
      <c r="AM8" s="2277" t="s">
        <v>494</v>
      </c>
      <c r="AN8" s="535">
        <f>STRCHECKDATE(V9:AL9)</f>
      </c>
      <c r="AO8" s="524"/>
      <c r="AP8" s="524" t="str">
        <f>IF(T8="","",T8)</f>
        <v/>
      </c>
      <c r="AQ8" s="524"/>
      <c r="AR8" s="524"/>
      <c r="AS8" s="1179">
        <v>0</v>
      </c>
    </row>
    <row customHeight="1" ht="0.75" hidden="1">
      <c r="A9" s="1387"/>
      <c r="B9" s="1387"/>
      <c r="C9" s="1387"/>
      <c r="D9" s="1387"/>
      <c r="E9" s="2283"/>
      <c r="F9" s="2283"/>
      <c r="G9" s="2283"/>
      <c r="H9" s="2283"/>
      <c r="I9" s="2310"/>
      <c r="J9" s="2310"/>
      <c r="K9" s="2280"/>
      <c r="L9" s="1388"/>
      <c r="M9" s="561"/>
      <c r="N9" s="1390"/>
      <c r="O9" s="1390"/>
      <c r="P9" s="2281"/>
      <c r="Q9" s="2281"/>
      <c r="R9" s="381"/>
      <c r="S9" s="1366"/>
      <c r="T9" s="324"/>
      <c r="U9" s="324"/>
      <c r="V9" s="349"/>
      <c r="W9" s="349"/>
      <c r="X9" s="349"/>
      <c r="Y9" s="352" t="str">
        <f>Z8&amp;"-"&amp;AB8</f>
        <v>-</v>
      </c>
      <c r="Z9" s="2290"/>
      <c r="AA9" s="2131"/>
      <c r="AB9" s="2290"/>
      <c r="AC9" s="2131"/>
      <c r="AD9" s="349"/>
      <c r="AE9" s="349"/>
      <c r="AF9" s="349"/>
      <c r="AG9" s="352" t="str">
        <f>AH8&amp;"-"&amp;AJ8</f>
        <v>-</v>
      </c>
      <c r="AH9" s="2290"/>
      <c r="AI9" s="2131"/>
      <c r="AJ9" s="2290"/>
      <c r="AK9" s="2131"/>
      <c r="AL9" s="349"/>
      <c r="AM9" s="2278"/>
      <c r="AO9" s="524"/>
      <c r="AP9" s="524" t="str">
        <f>IF(T9="","",T9)</f>
        <v/>
      </c>
      <c r="AQ9" s="524"/>
      <c r="AR9" s="524"/>
      <c r="AS9" s="1179">
        <v>0</v>
      </c>
    </row>
    <row customHeight="1" ht="15" hidden="1">
      <c r="A10" s="1387"/>
      <c r="B10" s="1387"/>
      <c r="C10" s="1387"/>
      <c r="D10" s="1387"/>
      <c r="E10" s="2283"/>
      <c r="F10" s="2283"/>
      <c r="G10" s="2283"/>
      <c r="H10" s="2283"/>
      <c r="I10" s="2310"/>
      <c r="J10" s="2280"/>
      <c r="K10" s="1387"/>
      <c r="L10" s="1388"/>
      <c r="M10" s="561"/>
      <c r="N10" s="1390"/>
      <c r="P10" s="2281"/>
      <c r="Q10" s="2281"/>
      <c r="R10" s="380"/>
      <c r="S10" s="1302"/>
      <c r="T10" s="312" t="s">
        <v>495</v>
      </c>
      <c r="U10" s="391"/>
      <c r="V10" s="391"/>
      <c r="W10" s="391"/>
      <c r="X10" s="391"/>
      <c r="Y10" s="391"/>
      <c r="Z10" s="391"/>
      <c r="AA10" s="391"/>
      <c r="AB10" s="391"/>
      <c r="AC10" s="391"/>
      <c r="AD10" s="391"/>
      <c r="AE10" s="391"/>
      <c r="AF10" s="391"/>
      <c r="AG10" s="391"/>
      <c r="AH10" s="391"/>
      <c r="AI10" s="391"/>
      <c r="AJ10" s="391"/>
      <c r="AK10" s="391"/>
      <c r="AL10" s="348"/>
      <c r="AM10" s="2279"/>
      <c r="AO10" s="524"/>
      <c r="AP10" s="524" t="str">
        <f>IF(T10="","",T10)</f>
        <v>Добавить вид теплоносителя (параметры теплоносителя)</v>
      </c>
      <c r="AQ10" s="524"/>
      <c r="AR10" s="524"/>
      <c r="AS10" s="1179">
        <v>0</v>
      </c>
    </row>
    <row customHeight="1" ht="15" hidden="1">
      <c r="A11" s="1387"/>
      <c r="B11" s="1387"/>
      <c r="C11" s="1387"/>
      <c r="D11" s="1387"/>
      <c r="E11" s="2283"/>
      <c r="F11" s="2283"/>
      <c r="G11" s="2283"/>
      <c r="H11" s="2283"/>
      <c r="I11" s="2280"/>
      <c r="J11" s="1387"/>
      <c r="K11" s="1387"/>
      <c r="L11" s="1388"/>
      <c r="M11" s="561"/>
      <c r="P11" s="2281"/>
      <c r="Q11" s="1355"/>
      <c r="R11" s="380"/>
      <c r="S11" s="1302"/>
      <c r="T11" s="311" t="s">
        <v>496</v>
      </c>
      <c r="U11" s="391"/>
      <c r="V11" s="391"/>
      <c r="W11" s="391"/>
      <c r="X11" s="391"/>
      <c r="Y11" s="391"/>
      <c r="Z11" s="391"/>
      <c r="AA11" s="391"/>
      <c r="AB11" s="391"/>
      <c r="AC11" s="390"/>
      <c r="AD11" s="391"/>
      <c r="AE11" s="391"/>
      <c r="AF11" s="391"/>
      <c r="AG11" s="391"/>
      <c r="AH11" s="391"/>
      <c r="AI11" s="391"/>
      <c r="AJ11" s="391"/>
      <c r="AK11" s="390"/>
      <c r="AL11" s="391"/>
      <c r="AM11" s="327"/>
      <c r="AO11" s="524"/>
      <c r="AP11" s="524" t="str">
        <f>IF(T11="","",T11)</f>
        <v>Добавить группу потребителей</v>
      </c>
      <c r="AQ11" s="524"/>
      <c r="AR11" s="524"/>
      <c r="AS11" s="1179">
        <v>0</v>
      </c>
    </row>
    <row customHeight="1" ht="14.25" hidden="1">
      <c r="A12" s="1387"/>
      <c r="B12" s="1387"/>
      <c r="C12" s="1387"/>
      <c r="D12" s="1387"/>
      <c r="E12" s="2283"/>
      <c r="F12" s="2283"/>
      <c r="G12" s="2283"/>
      <c r="H12" s="2282"/>
      <c r="I12" s="1387"/>
      <c r="J12" s="1387"/>
      <c r="K12" s="1387"/>
      <c r="L12" s="1388"/>
      <c r="M12" s="1389"/>
      <c r="N12" s="1389"/>
      <c r="O12" s="561"/>
      <c r="P12" s="384"/>
      <c r="Q12" s="399"/>
      <c r="R12" s="379"/>
      <c r="S12" s="1302"/>
      <c r="T12" s="389" t="s">
        <v>497</v>
      </c>
      <c r="U12" s="391"/>
      <c r="V12" s="391"/>
      <c r="W12" s="391"/>
      <c r="X12" s="391"/>
      <c r="Y12" s="391"/>
      <c r="Z12" s="391"/>
      <c r="AA12" s="391"/>
      <c r="AB12" s="391"/>
      <c r="AC12" s="390"/>
      <c r="AD12" s="391"/>
      <c r="AE12" s="391"/>
      <c r="AF12" s="391"/>
      <c r="AG12" s="391"/>
      <c r="AH12" s="391"/>
      <c r="AI12" s="391"/>
      <c r="AJ12" s="391"/>
      <c r="AK12" s="390"/>
      <c r="AL12" s="391"/>
      <c r="AM12" s="327"/>
      <c r="AO12" s="524"/>
      <c r="AP12" s="524" t="str">
        <f>IF(T12="","",T12)</f>
        <v>Добавить схему подключения</v>
      </c>
      <c r="AQ12" s="524"/>
      <c r="AR12" s="524"/>
      <c r="AS12" s="1179">
        <v>0</v>
      </c>
    </row>
    <row s="1666" customFormat="1" customHeight="1" ht="0.75" hidden="1">
      <c r="A13" s="1338"/>
      <c r="B13" s="1338"/>
      <c r="C13" s="1338"/>
      <c r="D13" s="1338"/>
      <c r="E13" s="2283"/>
      <c r="F13" s="2283"/>
      <c r="G13" s="2282"/>
      <c r="H13" s="1338"/>
      <c r="I13" s="1338"/>
      <c r="J13" s="1338"/>
      <c r="K13" s="1338"/>
      <c r="L13" s="1363"/>
      <c r="M13" s="1339"/>
      <c r="N13" s="1339"/>
      <c r="P13" s="1340"/>
      <c r="Q13" s="1341"/>
      <c r="R13" s="1340"/>
      <c r="S13" s="1342"/>
      <c r="T13" s="1343" t="s">
        <v>498</v>
      </c>
      <c r="U13" s="1344"/>
      <c r="V13" s="1344"/>
      <c r="W13" s="1344"/>
      <c r="X13" s="1344"/>
      <c r="Y13" s="1344"/>
      <c r="Z13" s="1344"/>
      <c r="AA13" s="1344"/>
      <c r="AB13" s="1344"/>
      <c r="AC13" s="1344"/>
      <c r="AD13" s="1344"/>
      <c r="AE13" s="1344"/>
      <c r="AF13" s="1344"/>
      <c r="AG13" s="1344"/>
      <c r="AH13" s="1344"/>
      <c r="AI13" s="1344"/>
      <c r="AJ13" s="1344"/>
      <c r="AK13" s="1344"/>
      <c r="AL13" s="1344"/>
      <c r="AM13" s="1344"/>
      <c r="AO13" s="813"/>
      <c r="AP13" s="813" t="str">
        <f>IF(T13="","",T13)</f>
        <v>Добавить источник для дифференциации</v>
      </c>
      <c r="AQ13" s="813"/>
      <c r="AR13" s="813"/>
      <c r="AS13" s="542">
        <v>0</v>
      </c>
    </row>
    <row s="1666" customFormat="1" customHeight="1" ht="0.75" hidden="1">
      <c r="A14" s="1338"/>
      <c r="B14" s="1338"/>
      <c r="C14" s="1338"/>
      <c r="D14" s="1338"/>
      <c r="E14" s="2283"/>
      <c r="F14" s="2282"/>
      <c r="G14" s="1338"/>
      <c r="H14" s="1338"/>
      <c r="I14" s="1338"/>
      <c r="J14" s="1338"/>
      <c r="K14" s="1338"/>
      <c r="L14" s="1363"/>
      <c r="M14" s="1345"/>
      <c r="N14" s="1345"/>
      <c r="P14" s="1340"/>
      <c r="Q14" s="1341"/>
      <c r="R14" s="1340"/>
      <c r="S14" s="1346"/>
      <c r="T14" s="1347" t="s">
        <v>499</v>
      </c>
      <c r="U14" s="1348"/>
      <c r="V14" s="1348"/>
      <c r="W14" s="1348"/>
      <c r="X14" s="1348"/>
      <c r="Y14" s="1348"/>
      <c r="Z14" s="1348"/>
      <c r="AA14" s="1348"/>
      <c r="AB14" s="1348"/>
      <c r="AC14" s="1348"/>
      <c r="AD14" s="1348"/>
      <c r="AE14" s="1348"/>
      <c r="AF14" s="1348"/>
      <c r="AG14" s="1348"/>
      <c r="AH14" s="1348"/>
      <c r="AI14" s="1348"/>
      <c r="AJ14" s="1348"/>
      <c r="AK14" s="1348"/>
      <c r="AL14" s="1348"/>
      <c r="AM14" s="1348"/>
      <c r="AO14" s="813"/>
      <c r="AP14" s="813" t="str">
        <f>IF(T14="","",T14)</f>
        <v>Добавить централизованную систему для дифференциации</v>
      </c>
      <c r="AQ14" s="813"/>
      <c r="AR14" s="813"/>
      <c r="AS14" s="542">
        <v>0</v>
      </c>
    </row>
    <row s="1666" customFormat="1" customHeight="1" ht="0.75" hidden="1">
      <c r="A15" s="1338"/>
      <c r="B15" s="1338"/>
      <c r="C15" s="1338"/>
      <c r="D15" s="1338"/>
      <c r="E15" s="2282"/>
      <c r="F15" s="1338"/>
      <c r="G15" s="1338"/>
      <c r="H15" s="1338"/>
      <c r="I15" s="1338"/>
      <c r="J15" s="1338"/>
      <c r="K15" s="1338"/>
      <c r="L15" s="1363"/>
      <c r="M15" s="1345"/>
      <c r="N15" s="1345"/>
      <c r="P15" s="1340"/>
      <c r="Q15" s="1341"/>
      <c r="R15" s="1340"/>
      <c r="S15" s="1346"/>
      <c r="T15" s="1349" t="s">
        <v>500</v>
      </c>
      <c r="U15" s="1348"/>
      <c r="V15" s="1348"/>
      <c r="W15" s="1348"/>
      <c r="X15" s="1348"/>
      <c r="Y15" s="1348"/>
      <c r="Z15" s="1348"/>
      <c r="AA15" s="1348"/>
      <c r="AB15" s="1348"/>
      <c r="AC15" s="1348"/>
      <c r="AD15" s="1348"/>
      <c r="AE15" s="1348"/>
      <c r="AF15" s="1348"/>
      <c r="AG15" s="1348"/>
      <c r="AH15" s="1348"/>
      <c r="AI15" s="1348"/>
      <c r="AJ15" s="1348"/>
      <c r="AK15" s="1348"/>
      <c r="AL15" s="1348"/>
      <c r="AM15" s="1348"/>
      <c r="AO15" s="813"/>
      <c r="AP15" s="813" t="str">
        <f>IF(T15="","",T15)</f>
        <v>Добавить территорию для дифференциации</v>
      </c>
      <c r="AQ15" s="813"/>
      <c r="AR15" s="813"/>
      <c r="AS15" s="542">
        <v>0</v>
      </c>
    </row>
    <row customHeight="1" ht="14.25" hidden="1">
      <c r="AC16" s="351"/>
      <c r="AK16" s="351"/>
      <c r="AS16" s="1179">
        <v>0</v>
      </c>
    </row>
    <row customHeight="1" ht="14.25" hidden="1">
      <c r="AD17" s="1384"/>
      <c r="AE17" s="1384"/>
      <c r="AF17" s="1384"/>
      <c r="AG17" s="1385"/>
      <c r="AH17" s="2291"/>
      <c r="AI17" s="2292" t="s">
        <v>66</v>
      </c>
      <c r="AJ17" s="2291"/>
      <c r="AK17" s="2292" t="s">
        <v>66</v>
      </c>
      <c r="AS17" s="1179">
        <v>0</v>
      </c>
    </row>
    <row customHeight="1" ht="14.25" hidden="1">
      <c r="AD18" s="1384"/>
      <c r="AE18" s="1384"/>
      <c r="AF18" s="1384"/>
      <c r="AG18" s="352" t="str">
        <f>AH17&amp;"-"&amp;AJ17</f>
        <v>-</v>
      </c>
      <c r="AH18" s="2292"/>
      <c r="AI18" s="2292"/>
      <c r="AJ18" s="2292"/>
      <c r="AK18" s="2292"/>
      <c r="AS18" s="1179">
        <v>0</v>
      </c>
    </row>
    <row customHeight="1" ht="14.25" hidden="1">
      <c r="AK19" s="351"/>
      <c r="AS19" s="1179">
        <v>0</v>
      </c>
    </row>
    <row s="1390" customFormat="1" customHeight="1" ht="22.5" hidden="1">
      <c r="L20" s="1353"/>
      <c r="M20" s="1386"/>
      <c r="N20" s="1386"/>
      <c r="O20" s="1391" t="s">
        <v>501</v>
      </c>
      <c r="P20" s="1386"/>
      <c r="Q20" s="1395"/>
      <c r="R20" s="1395"/>
      <c r="S20" s="753"/>
      <c r="Z20" s="1391"/>
      <c r="AB20" s="1391"/>
      <c r="AC20" s="1390"/>
      <c r="AH20" s="1391"/>
      <c r="AJ20" s="1391"/>
      <c r="AK20" s="1390"/>
      <c r="AN20" s="535"/>
      <c r="AO20" s="535"/>
      <c r="AP20" s="535"/>
      <c r="AQ20" s="535"/>
      <c r="AR20" s="535"/>
      <c r="AS20" s="1184">
        <v>0</v>
      </c>
    </row>
    <row s="1390" customFormat="1" customHeight="1" ht="14.25" hidden="1">
      <c r="L21" s="1353"/>
      <c r="M21" s="1386"/>
      <c r="N21" s="1386"/>
      <c r="O21" s="1386"/>
      <c r="P21" s="1386"/>
      <c r="Q21" s="1395"/>
      <c r="R21" s="1395"/>
      <c r="S21" s="753"/>
      <c r="AC21" s="1390"/>
      <c r="AK21" s="1390"/>
      <c r="AN21" s="535"/>
      <c r="AO21" s="535"/>
      <c r="AP21" s="535"/>
      <c r="AQ21" s="535"/>
      <c r="AR21" s="535"/>
      <c r="AS21" s="1184">
        <v>0</v>
      </c>
    </row>
    <row s="1390" customFormat="1" customHeight="1" ht="33.75" hidden="1">
      <c r="L22" s="1353"/>
      <c r="M22" s="1386"/>
      <c r="N22" s="1386"/>
      <c r="O22" s="1388" t="s">
        <v>502</v>
      </c>
      <c r="P22" s="1386"/>
      <c r="Q22" s="1395"/>
      <c r="R22" s="1395"/>
      <c r="S22" s="753"/>
      <c r="T22" s="1184" t="s">
        <v>503</v>
      </c>
      <c r="AA22" s="210" t="s">
        <v>504</v>
      </c>
      <c r="AC22" s="210" t="s">
        <v>505</v>
      </c>
      <c r="AD22" s="1184" t="s">
        <v>503</v>
      </c>
      <c r="AI22" s="210" t="s">
        <v>506</v>
      </c>
      <c r="AK22" s="210" t="s">
        <v>505</v>
      </c>
      <c r="AN22" s="535"/>
      <c r="AO22" s="535"/>
      <c r="AP22" s="535"/>
      <c r="AQ22" s="535"/>
      <c r="AR22" s="535"/>
      <c r="AS22" s="1184">
        <v>0</v>
      </c>
    </row>
    <row customHeight="1" ht="14.25" hidden="1">
      <c r="O23" s="1388"/>
      <c r="AS23" s="1179">
        <v>0</v>
      </c>
    </row>
    <row customHeight="1" ht="14.25" hidden="1">
      <c r="O24" s="1388"/>
      <c r="AS24" s="1179">
        <v>0</v>
      </c>
    </row>
    <row customHeight="1" ht="14.699999999999998">
      <c r="Q25" s="400"/>
      <c r="R25" s="400"/>
      <c r="S25" s="1299"/>
      <c r="T25" s="387"/>
      <c r="U25" s="387"/>
      <c r="V25" s="533"/>
      <c r="W25" s="533"/>
      <c r="X25" s="533"/>
      <c r="Y25" s="533"/>
      <c r="Z25" s="533"/>
      <c r="AA25" s="533"/>
      <c r="AB25" s="533"/>
      <c r="AC25" s="533"/>
      <c r="AD25" s="533"/>
      <c r="AE25" s="533"/>
      <c r="AF25" s="533"/>
      <c r="AG25" s="533"/>
      <c r="AH25" s="533"/>
      <c r="AI25" s="533"/>
      <c r="AJ25" s="533"/>
      <c r="AK25" s="533"/>
      <c r="AS25" s="1179">
        <v>14</v>
      </c>
    </row>
    <row customHeight="1" ht="29.25">
      <c r="Q26" s="400"/>
      <c r="R26" s="400"/>
      <c r="S26" s="22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2"/>
      <c r="U26" s="2272"/>
      <c r="V26" s="2272"/>
      <c r="W26" s="2272"/>
      <c r="X26" s="2272"/>
      <c r="Y26" s="2272"/>
      <c r="Z26" s="2272"/>
      <c r="AA26" s="2272"/>
      <c r="AB26" s="2272"/>
      <c r="AC26" s="2272"/>
      <c r="AD26" s="2272"/>
      <c r="AE26" s="2272"/>
      <c r="AF26" s="2272"/>
      <c r="AG26" s="2272"/>
      <c r="AH26" s="2272"/>
      <c r="AI26" s="2272"/>
      <c r="AJ26" s="2272"/>
      <c r="AK26" s="1267"/>
      <c r="AS26" s="1179">
        <v>28</v>
      </c>
    </row>
    <row customHeight="1" ht="14.699999999999998">
      <c r="Q27" s="400"/>
      <c r="R27" s="400"/>
      <c r="S27" s="2273" t="str">
        <f>IF(org=0,"Не определено",org)</f>
        <v>АО "ДГК"</v>
      </c>
      <c r="T27" s="2273"/>
      <c r="U27" s="2273"/>
      <c r="V27" s="2273"/>
      <c r="W27" s="2273"/>
      <c r="X27" s="2273"/>
      <c r="Y27" s="2273"/>
      <c r="Z27" s="2273"/>
      <c r="AA27" s="2273"/>
      <c r="AB27" s="2273"/>
      <c r="AC27" s="2273"/>
      <c r="AD27" s="2273"/>
      <c r="AE27" s="2273"/>
      <c r="AF27" s="2273"/>
      <c r="AG27" s="2273"/>
      <c r="AH27" s="2273"/>
      <c r="AI27" s="2273"/>
      <c r="AJ27" s="2273"/>
      <c r="AK27" s="1267"/>
      <c r="AS27" s="1179">
        <v>14</v>
      </c>
    </row>
    <row customHeight="1" ht="14.25" hidden="1">
      <c r="Q28" s="400"/>
      <c r="R28" s="400"/>
      <c r="S28" s="1299"/>
      <c r="T28" s="387"/>
      <c r="U28" s="387"/>
      <c r="V28" s="346"/>
      <c r="W28" s="346"/>
      <c r="X28" s="346"/>
      <c r="Y28" s="346"/>
      <c r="Z28" s="346"/>
      <c r="AA28" s="346"/>
      <c r="AB28" s="346"/>
      <c r="AC28" s="346"/>
      <c r="AD28" s="346"/>
      <c r="AE28" s="346"/>
      <c r="AF28" s="346"/>
      <c r="AG28" s="346"/>
      <c r="AH28" s="346"/>
      <c r="AI28" s="346"/>
      <c r="AJ28" s="346"/>
      <c r="AK28" s="346"/>
      <c r="AL28" s="533"/>
      <c r="AS28" s="1179">
        <v>0</v>
      </c>
    </row>
    <row s="1877" customFormat="1" customHeight="1" ht="25.5" hidden="1">
      <c r="A29" s="1392"/>
      <c r="B29" s="1392"/>
      <c r="C29" s="1392"/>
      <c r="D29" s="1392"/>
      <c r="E29" s="1392"/>
      <c r="F29" s="1392"/>
      <c r="G29" s="1392"/>
      <c r="H29" s="1392"/>
      <c r="I29" s="1392"/>
      <c r="J29" s="1392"/>
      <c r="K29" s="1392"/>
      <c r="L29" s="1393"/>
      <c r="M29" s="1392"/>
      <c r="N29" s="1392"/>
      <c r="O29" s="1392"/>
      <c r="S29" s="2274" t="s">
        <v>42</v>
      </c>
      <c r="T29" s="2274"/>
      <c r="U29" s="1396"/>
      <c r="V29" s="2275" t="str">
        <f>IF(TITLE_NAME_OR_PR_CHANGE="",IF(TITLE_NAME_OR_PR="","",TITLE_NAME_OR_PR),TITLE_NAME_OR_PR_CHANGE)</f>
        <v/>
      </c>
      <c r="W29" s="2275"/>
      <c r="X29" s="2275"/>
      <c r="Y29" s="2275"/>
      <c r="Z29" s="2275"/>
      <c r="AA29" s="2275"/>
      <c r="AB29" s="2275"/>
      <c r="AC29" s="350"/>
      <c r="AD29" s="2275" t="str">
        <f>IF(TITLE_NAME_OR_PR_CHANGE="",IF(TITLE_NAME_OR_PR="","",TITLE_NAME_OR_PR),TITLE_NAME_OR_PR_CHANGE)</f>
        <v/>
      </c>
      <c r="AE29" s="2275"/>
      <c r="AF29" s="2275"/>
      <c r="AG29" s="2275"/>
      <c r="AH29" s="2275"/>
      <c r="AI29" s="2275"/>
      <c r="AJ29" s="2275"/>
      <c r="AK29" s="350"/>
      <c r="AL29" s="350"/>
      <c r="AM29" s="304"/>
      <c r="AN29" s="392"/>
      <c r="AO29" s="392"/>
      <c r="AP29" s="392"/>
      <c r="AQ29" s="392"/>
      <c r="AR29" s="392"/>
      <c r="AS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507</v>
      </c>
      <c r="T30" s="2274"/>
      <c r="U30" s="1396"/>
      <c r="V30" s="2288" t="str">
        <f>IF(TITLE_DATE_PR_CHANGE="",IF(TITLE_DATE_PR="","",TITLE_DATE_PR),TITLE_DATE_PR_CHANGE)</f>
        <v/>
      </c>
      <c r="W30" s="2288"/>
      <c r="X30" s="2288"/>
      <c r="Y30" s="2288"/>
      <c r="Z30" s="2288"/>
      <c r="AA30" s="2288"/>
      <c r="AB30" s="2288"/>
      <c r="AC30" s="350"/>
      <c r="AD30" s="2288" t="str">
        <f>IF(TITLE_DATE_PR_CHANGE="",IF(TITLE_DATE_PR="","",TITLE_DATE_PR),TITLE_DATE_PR_CHANGE)</f>
        <v/>
      </c>
      <c r="AE30" s="2288"/>
      <c r="AF30" s="2288"/>
      <c r="AG30" s="2288"/>
      <c r="AH30" s="2288"/>
      <c r="AI30" s="2288"/>
      <c r="AJ30" s="2288"/>
      <c r="AK30" s="350"/>
      <c r="AL30" s="350"/>
      <c r="AM30" s="304"/>
      <c r="AN30" s="392"/>
      <c r="AO30" s="392"/>
      <c r="AP30" s="392"/>
      <c r="AQ30" s="392"/>
      <c r="AR30" s="392"/>
      <c r="AS30" s="442">
        <v>0</v>
      </c>
    </row>
    <row s="1877" customFormat="1" customHeight="1" ht="18.75" hidden="1">
      <c r="A31" s="1392"/>
      <c r="B31" s="1392"/>
      <c r="C31" s="1392"/>
      <c r="D31" s="1392"/>
      <c r="E31" s="1392"/>
      <c r="F31" s="1392"/>
      <c r="G31" s="1392"/>
      <c r="H31" s="1392"/>
      <c r="I31" s="1392"/>
      <c r="J31" s="1392"/>
      <c r="K31" s="1392"/>
      <c r="L31" s="1393"/>
      <c r="M31" s="1392"/>
      <c r="N31" s="1392"/>
      <c r="O31" s="1392"/>
      <c r="S31" s="2274" t="s">
        <v>508</v>
      </c>
      <c r="T31" s="2274"/>
      <c r="U31" s="1396"/>
      <c r="V31" s="2275" t="str">
        <f>IF(TITLE_NUMBER_PR_CHANGE="",IF(TITLE_NUMBER_PR="","",TITLE_NUMBER_PR),TITLE_NUMBER_PR_CHANGE)</f>
        <v/>
      </c>
      <c r="W31" s="2275"/>
      <c r="X31" s="2275"/>
      <c r="Y31" s="2275"/>
      <c r="Z31" s="2275"/>
      <c r="AA31" s="2275"/>
      <c r="AB31" s="2275"/>
      <c r="AC31" s="350"/>
      <c r="AD31" s="2275" t="str">
        <f>IF(TITLE_NUMBER_PR_CHANGE="",IF(TITLE_NUMBER_PR="","",TITLE_NUMBER_PR),TITLE_NUMBER_PR_CHANGE)</f>
        <v/>
      </c>
      <c r="AE31" s="2275"/>
      <c r="AF31" s="2275"/>
      <c r="AG31" s="2275"/>
      <c r="AH31" s="2275"/>
      <c r="AI31" s="2275"/>
      <c r="AJ31" s="2275"/>
      <c r="AK31" s="350"/>
      <c r="AL31" s="350"/>
      <c r="AM31" s="304"/>
      <c r="AN31" s="392"/>
      <c r="AO31" s="392"/>
      <c r="AP31" s="392"/>
      <c r="AQ31" s="392"/>
      <c r="AR31" s="392"/>
      <c r="AS31" s="442">
        <v>0</v>
      </c>
    </row>
    <row s="1877" customFormat="1" customHeight="1" ht="18.75" hidden="1">
      <c r="A32" s="1392"/>
      <c r="B32" s="1392"/>
      <c r="C32" s="1392"/>
      <c r="D32" s="1392"/>
      <c r="E32" s="1392"/>
      <c r="F32" s="1392"/>
      <c r="G32" s="1392"/>
      <c r="H32" s="1392"/>
      <c r="I32" s="1392"/>
      <c r="J32" s="1392"/>
      <c r="K32" s="1392"/>
      <c r="L32" s="1393"/>
      <c r="M32" s="1392"/>
      <c r="N32" s="1392"/>
      <c r="O32" s="1392"/>
      <c r="S32" s="2274" t="s">
        <v>43</v>
      </c>
      <c r="T32" s="2274"/>
      <c r="U32" s="1396"/>
      <c r="V32" s="2275" t="str">
        <f>IF(TITLE_IST_PUB_CHANGE="",IF(TITLE_IST_PUB="","",TITLE_IST_PUB),TITLE_IST_PUB_CHANGE)</f>
        <v/>
      </c>
      <c r="W32" s="2275"/>
      <c r="X32" s="2275"/>
      <c r="Y32" s="2275"/>
      <c r="Z32" s="2275"/>
      <c r="AA32" s="2275"/>
      <c r="AB32" s="2275"/>
      <c r="AC32" s="350"/>
      <c r="AD32" s="2275" t="str">
        <f>IF(TITLE_IST_PUB_CHANGE="",IF(TITLE_IST_PUB="","",TITLE_IST_PUB),TITLE_IST_PUB_CHANGE)</f>
        <v/>
      </c>
      <c r="AE32" s="2275"/>
      <c r="AF32" s="2275"/>
      <c r="AG32" s="2275"/>
      <c r="AH32" s="2275"/>
      <c r="AI32" s="2275"/>
      <c r="AJ32" s="2275"/>
      <c r="AK32" s="350"/>
      <c r="AL32" s="350"/>
      <c r="AM32" s="304"/>
      <c r="AN32" s="392"/>
      <c r="AO32" s="392"/>
      <c r="AP32" s="392"/>
      <c r="AQ32" s="392"/>
      <c r="AR32" s="392"/>
      <c r="AS32" s="442">
        <v>0</v>
      </c>
    </row>
    <row customHeight="1" ht="14.25" hidden="1">
      <c r="Q33" s="400"/>
      <c r="R33" s="400"/>
      <c r="S33" s="1299"/>
      <c r="T33" s="387"/>
      <c r="U33" s="387"/>
      <c r="V33" s="346"/>
      <c r="W33" s="346"/>
      <c r="X33" s="346"/>
      <c r="Y33" s="346"/>
      <c r="Z33" s="346"/>
      <c r="AA33" s="346"/>
      <c r="AB33" s="346"/>
      <c r="AC33" s="346"/>
      <c r="AD33" s="346"/>
      <c r="AE33" s="346"/>
      <c r="AF33" s="346"/>
      <c r="AG33" s="346"/>
      <c r="AH33" s="346"/>
      <c r="AI33" s="346"/>
      <c r="AJ33" s="346"/>
      <c r="AK33" s="346"/>
      <c r="AL33" s="533"/>
      <c r="AS33" s="1179">
        <v>0</v>
      </c>
    </row>
    <row s="1877" customFormat="1" customHeight="1" ht="18.75" hidden="1">
      <c r="A34" s="1392"/>
      <c r="B34" s="1392"/>
      <c r="C34" s="1392"/>
      <c r="D34" s="1392"/>
      <c r="E34" s="1392"/>
      <c r="F34" s="1392"/>
      <c r="G34" s="1392"/>
      <c r="H34" s="1392"/>
      <c r="I34" s="1392"/>
      <c r="J34" s="1392"/>
      <c r="K34" s="1392"/>
      <c r="L34" s="1393"/>
      <c r="M34" s="1392"/>
      <c r="N34" s="1392"/>
      <c r="O34" s="1392"/>
      <c r="S34" s="2274" t="s">
        <v>509</v>
      </c>
      <c r="T34" s="2274"/>
      <c r="U34" s="1396"/>
      <c r="V34" s="2288" t="str">
        <f>IF(TITLE_DATE_PR_CHANGE="",IF(TITLE_DATE_PR="","",TITLE_DATE_PR),TITLE_DATE_PR_CHANGE)</f>
        <v/>
      </c>
      <c r="W34" s="2288"/>
      <c r="X34" s="2288"/>
      <c r="Y34" s="2288"/>
      <c r="Z34" s="2288"/>
      <c r="AA34" s="2288"/>
      <c r="AB34" s="2288"/>
      <c r="AC34" s="350"/>
      <c r="AD34" s="2288" t="str">
        <f>IF(TITLE_DATE_PR_CHANGE="",IF(TITLE_DATE_PR="","",TITLE_DATE_PR),TITLE_DATE_PR_CHANGE)</f>
        <v/>
      </c>
      <c r="AE34" s="2288"/>
      <c r="AF34" s="2288"/>
      <c r="AG34" s="2288"/>
      <c r="AH34" s="2288"/>
      <c r="AI34" s="2288"/>
      <c r="AJ34" s="2288"/>
      <c r="AK34" s="350"/>
      <c r="AL34" s="350"/>
      <c r="AM34" s="304"/>
      <c r="AN34" s="392"/>
      <c r="AO34" s="392"/>
      <c r="AP34" s="392"/>
      <c r="AQ34" s="392"/>
      <c r="AR34" s="392"/>
      <c r="AS34" s="442">
        <v>0</v>
      </c>
    </row>
    <row s="1877" customFormat="1" customHeight="1" ht="18.75" hidden="1">
      <c r="A35" s="1392"/>
      <c r="B35" s="1392"/>
      <c r="C35" s="1392"/>
      <c r="D35" s="1392"/>
      <c r="E35" s="1392"/>
      <c r="F35" s="1392"/>
      <c r="G35" s="1392"/>
      <c r="H35" s="1392"/>
      <c r="I35" s="1392"/>
      <c r="J35" s="1392"/>
      <c r="K35" s="1392"/>
      <c r="L35" s="1393"/>
      <c r="M35" s="1392"/>
      <c r="N35" s="1392"/>
      <c r="O35" s="1392"/>
      <c r="S35" s="2274" t="s">
        <v>510</v>
      </c>
      <c r="T35" s="2274"/>
      <c r="U35" s="1396"/>
      <c r="V35" s="2275" t="str">
        <f>IF(TITLE_NUMBER_PR_CHANGE="",IF(TITLE_NUMBER_PR="","",TITLE_NUMBER_PR),TITLE_NUMBER_PR_CHANGE)</f>
        <v/>
      </c>
      <c r="W35" s="2275"/>
      <c r="X35" s="2275"/>
      <c r="Y35" s="2275"/>
      <c r="Z35" s="2275"/>
      <c r="AA35" s="2275"/>
      <c r="AB35" s="2275"/>
      <c r="AC35" s="350"/>
      <c r="AD35" s="2275" t="str">
        <f>IF(TITLE_NUMBER_PR_CHANGE="",IF(TITLE_NUMBER_PR="","",TITLE_NUMBER_PR),TITLE_NUMBER_PR_CHANGE)</f>
        <v/>
      </c>
      <c r="AE35" s="2275"/>
      <c r="AF35" s="2275"/>
      <c r="AG35" s="2275"/>
      <c r="AH35" s="2275"/>
      <c r="AI35" s="2275"/>
      <c r="AJ35" s="2275"/>
      <c r="AK35" s="350"/>
      <c r="AL35" s="350"/>
      <c r="AM35" s="304"/>
      <c r="AN35" s="392"/>
      <c r="AO35" s="392"/>
      <c r="AP35" s="392"/>
      <c r="AQ35" s="392"/>
      <c r="AR35" s="392"/>
      <c r="AS35" s="442">
        <v>0</v>
      </c>
    </row>
    <row s="1877" customFormat="1" customHeight="1" ht="0">
      <c r="A36" s="1392"/>
      <c r="B36" s="1392"/>
      <c r="C36" s="1392"/>
      <c r="D36" s="1392"/>
      <c r="E36" s="1392"/>
      <c r="F36" s="1392"/>
      <c r="G36" s="1392"/>
      <c r="H36" s="1392"/>
      <c r="I36" s="1392"/>
      <c r="J36" s="1392"/>
      <c r="K36" s="1392"/>
      <c r="L36" s="1393"/>
      <c r="M36" s="1392"/>
      <c r="N36" s="1392"/>
      <c r="O36" s="1392"/>
      <c r="S36" s="347"/>
      <c r="T36" s="347"/>
      <c r="U36" s="1364"/>
      <c r="V36" s="350"/>
      <c r="W36" s="350"/>
      <c r="X36" s="350"/>
      <c r="Y36" s="350"/>
      <c r="Z36" s="350"/>
      <c r="AA36" s="350"/>
      <c r="AB36" s="350"/>
      <c r="AC36" s="302" t="s">
        <v>511</v>
      </c>
      <c r="AD36" s="350"/>
      <c r="AE36" s="350"/>
      <c r="AF36" s="350"/>
      <c r="AG36" s="350"/>
      <c r="AH36" s="350"/>
      <c r="AI36" s="350"/>
      <c r="AJ36" s="350"/>
      <c r="AK36" s="302" t="s">
        <v>511</v>
      </c>
      <c r="AN36" s="392"/>
      <c r="AO36" s="392"/>
      <c r="AP36" s="392"/>
      <c r="AQ36" s="392"/>
      <c r="AR36" s="392"/>
      <c r="AS36" s="442">
        <v>0</v>
      </c>
    </row>
    <row customHeight="1" ht="14.699999999999998">
      <c r="Q37" s="400"/>
      <c r="R37" s="400"/>
      <c r="S37" s="1299"/>
      <c r="T37" s="387"/>
      <c r="U37" s="1268"/>
      <c r="V37" s="2276"/>
      <c r="W37" s="2276"/>
      <c r="X37" s="2276"/>
      <c r="Y37" s="2276"/>
      <c r="Z37" s="2276"/>
      <c r="AA37" s="2276"/>
      <c r="AB37" s="2276"/>
      <c r="AC37" s="2276"/>
      <c r="AD37" s="2276"/>
      <c r="AE37" s="2276"/>
      <c r="AF37" s="2276"/>
      <c r="AG37" s="2276"/>
      <c r="AH37" s="2276"/>
      <c r="AI37" s="2276"/>
      <c r="AJ37" s="2276"/>
      <c r="AK37" s="2276"/>
      <c r="AS37" s="1179">
        <v>14</v>
      </c>
    </row>
    <row customHeight="1" ht="14.699999999999998">
      <c r="Q38" s="400"/>
      <c r="R38" s="400"/>
      <c r="S38" s="2151" t="s">
        <v>384</v>
      </c>
      <c r="T38" s="2151"/>
      <c r="U38" s="2151"/>
      <c r="V38" s="2151"/>
      <c r="W38" s="2151"/>
      <c r="X38" s="2151"/>
      <c r="Y38" s="2151"/>
      <c r="Z38" s="2151"/>
      <c r="AA38" s="2151"/>
      <c r="AB38" s="2151"/>
      <c r="AC38" s="2151"/>
      <c r="AD38" s="2151"/>
      <c r="AE38" s="2151"/>
      <c r="AF38" s="2151"/>
      <c r="AG38" s="2151"/>
      <c r="AH38" s="2151"/>
      <c r="AI38" s="2151"/>
      <c r="AJ38" s="2151"/>
      <c r="AK38" s="2151"/>
      <c r="AL38" s="2151"/>
      <c r="AM38" s="2151" t="s">
        <v>385</v>
      </c>
      <c r="AS38" s="1179">
        <v>14</v>
      </c>
    </row>
    <row customHeight="1" ht="14.699999999999998">
      <c r="Q39" s="400"/>
      <c r="R39" s="400"/>
      <c r="S39" s="2297" t="s">
        <v>88</v>
      </c>
      <c r="T39" s="2233" t="s">
        <v>512</v>
      </c>
      <c r="U39" s="325"/>
      <c r="V39" s="2298" t="s">
        <v>513</v>
      </c>
      <c r="W39" s="2299"/>
      <c r="X39" s="2315"/>
      <c r="Y39" s="2315"/>
      <c r="Z39" s="2299"/>
      <c r="AA39" s="2299"/>
      <c r="AB39" s="2300"/>
      <c r="AC39" s="2301" t="s">
        <v>514</v>
      </c>
      <c r="AD39" s="2298" t="s">
        <v>513</v>
      </c>
      <c r="AE39" s="2299"/>
      <c r="AF39" s="2315"/>
      <c r="AG39" s="2315"/>
      <c r="AH39" s="2299"/>
      <c r="AI39" s="2299"/>
      <c r="AJ39" s="2300"/>
      <c r="AK39" s="2301" t="s">
        <v>515</v>
      </c>
      <c r="AL39" s="2304" t="s">
        <v>516</v>
      </c>
      <c r="AM39" s="2151"/>
      <c r="AS39" s="1179">
        <v>14</v>
      </c>
    </row>
    <row customHeight="1" ht="24">
      <c r="Q40" s="400"/>
      <c r="R40" s="400"/>
      <c r="S40" s="2297"/>
      <c r="T40" s="2233"/>
      <c r="U40" s="1055"/>
      <c r="V40" s="2316" t="s">
        <v>517</v>
      </c>
      <c r="W40" s="2318" t="s">
        <v>518</v>
      </c>
      <c r="X40" s="1400" t="s">
        <v>519</v>
      </c>
      <c r="Y40" s="1400"/>
      <c r="Z40" s="2293" t="s">
        <v>520</v>
      </c>
      <c r="AA40" s="2293"/>
      <c r="AB40" s="2287"/>
      <c r="AC40" s="2302"/>
      <c r="AD40" s="2316" t="s">
        <v>517</v>
      </c>
      <c r="AE40" s="2318" t="s">
        <v>518</v>
      </c>
      <c r="AF40" s="1400" t="s">
        <v>519</v>
      </c>
      <c r="AG40" s="1400"/>
      <c r="AH40" s="2293" t="s">
        <v>520</v>
      </c>
      <c r="AI40" s="2293"/>
      <c r="AJ40" s="2287"/>
      <c r="AK40" s="2302"/>
      <c r="AL40" s="2305"/>
      <c r="AM40" s="2151"/>
      <c r="AS40" s="1179">
        <v>23</v>
      </c>
    </row>
    <row s="1290" customFormat="1" customHeight="1" ht="24">
      <c r="A41" s="1394"/>
      <c r="B41" s="1394" t="s">
        <v>223</v>
      </c>
      <c r="C41" s="1394" t="s">
        <v>224</v>
      </c>
      <c r="D41" s="1394" t="s">
        <v>225</v>
      </c>
      <c r="E41" s="1388" t="s">
        <v>521</v>
      </c>
      <c r="F41" s="1388" t="s">
        <v>522</v>
      </c>
      <c r="G41" s="1388" t="s">
        <v>523</v>
      </c>
      <c r="H41" s="1388" t="s">
        <v>524</v>
      </c>
      <c r="I41" s="1388" t="s">
        <v>525</v>
      </c>
      <c r="J41" s="1388" t="s">
        <v>526</v>
      </c>
      <c r="K41" s="1388" t="s">
        <v>527</v>
      </c>
      <c r="L41" s="1388" t="s">
        <v>502</v>
      </c>
      <c r="M41" s="1386"/>
      <c r="N41" s="1386"/>
      <c r="O41" s="1386"/>
      <c r="P41" s="1352"/>
      <c r="Q41" s="400"/>
      <c r="R41" s="400"/>
      <c r="S41" s="2297"/>
      <c r="T41" s="2233"/>
      <c r="U41" s="326"/>
      <c r="V41" s="2317"/>
      <c r="W41" s="2319"/>
      <c r="X41" s="1397" t="s">
        <v>528</v>
      </c>
      <c r="Y41" s="1397" t="s">
        <v>529</v>
      </c>
      <c r="Z41" s="1358" t="s">
        <v>530</v>
      </c>
      <c r="AA41" s="2294" t="s">
        <v>531</v>
      </c>
      <c r="AB41" s="2295"/>
      <c r="AC41" s="2303"/>
      <c r="AD41" s="2317"/>
      <c r="AE41" s="2319"/>
      <c r="AF41" s="1397" t="s">
        <v>528</v>
      </c>
      <c r="AG41" s="1397" t="s">
        <v>529</v>
      </c>
      <c r="AH41" s="1358" t="s">
        <v>530</v>
      </c>
      <c r="AI41" s="2294" t="s">
        <v>531</v>
      </c>
      <c r="AJ41" s="2295"/>
      <c r="AK41" s="2303"/>
      <c r="AL41" s="2306"/>
      <c r="AM41" s="2151"/>
      <c r="AN41" s="535"/>
      <c r="AO41" s="524"/>
      <c r="AP41" s="524"/>
      <c r="AQ41" s="524"/>
      <c r="AR41" s="524"/>
      <c r="AS41" s="606">
        <v>23</v>
      </c>
    </row>
    <row s="1665" customFormat="1" customHeight="1" ht="11.25" hidden="1">
      <c r="A42" s="1394"/>
      <c r="B42" s="1394"/>
      <c r="C42" s="1394"/>
      <c r="D42" s="1394"/>
      <c r="E42" s="1394"/>
      <c r="F42" s="1394"/>
      <c r="G42" s="1394"/>
      <c r="H42" s="1394"/>
      <c r="I42" s="1394"/>
      <c r="J42" s="1394"/>
      <c r="K42" s="1394"/>
      <c r="L42" s="1388"/>
      <c r="M42" s="1386"/>
      <c r="N42" s="1386"/>
      <c r="O42" s="1386"/>
      <c r="P42" s="1270"/>
      <c r="Q42" s="1271"/>
      <c r="R42" s="1278">
        <v>1</v>
      </c>
      <c r="S42" s="1301" t="s">
        <v>170</v>
      </c>
      <c r="T42" s="1279" t="s">
        <v>103</v>
      </c>
      <c r="U42" s="1269" t="str">
        <f>OFFSET(U42,0,-1)</f>
        <v>2</v>
      </c>
      <c r="V42" s="1359">
        <f>OFFSET(V42,0,-1)+1</f>
        <v>3</v>
      </c>
      <c r="W42" s="1359"/>
      <c r="X42" s="1365">
        <f>OFFSET(X42,0,-1)+1</f>
        <v>1</v>
      </c>
      <c r="Y42" s="1365">
        <f>OFFSET(Y42,0,-1)+1</f>
        <v>2</v>
      </c>
      <c r="Z42" s="1359">
        <f>OFFSET(Z42,0,-1)+1</f>
        <v>3</v>
      </c>
      <c r="AA42" s="2296">
        <f>OFFSET(AA42,0,-1)+1</f>
        <v>4</v>
      </c>
      <c r="AB42" s="2296"/>
      <c r="AC42" s="1359">
        <f>OFFSET(AC42,0,-2)+1</f>
        <v>5</v>
      </c>
      <c r="AD42" s="1359">
        <f>OFFSET(AD42,0,-1)+1</f>
        <v>6</v>
      </c>
      <c r="AE42" s="1359"/>
      <c r="AF42" s="1365">
        <f>OFFSET(AF42,0,-1)+1</f>
        <v>1</v>
      </c>
      <c r="AG42" s="1365">
        <f>OFFSET(AG42,0,-1)+1</f>
        <v>2</v>
      </c>
      <c r="AH42" s="1359">
        <f>OFFSET(AH42,0,-1)+1</f>
        <v>3</v>
      </c>
      <c r="AI42" s="2296">
        <f>OFFSET(AI42,0,-1)+1</f>
        <v>4</v>
      </c>
      <c r="AJ42" s="2296"/>
      <c r="AK42" s="1359">
        <f>OFFSET(AK42,0,-2)+1</f>
        <v>5</v>
      </c>
      <c r="AL42" s="1269">
        <f>OFFSET(AL42,0,-1)</f>
        <v>5</v>
      </c>
      <c r="AM42" s="1359">
        <f>OFFSET(AM42,0,-1)+1</f>
        <v>6</v>
      </c>
      <c r="AN42" s="535"/>
      <c r="AO42" s="535"/>
      <c r="AP42" s="535"/>
      <c r="AQ42" s="535"/>
      <c r="AR42" s="535"/>
      <c r="AS42" s="520">
        <v>0</v>
      </c>
    </row>
    <row customHeight="1" ht="22.049999999999997">
      <c r="A43" s="1387" t="s">
        <v>278</v>
      </c>
      <c r="B43" s="1387"/>
      <c r="C43" s="1387"/>
      <c r="D43" s="1387"/>
      <c r="E43" s="2282">
        <v>1</v>
      </c>
      <c r="F43" s="1387"/>
      <c r="G43" s="1387"/>
      <c r="H43" s="1387"/>
      <c r="I43" s="1387"/>
      <c r="J43" s="1387"/>
      <c r="K43" s="1387"/>
      <c r="L43" s="1388"/>
      <c r="M43" s="1389"/>
      <c r="N43" s="1389"/>
      <c r="O43" s="1389"/>
      <c r="P43" s="385"/>
      <c r="Q43" s="384"/>
      <c r="R43" s="379"/>
      <c r="S43" s="1360">
        <f>INDEX(PT_DIFFERENTIATION_NUM_NTAR,MATCH(A43,PT_DIFFERENTIATION_NTAR_ID,0))</f>
        <v>0</v>
      </c>
      <c r="T43" s="322" t="s">
        <v>211</v>
      </c>
      <c r="U43" s="324"/>
      <c r="V43" s="2266"/>
      <c r="W43" s="2267"/>
      <c r="X43" s="2267"/>
      <c r="Y43" s="2267"/>
      <c r="Z43" s="2267"/>
      <c r="AA43" s="2267"/>
      <c r="AB43" s="2267"/>
      <c r="AC43" s="2268"/>
      <c r="AD43" s="2266" t="str">
        <f>INDEX(PT_DIFFERENTIATION_NTAR,MATCH(A43,PT_DIFFERENTIATION_NTAR_ID,0))</f>
        <v/>
      </c>
      <c r="AE43" s="2267"/>
      <c r="AF43" s="2267"/>
      <c r="AG43" s="2267"/>
      <c r="AH43" s="2267"/>
      <c r="AI43" s="2267"/>
      <c r="AJ43" s="2267"/>
      <c r="AK43" s="2267"/>
      <c r="AL43" s="2268"/>
      <c r="AM43" s="12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24"/>
      <c r="AP43" s="524" t="str">
        <f>IF(T43="","",T43)</f>
        <v>Наименование тарифа</v>
      </c>
      <c r="AQ43" s="524"/>
      <c r="AR43" s="524"/>
      <c r="AS43" s="1179">
        <v>21</v>
      </c>
    </row>
    <row customHeight="1" ht="22.049999999999997">
      <c r="A44" s="1387" t="s">
        <v>278</v>
      </c>
      <c r="B44" s="1387" t="s">
        <v>279</v>
      </c>
      <c r="C44" s="1387"/>
      <c r="D44" s="1387"/>
      <c r="E44" s="2283"/>
      <c r="F44" s="2282">
        <v>1</v>
      </c>
      <c r="G44" s="1387"/>
      <c r="H44" s="1387"/>
      <c r="I44" s="1387"/>
      <c r="J44" s="1387"/>
      <c r="K44" s="1387"/>
      <c r="L44" s="1388"/>
      <c r="M44" s="1389"/>
      <c r="N44" s="1389"/>
      <c r="O44" s="1389"/>
      <c r="P44" s="1356"/>
      <c r="Q44" s="376"/>
      <c r="R44" s="377"/>
      <c r="S44" s="1360" t="str">
        <f>INDEX(PT_DIFFERENTIATION_NUM_TER,MATCH(B44,PT_DIFFERENTIATION_TER_ID,0))</f>
        <v>.</v>
      </c>
      <c r="T44" s="332" t="s">
        <v>481</v>
      </c>
      <c r="U44" s="324"/>
      <c r="V44" s="2266"/>
      <c r="W44" s="2267"/>
      <c r="X44" s="2267"/>
      <c r="Y44" s="2267"/>
      <c r="Z44" s="2267"/>
      <c r="AA44" s="2267"/>
      <c r="AB44" s="2267"/>
      <c r="AC44" s="2268"/>
      <c r="AD44" s="2266" t="str">
        <f>INDEX(PT_DIFFERENTIATION_TER,MATCH(B44,PT_DIFFERENTIATION_TER_ID,0))</f>
        <v/>
      </c>
      <c r="AE44" s="2267"/>
      <c r="AF44" s="2267"/>
      <c r="AG44" s="2267"/>
      <c r="AH44" s="2267"/>
      <c r="AI44" s="2267"/>
      <c r="AJ44" s="2267"/>
      <c r="AK44" s="2267"/>
      <c r="AL44" s="2268"/>
      <c r="AM44" s="1282" t="s">
        <v>482</v>
      </c>
      <c r="AO44" s="524"/>
      <c r="AP44" s="524" t="str">
        <f>IF(T44="","",T44)</f>
        <v>Территория действия тарифа</v>
      </c>
      <c r="AQ44" s="524"/>
      <c r="AR44" s="524"/>
      <c r="AS44" s="1179">
        <v>21</v>
      </c>
    </row>
    <row customHeight="1" ht="24">
      <c r="A45" s="1387" t="s">
        <v>278</v>
      </c>
      <c r="B45" s="1387" t="s">
        <v>279</v>
      </c>
      <c r="C45" s="1387" t="s">
        <v>280</v>
      </c>
      <c r="D45" s="1387"/>
      <c r="E45" s="2283"/>
      <c r="F45" s="2283"/>
      <c r="G45" s="2282">
        <v>1</v>
      </c>
      <c r="H45" s="1387"/>
      <c r="I45" s="1387"/>
      <c r="J45" s="1387"/>
      <c r="K45" s="1387"/>
      <c r="L45" s="1388"/>
      <c r="M45" s="1389"/>
      <c r="N45" s="1389"/>
      <c r="O45" s="1389"/>
      <c r="P45" s="378"/>
      <c r="Q45" s="376"/>
      <c r="R45" s="377"/>
      <c r="S45" s="1360" t="str">
        <f>INDEX(PT_DIFFERENTIATION_NUM_CS,MATCH(C45,PT_DIFFERENTIATION_CS_ID,0))</f>
        <v>..</v>
      </c>
      <c r="T45" s="333" t="s">
        <v>483</v>
      </c>
      <c r="U45" s="324"/>
      <c r="V45" s="2266"/>
      <c r="W45" s="2267"/>
      <c r="X45" s="2267"/>
      <c r="Y45" s="2267"/>
      <c r="Z45" s="2267"/>
      <c r="AA45" s="2267"/>
      <c r="AB45" s="2267"/>
      <c r="AC45" s="2268"/>
      <c r="AD45" s="2266" t="str">
        <f>INDEX(PT_DIFFERENTIATION_CS,MATCH(C45,PT_DIFFERENTIATION_CS_ID,0))</f>
        <v/>
      </c>
      <c r="AE45" s="2267"/>
      <c r="AF45" s="2267"/>
      <c r="AG45" s="2267"/>
      <c r="AH45" s="2267"/>
      <c r="AI45" s="2267"/>
      <c r="AJ45" s="2267"/>
      <c r="AK45" s="2267"/>
      <c r="AL45" s="2268"/>
      <c r="AM45" s="1282" t="s">
        <v>484</v>
      </c>
      <c r="AO45" s="524"/>
      <c r="AP45" s="524" t="str">
        <f>IF(T45="","",T45)</f>
        <v>Наименование системы теплоснабжения </v>
      </c>
      <c r="AQ45" s="524"/>
      <c r="AR45" s="524"/>
      <c r="AS45" s="1179">
        <v>23</v>
      </c>
    </row>
    <row customHeight="1" ht="22.049999999999997">
      <c r="A46" s="1387" t="s">
        <v>278</v>
      </c>
      <c r="B46" s="1387" t="s">
        <v>279</v>
      </c>
      <c r="C46" s="1387" t="s">
        <v>280</v>
      </c>
      <c r="D46" s="1387" t="s">
        <v>281</v>
      </c>
      <c r="E46" s="2283"/>
      <c r="F46" s="2283"/>
      <c r="G46" s="2283"/>
      <c r="H46" s="2282">
        <v>1</v>
      </c>
      <c r="I46" s="1387"/>
      <c r="J46" s="1387"/>
      <c r="K46" s="1387"/>
      <c r="L46" s="1388"/>
      <c r="M46" s="1389"/>
      <c r="N46" s="1389"/>
      <c r="O46" s="1389"/>
      <c r="P46" s="378"/>
      <c r="Q46" s="376"/>
      <c r="R46" s="377"/>
      <c r="S46" s="1360" t="str">
        <f>INDEX(PT_DIFFERENTIATION_NUM_IST_TE,MATCH(D46,PT_DIFFERENTIATION_IST_TE_ID,0))</f>
        <v>...</v>
      </c>
      <c r="T46" s="334" t="s">
        <v>485</v>
      </c>
      <c r="U46" s="324"/>
      <c r="V46" s="2266"/>
      <c r="W46" s="2267"/>
      <c r="X46" s="2267"/>
      <c r="Y46" s="2267"/>
      <c r="Z46" s="2267"/>
      <c r="AA46" s="2267"/>
      <c r="AB46" s="2267"/>
      <c r="AC46" s="2268"/>
      <c r="AD46" s="2266" t="str">
        <f>INDEX(PT_DIFFERENTIATION_IST_TE,MATCH(D46,PT_DIFFERENTIATION_IST_TE_ID,0))</f>
        <v/>
      </c>
      <c r="AE46" s="2267"/>
      <c r="AF46" s="2267"/>
      <c r="AG46" s="2267"/>
      <c r="AH46" s="2267"/>
      <c r="AI46" s="2267"/>
      <c r="AJ46" s="2267"/>
      <c r="AK46" s="2267"/>
      <c r="AL46" s="2268"/>
      <c r="AM46" s="1282" t="s">
        <v>486</v>
      </c>
      <c r="AO46" s="524"/>
      <c r="AP46" s="524" t="str">
        <f>IF(T46="","",T46)</f>
        <v>Источник тепловой энергии  </v>
      </c>
      <c r="AQ46" s="524"/>
      <c r="AR46" s="524"/>
      <c r="AS46" s="1179">
        <v>21</v>
      </c>
    </row>
    <row customHeight="1" ht="49.5">
      <c r="A47" s="1387" t="s">
        <v>278</v>
      </c>
      <c r="B47" s="1387" t="s">
        <v>279</v>
      </c>
      <c r="C47" s="1387" t="s">
        <v>280</v>
      </c>
      <c r="D47" s="1387" t="s">
        <v>281</v>
      </c>
      <c r="E47" s="2283"/>
      <c r="F47" s="2283"/>
      <c r="G47" s="2283"/>
      <c r="H47" s="2283"/>
      <c r="I47" s="2280" t="str">
        <f>S46&amp;".1"</f>
        <v>....1</v>
      </c>
      <c r="J47" s="1387"/>
      <c r="K47" s="1387"/>
      <c r="L47" s="1388" t="s">
        <v>487</v>
      </c>
      <c r="P47" s="2281">
        <v>1</v>
      </c>
      <c r="Q47" s="1355"/>
      <c r="R47" s="380"/>
      <c r="S47" s="1360" t="str">
        <f>$I47</f>
        <v>....1</v>
      </c>
      <c r="T47" s="309" t="s">
        <v>488</v>
      </c>
      <c r="U47" s="324"/>
      <c r="V47" s="2269"/>
      <c r="W47" s="2270"/>
      <c r="X47" s="2270"/>
      <c r="Y47" s="2270"/>
      <c r="Z47" s="2270"/>
      <c r="AA47" s="2270"/>
      <c r="AB47" s="2270"/>
      <c r="AC47" s="2271"/>
      <c r="AD47" s="2269"/>
      <c r="AE47" s="2270"/>
      <c r="AF47" s="2270"/>
      <c r="AG47" s="2270"/>
      <c r="AH47" s="2270"/>
      <c r="AI47" s="2270"/>
      <c r="AJ47" s="2270"/>
      <c r="AK47" s="2270"/>
      <c r="AL47" s="2271"/>
      <c r="AM47" s="1282" t="s">
        <v>489</v>
      </c>
      <c r="AO47" s="524"/>
      <c r="AP47" s="524" t="str">
        <f>IF(T47="","",T47)</f>
        <v>Схема подключения теплопотребляющей установки к коллектору источника тепловой энергии</v>
      </c>
      <c r="AQ47" s="524"/>
      <c r="AR47" s="524"/>
      <c r="AS47" s="1179">
        <v>47</v>
      </c>
    </row>
    <row customHeight="1" ht="22.049999999999997">
      <c r="A48" s="1387" t="s">
        <v>278</v>
      </c>
      <c r="B48" s="1387" t="s">
        <v>279</v>
      </c>
      <c r="C48" s="1387" t="s">
        <v>280</v>
      </c>
      <c r="D48" s="1387" t="s">
        <v>281</v>
      </c>
      <c r="E48" s="2283"/>
      <c r="F48" s="2283"/>
      <c r="G48" s="2283"/>
      <c r="H48" s="2283"/>
      <c r="I48" s="2310"/>
      <c r="J48" s="2280" t="str">
        <f>I47&amp;".1"</f>
        <v>....1.1</v>
      </c>
      <c r="K48" s="1387"/>
      <c r="L48" s="1388" t="s">
        <v>490</v>
      </c>
      <c r="P48" s="2281"/>
      <c r="Q48" s="2281">
        <v>1</v>
      </c>
      <c r="R48" s="381"/>
      <c r="S48" s="1360" t="str">
        <f>$J48</f>
        <v>....1.1</v>
      </c>
      <c r="T48" s="310" t="s">
        <v>491</v>
      </c>
      <c r="U48" s="324"/>
      <c r="V48" s="2269"/>
      <c r="W48" s="2270"/>
      <c r="X48" s="2270"/>
      <c r="Y48" s="2270"/>
      <c r="Z48" s="2270"/>
      <c r="AA48" s="2270"/>
      <c r="AB48" s="2270"/>
      <c r="AC48" s="2271"/>
      <c r="AD48" s="2269"/>
      <c r="AE48" s="2270"/>
      <c r="AF48" s="2270"/>
      <c r="AG48" s="2270"/>
      <c r="AH48" s="2270"/>
      <c r="AI48" s="2270"/>
      <c r="AJ48" s="2270"/>
      <c r="AK48" s="2270"/>
      <c r="AL48" s="2271"/>
      <c r="AM48" s="1282" t="s">
        <v>492</v>
      </c>
      <c r="AO48" s="524"/>
      <c r="AP48" s="524" t="str">
        <f>IF(T48="","",T48)</f>
        <v>Группа потребителей</v>
      </c>
      <c r="AQ48" s="524"/>
      <c r="AR48" s="524"/>
      <c r="AS48" s="1179">
        <v>21</v>
      </c>
    </row>
    <row customHeight="1" ht="22.049999999999997">
      <c r="A49" s="1387" t="s">
        <v>278</v>
      </c>
      <c r="B49" s="1387" t="s">
        <v>279</v>
      </c>
      <c r="C49" s="1387" t="s">
        <v>280</v>
      </c>
      <c r="D49" s="1387" t="s">
        <v>281</v>
      </c>
      <c r="E49" s="2283"/>
      <c r="F49" s="2283"/>
      <c r="G49" s="2283"/>
      <c r="H49" s="2283"/>
      <c r="I49" s="2310"/>
      <c r="J49" s="2310"/>
      <c r="K49" s="2280" t="str">
        <f>J48&amp;".1"</f>
        <v>....1.1.1</v>
      </c>
      <c r="L49" s="1388" t="s">
        <v>493</v>
      </c>
      <c r="P49" s="2281"/>
      <c r="Q49" s="2281"/>
      <c r="R49" s="381">
        <v>1</v>
      </c>
      <c r="S49" s="1360" t="str">
        <f>$K49</f>
        <v>....1.1.1</v>
      </c>
      <c r="T49" s="1371"/>
      <c r="U49" s="324"/>
      <c r="V49" s="349"/>
      <c r="W49" s="775"/>
      <c r="X49" s="349"/>
      <c r="Y49" s="408"/>
      <c r="Z49" s="2289"/>
      <c r="AA49" s="2131" t="s">
        <v>66</v>
      </c>
      <c r="AB49" s="2289"/>
      <c r="AC49" s="2131" t="s">
        <v>66</v>
      </c>
      <c r="AD49" s="349"/>
      <c r="AE49" s="775"/>
      <c r="AF49" s="349"/>
      <c r="AG49" s="408"/>
      <c r="AH49" s="2289"/>
      <c r="AI49" s="2131" t="s">
        <v>66</v>
      </c>
      <c r="AJ49" s="2311"/>
      <c r="AK49" s="2131" t="s">
        <v>66</v>
      </c>
      <c r="AL49" s="1372"/>
      <c r="AM49" s="2277" t="s">
        <v>494</v>
      </c>
      <c r="AN49" s="535">
        <f>STRCHECKDATE(V50:AL50)</f>
      </c>
      <c r="AO49" s="524"/>
      <c r="AP49" s="524" t="str">
        <f>IF(T49="","",T49)</f>
        <v/>
      </c>
      <c r="AQ49" s="524"/>
      <c r="AR49" s="524"/>
      <c r="AS49" s="1179">
        <v>21</v>
      </c>
    </row>
    <row customHeight="1" ht="1.05">
      <c r="A50" s="1387" t="s">
        <v>278</v>
      </c>
      <c r="B50" s="1387" t="s">
        <v>279</v>
      </c>
      <c r="C50" s="1387" t="s">
        <v>280</v>
      </c>
      <c r="D50" s="1387" t="s">
        <v>281</v>
      </c>
      <c r="E50" s="2283"/>
      <c r="F50" s="2283"/>
      <c r="G50" s="2283"/>
      <c r="H50" s="2283"/>
      <c r="I50" s="2310"/>
      <c r="J50" s="2310"/>
      <c r="K50" s="2280"/>
      <c r="L50" s="1388"/>
      <c r="P50" s="2281"/>
      <c r="Q50" s="2281"/>
      <c r="R50" s="381"/>
      <c r="S50" s="1366"/>
      <c r="T50" s="324"/>
      <c r="U50" s="324"/>
      <c r="V50" s="349"/>
      <c r="W50" s="349"/>
      <c r="X50" s="349"/>
      <c r="Y50" s="352" t="str">
        <f>Z49&amp;"-"&amp;AB49</f>
        <v>-</v>
      </c>
      <c r="Z50" s="2290"/>
      <c r="AA50" s="2131"/>
      <c r="AB50" s="2290"/>
      <c r="AC50" s="2131"/>
      <c r="AD50" s="349"/>
      <c r="AE50" s="349"/>
      <c r="AF50" s="349"/>
      <c r="AG50" s="352" t="str">
        <f>AH49&amp;"-"&amp;AJ49</f>
        <v>-</v>
      </c>
      <c r="AH50" s="2290"/>
      <c r="AI50" s="2131"/>
      <c r="AJ50" s="2312"/>
      <c r="AK50" s="2131"/>
      <c r="AL50" s="1373"/>
      <c r="AM50" s="2278"/>
      <c r="AO50" s="524"/>
      <c r="AP50" s="524" t="str">
        <f>IF(T50="","",T50)</f>
        <v/>
      </c>
      <c r="AQ50" s="524"/>
      <c r="AR50" s="524"/>
      <c r="AS50" s="1179">
        <v>1</v>
      </c>
    </row>
    <row customHeight="1" ht="11.549999999999999">
      <c r="A51" s="1387" t="s">
        <v>278</v>
      </c>
      <c r="B51" s="1387" t="s">
        <v>279</v>
      </c>
      <c r="C51" s="1387" t="s">
        <v>280</v>
      </c>
      <c r="D51" s="1387" t="s">
        <v>281</v>
      </c>
      <c r="E51" s="2283"/>
      <c r="F51" s="2283"/>
      <c r="G51" s="2283"/>
      <c r="H51" s="2283"/>
      <c r="I51" s="2310"/>
      <c r="J51" s="2280"/>
      <c r="K51" s="1387"/>
      <c r="L51" s="1388"/>
      <c r="P51" s="2281"/>
      <c r="Q51" s="2281"/>
      <c r="R51" s="380"/>
      <c r="S51" s="1302"/>
      <c r="T51" s="312" t="s">
        <v>495</v>
      </c>
      <c r="U51" s="391"/>
      <c r="V51" s="391"/>
      <c r="W51" s="391"/>
      <c r="X51" s="391"/>
      <c r="Y51" s="391"/>
      <c r="Z51" s="391"/>
      <c r="AA51" s="391"/>
      <c r="AB51" s="391"/>
      <c r="AC51" s="391"/>
      <c r="AD51" s="391"/>
      <c r="AE51" s="391"/>
      <c r="AF51" s="391"/>
      <c r="AG51" s="391"/>
      <c r="AH51" s="391"/>
      <c r="AI51" s="391"/>
      <c r="AJ51" s="391"/>
      <c r="AK51" s="391"/>
      <c r="AL51" s="348"/>
      <c r="AM51" s="2279"/>
      <c r="AO51" s="524"/>
      <c r="AP51" s="524" t="str">
        <f>IF(T51="","",T51)</f>
        <v>Добавить вид теплоносителя (параметры теплоносителя)</v>
      </c>
      <c r="AQ51" s="524"/>
      <c r="AR51" s="524"/>
      <c r="AS51" s="1179">
        <v>11</v>
      </c>
    </row>
    <row customHeight="1" ht="11.549999999999999">
      <c r="A52" s="1387" t="s">
        <v>278</v>
      </c>
      <c r="B52" s="1387" t="s">
        <v>279</v>
      </c>
      <c r="C52" s="1387" t="s">
        <v>280</v>
      </c>
      <c r="D52" s="1387" t="s">
        <v>281</v>
      </c>
      <c r="E52" s="2283"/>
      <c r="F52" s="2283"/>
      <c r="G52" s="2283"/>
      <c r="H52" s="2283"/>
      <c r="I52" s="2280"/>
      <c r="J52" s="1387"/>
      <c r="K52" s="1387"/>
      <c r="L52" s="1388"/>
      <c r="P52" s="2281"/>
      <c r="Q52" s="1355"/>
      <c r="R52" s="380"/>
      <c r="S52" s="1302"/>
      <c r="T52" s="311" t="s">
        <v>496</v>
      </c>
      <c r="U52" s="391"/>
      <c r="V52" s="391"/>
      <c r="W52" s="391"/>
      <c r="X52" s="391"/>
      <c r="Y52" s="391"/>
      <c r="Z52" s="391"/>
      <c r="AA52" s="391"/>
      <c r="AB52" s="391"/>
      <c r="AC52" s="390"/>
      <c r="AD52" s="391"/>
      <c r="AE52" s="391"/>
      <c r="AF52" s="391"/>
      <c r="AG52" s="391"/>
      <c r="AH52" s="391"/>
      <c r="AI52" s="391"/>
      <c r="AJ52" s="391"/>
      <c r="AK52" s="390"/>
      <c r="AL52" s="391"/>
      <c r="AM52" s="327"/>
      <c r="AO52" s="524"/>
      <c r="AP52" s="524" t="str">
        <f>IF(T52="","",T52)</f>
        <v>Добавить группу потребителей</v>
      </c>
      <c r="AQ52" s="524"/>
      <c r="AR52" s="524"/>
      <c r="AS52" s="1179">
        <v>11</v>
      </c>
    </row>
    <row customHeight="1" ht="14.699999999999998">
      <c r="A53" s="1387" t="s">
        <v>278</v>
      </c>
      <c r="B53" s="1387" t="s">
        <v>279</v>
      </c>
      <c r="C53" s="1387" t="s">
        <v>280</v>
      </c>
      <c r="D53" s="1387" t="s">
        <v>281</v>
      </c>
      <c r="E53" s="2283"/>
      <c r="F53" s="2283"/>
      <c r="G53" s="2283"/>
      <c r="H53" s="2282"/>
      <c r="I53" s="1387"/>
      <c r="J53" s="1387"/>
      <c r="K53" s="1387"/>
      <c r="L53" s="1388"/>
      <c r="M53" s="1389"/>
      <c r="N53" s="1389"/>
      <c r="O53" s="561"/>
      <c r="P53" s="384"/>
      <c r="Q53" s="399"/>
      <c r="R53" s="379"/>
      <c r="S53" s="1302"/>
      <c r="T53" s="389" t="s">
        <v>497</v>
      </c>
      <c r="U53" s="391"/>
      <c r="V53" s="391"/>
      <c r="W53" s="391"/>
      <c r="X53" s="391"/>
      <c r="Y53" s="391"/>
      <c r="Z53" s="391"/>
      <c r="AA53" s="391"/>
      <c r="AB53" s="391"/>
      <c r="AC53" s="390"/>
      <c r="AD53" s="391"/>
      <c r="AE53" s="391"/>
      <c r="AF53" s="391"/>
      <c r="AG53" s="391"/>
      <c r="AH53" s="391"/>
      <c r="AI53" s="391"/>
      <c r="AJ53" s="391"/>
      <c r="AK53" s="390"/>
      <c r="AL53" s="391"/>
      <c r="AM53" s="327"/>
      <c r="AO53" s="524"/>
      <c r="AP53" s="524" t="str">
        <f>IF(T53="","",T53)</f>
        <v>Добавить схему подключения</v>
      </c>
      <c r="AQ53" s="524"/>
      <c r="AR53" s="524"/>
      <c r="AS53" s="1179">
        <v>14</v>
      </c>
    </row>
    <row s="1666" customFormat="1" customHeight="1" ht="1.05">
      <c r="A54" s="1367" t="s">
        <v>278</v>
      </c>
      <c r="B54" s="1367" t="s">
        <v>279</v>
      </c>
      <c r="C54" s="1367" t="s">
        <v>280</v>
      </c>
      <c r="D54" s="1338"/>
      <c r="E54" s="2283"/>
      <c r="F54" s="2283"/>
      <c r="G54" s="2282"/>
      <c r="H54" s="1338"/>
      <c r="I54" s="1338"/>
      <c r="J54" s="1338"/>
      <c r="K54" s="1338"/>
      <c r="L54" s="1363"/>
      <c r="M54" s="1339"/>
      <c r="N54" s="1339"/>
      <c r="P54" s="1340"/>
      <c r="Q54" s="1341"/>
      <c r="R54" s="1340"/>
      <c r="S54" s="1346"/>
      <c r="T54" s="1349" t="s">
        <v>498</v>
      </c>
      <c r="U54" s="1348"/>
      <c r="V54" s="1348"/>
      <c r="W54" s="1348"/>
      <c r="X54" s="1348"/>
      <c r="Y54" s="1348"/>
      <c r="Z54" s="1348"/>
      <c r="AA54" s="1348"/>
      <c r="AB54" s="1348"/>
      <c r="AC54" s="1348"/>
      <c r="AD54" s="1348"/>
      <c r="AE54" s="1348"/>
      <c r="AF54" s="1348"/>
      <c r="AG54" s="1348"/>
      <c r="AH54" s="1348"/>
      <c r="AI54" s="1348"/>
      <c r="AJ54" s="1348"/>
      <c r="AK54" s="1348"/>
      <c r="AL54" s="1348"/>
      <c r="AM54" s="1348"/>
      <c r="AO54" s="813"/>
      <c r="AP54" s="813" t="str">
        <f>IF(T54="","",T54)</f>
        <v>Добавить источник для дифференциации</v>
      </c>
      <c r="AQ54" s="813"/>
      <c r="AR54" s="813"/>
      <c r="AS54" s="542">
        <v>1</v>
      </c>
    </row>
    <row s="1666" customFormat="1" customHeight="1" ht="1.05">
      <c r="A55" s="1367" t="s">
        <v>278</v>
      </c>
      <c r="B55" s="1367" t="s">
        <v>279</v>
      </c>
      <c r="C55" s="1338"/>
      <c r="D55" s="1338"/>
      <c r="E55" s="2283"/>
      <c r="F55" s="2282"/>
      <c r="G55" s="1338"/>
      <c r="H55" s="1338"/>
      <c r="I55" s="1338"/>
      <c r="J55" s="1338"/>
      <c r="K55" s="1338"/>
      <c r="L55" s="1363"/>
      <c r="M55" s="1345"/>
      <c r="N55" s="1345"/>
      <c r="P55" s="1340"/>
      <c r="Q55" s="1341"/>
      <c r="R55" s="1340"/>
      <c r="S55" s="1346"/>
      <c r="T55" s="1349" t="s">
        <v>499</v>
      </c>
      <c r="U55" s="1348"/>
      <c r="V55" s="1348"/>
      <c r="W55" s="1348"/>
      <c r="X55" s="1348"/>
      <c r="Y55" s="1348"/>
      <c r="Z55" s="1348"/>
      <c r="AA55" s="1348"/>
      <c r="AB55" s="1348"/>
      <c r="AC55" s="1348"/>
      <c r="AD55" s="1348"/>
      <c r="AE55" s="1348"/>
      <c r="AF55" s="1348"/>
      <c r="AG55" s="1348"/>
      <c r="AH55" s="1348"/>
      <c r="AI55" s="1348"/>
      <c r="AJ55" s="1348"/>
      <c r="AK55" s="1348"/>
      <c r="AL55" s="1348"/>
      <c r="AM55" s="1348"/>
      <c r="AO55" s="813"/>
      <c r="AP55" s="813" t="str">
        <f>IF(T55="","",T55)</f>
        <v>Добавить централизованную систему для дифференциации</v>
      </c>
      <c r="AQ55" s="813"/>
      <c r="AR55" s="813"/>
      <c r="AS55" s="542">
        <v>1</v>
      </c>
    </row>
    <row s="1666" customFormat="1" customHeight="1" ht="1.05">
      <c r="A56" s="1367" t="s">
        <v>278</v>
      </c>
      <c r="B56" s="1367"/>
      <c r="C56" s="1367"/>
      <c r="D56" s="1367"/>
      <c r="E56" s="2282"/>
      <c r="F56" s="1367"/>
      <c r="G56" s="1367"/>
      <c r="H56" s="1367"/>
      <c r="I56" s="1367"/>
      <c r="J56" s="1367"/>
      <c r="K56" s="1367"/>
      <c r="L56" s="1370"/>
      <c r="M56" s="1345"/>
      <c r="N56" s="1345"/>
      <c r="O56" s="542"/>
      <c r="P56" s="404"/>
      <c r="Q56" s="1368"/>
      <c r="R56" s="404"/>
      <c r="S56" s="1346"/>
      <c r="T56" s="1349" t="s">
        <v>500</v>
      </c>
      <c r="U56" s="1348"/>
      <c r="V56" s="1348"/>
      <c r="W56" s="1348"/>
      <c r="X56" s="1348"/>
      <c r="Y56" s="1348"/>
      <c r="Z56" s="1348"/>
      <c r="AA56" s="1348"/>
      <c r="AB56" s="1348"/>
      <c r="AC56" s="1348"/>
      <c r="AD56" s="1348"/>
      <c r="AE56" s="1348"/>
      <c r="AF56" s="1348"/>
      <c r="AG56" s="1348"/>
      <c r="AH56" s="1348"/>
      <c r="AI56" s="1348"/>
      <c r="AJ56" s="1348"/>
      <c r="AK56" s="1348"/>
      <c r="AL56" s="1348"/>
      <c r="AM56" s="1348"/>
      <c r="AO56" s="524"/>
      <c r="AP56" s="524" t="str">
        <f>IF(T56="","",T56)</f>
        <v>Добавить территорию для дифференциации</v>
      </c>
      <c r="AQ56" s="524"/>
      <c r="AR56" s="524"/>
      <c r="AS56" s="535">
        <v>1</v>
      </c>
    </row>
    <row s="1666" customFormat="1" customHeight="1" ht="1.05">
      <c r="A57" s="1338"/>
      <c r="B57" s="1338"/>
      <c r="C57" s="1338"/>
      <c r="D57" s="1338"/>
      <c r="E57" s="1367"/>
      <c r="F57" s="1338"/>
      <c r="G57" s="1338"/>
      <c r="H57" s="1338"/>
      <c r="I57" s="1338"/>
      <c r="J57" s="1338"/>
      <c r="K57" s="1338"/>
      <c r="L57" s="1363"/>
      <c r="M57" s="1345"/>
      <c r="N57" s="1345"/>
      <c r="P57" s="1340"/>
      <c r="Q57" s="1341"/>
      <c r="R57" s="1340"/>
      <c r="S57" s="1346"/>
      <c r="T57" s="1349" t="s">
        <v>532</v>
      </c>
      <c r="U57" s="1348"/>
      <c r="V57" s="1348"/>
      <c r="W57" s="1348"/>
      <c r="X57" s="1348"/>
      <c r="Y57" s="1348"/>
      <c r="Z57" s="1348"/>
      <c r="AA57" s="1348"/>
      <c r="AB57" s="1348"/>
      <c r="AC57" s="1348"/>
      <c r="AD57" s="1348"/>
      <c r="AE57" s="1348"/>
      <c r="AF57" s="1348"/>
      <c r="AG57" s="1348"/>
      <c r="AH57" s="1348"/>
      <c r="AI57" s="1348"/>
      <c r="AJ57" s="1348"/>
      <c r="AK57" s="1348"/>
      <c r="AL57" s="1348"/>
      <c r="AM57" s="1348"/>
      <c r="AO57" s="813"/>
      <c r="AP57" s="813" t="str">
        <f>IF(T57="","",T57)</f>
        <v>Добавить наименование тарифа</v>
      </c>
      <c r="AQ57" s="813"/>
      <c r="AR57" s="813"/>
      <c r="AS57" s="542">
        <v>1</v>
      </c>
    </row>
    <row customHeight="1" ht="11.549999999999999">
      <c r="M58" s="1184"/>
      <c r="N58" s="1184"/>
      <c r="O58" s="561"/>
      <c r="P58" s="1179"/>
      <c r="Q58" s="1179"/>
      <c r="R58" s="1179"/>
      <c r="S58" s="1179"/>
      <c r="AN58" s="1179"/>
      <c r="AO58" s="1179"/>
      <c r="AP58" s="1179"/>
      <c r="AQ58" s="1179"/>
      <c r="AR58" s="1179"/>
      <c r="AS58" s="1179">
        <v>11</v>
      </c>
    </row>
    <row customHeight="1" ht="28.5">
      <c r="O59" s="561"/>
      <c r="S59" s="1277"/>
      <c r="T59" s="2309"/>
      <c r="U59" s="2309"/>
      <c r="V59" s="2309"/>
      <c r="W59" s="2309"/>
      <c r="X59" s="2309"/>
      <c r="Y59" s="2309"/>
      <c r="Z59" s="2309"/>
      <c r="AA59" s="2309"/>
      <c r="AB59" s="2309"/>
      <c r="AC59" s="2309"/>
      <c r="AD59" s="2309"/>
      <c r="AE59" s="2309"/>
      <c r="AF59" s="2309"/>
      <c r="AG59" s="2309"/>
      <c r="AH59" s="2309"/>
      <c r="AI59" s="2309"/>
      <c r="AJ59" s="2309"/>
      <c r="AK59" s="2309"/>
      <c r="AL59" s="2309"/>
      <c r="AM59" s="2309"/>
      <c r="AS59" s="1179">
        <v>27</v>
      </c>
    </row>
    <row customHeight="1" ht="78.75">
      <c r="O60" s="561"/>
      <c r="T60" s="2309"/>
      <c r="U60" s="2309"/>
      <c r="V60" s="2309"/>
      <c r="W60" s="2309"/>
      <c r="X60" s="2309"/>
      <c r="Y60" s="2309"/>
      <c r="Z60" s="2309"/>
      <c r="AA60" s="2309"/>
      <c r="AB60" s="2309"/>
      <c r="AC60" s="2309"/>
      <c r="AD60" s="2309"/>
      <c r="AE60" s="2309"/>
      <c r="AF60" s="2309"/>
      <c r="AG60" s="2309"/>
      <c r="AH60" s="2309"/>
      <c r="AI60" s="2309"/>
      <c r="AJ60" s="2309"/>
      <c r="AK60" s="2309"/>
      <c r="AL60" s="2309"/>
      <c r="AM60" s="2309"/>
      <c r="AS60" s="1179">
        <v>75</v>
      </c>
    </row>
    <row customHeight="1" ht="14.699999999999998">
      <c r="O61" s="561"/>
      <c r="AS61" s="1179">
        <v>14</v>
      </c>
    </row>
    <row customHeight="1" ht="18.75">
      <c r="O62" s="561"/>
      <c r="S62" s="1277"/>
      <c r="T62" s="2309"/>
      <c r="U62" s="2309"/>
      <c r="V62" s="2309"/>
      <c r="W62" s="2309"/>
      <c r="X62" s="2309"/>
      <c r="Y62" s="2309"/>
      <c r="Z62" s="2309"/>
      <c r="AA62" s="2309"/>
      <c r="AB62" s="2309"/>
      <c r="AC62" s="2309"/>
      <c r="AD62" s="2309"/>
      <c r="AE62" s="2309"/>
      <c r="AF62" s="2309"/>
      <c r="AG62" s="2309"/>
      <c r="AH62" s="2309"/>
      <c r="AI62" s="2309"/>
      <c r="AJ62" s="2309"/>
      <c r="AK62" s="2309"/>
      <c r="AL62" s="2309"/>
      <c r="AM62" s="2309"/>
      <c r="AS62" s="1179">
        <v>18</v>
      </c>
    </row>
    <row customHeight="1" ht="18.75">
      <c r="O63" s="561"/>
      <c r="T63" s="2309"/>
      <c r="U63" s="2309"/>
      <c r="V63" s="2309"/>
      <c r="W63" s="2309"/>
      <c r="X63" s="2309"/>
      <c r="Y63" s="2309"/>
      <c r="Z63" s="2309"/>
      <c r="AA63" s="2309"/>
      <c r="AB63" s="2309"/>
      <c r="AC63" s="2309"/>
      <c r="AD63" s="2309"/>
      <c r="AE63" s="2309"/>
      <c r="AF63" s="2309"/>
      <c r="AG63" s="2309"/>
      <c r="AH63" s="2309"/>
      <c r="AI63" s="2309"/>
      <c r="AJ63" s="2309"/>
      <c r="AK63" s="2309"/>
      <c r="AL63" s="2309"/>
      <c r="AM63" s="2309"/>
      <c r="AS63" s="1179">
        <v>18</v>
      </c>
    </row>
    <row customHeight="1" ht="39.75">
      <c r="O64" s="561"/>
      <c r="S64" s="1277"/>
      <c r="T64" s="2309"/>
      <c r="U64" s="2309"/>
      <c r="V64" s="2309"/>
      <c r="W64" s="2309"/>
      <c r="X64" s="2309"/>
      <c r="Y64" s="2309"/>
      <c r="Z64" s="2309"/>
      <c r="AA64" s="2309"/>
      <c r="AB64" s="2309"/>
      <c r="AC64" s="2309"/>
      <c r="AD64" s="2309"/>
      <c r="AE64" s="2309"/>
      <c r="AF64" s="2309"/>
      <c r="AG64" s="2309"/>
      <c r="AH64" s="2309"/>
      <c r="AI64" s="2309"/>
      <c r="AJ64" s="2309"/>
      <c r="AK64" s="2309"/>
      <c r="AL64" s="2309"/>
      <c r="AM64" s="2309"/>
      <c r="AS64" s="1179">
        <v>38</v>
      </c>
    </row>
    <row customHeight="1" ht="22.5" hidden="1">
      <c r="A65" s="1184" t="s">
        <v>82</v>
      </c>
      <c r="B65" s="1184">
        <v>0</v>
      </c>
      <c r="C65" s="1184">
        <v>0</v>
      </c>
      <c r="D65" s="1184">
        <v>0</v>
      </c>
      <c r="E65" s="1184">
        <v>0</v>
      </c>
      <c r="F65" s="1184">
        <v>0</v>
      </c>
      <c r="G65" s="1184">
        <v>0</v>
      </c>
      <c r="H65" s="1184">
        <v>0</v>
      </c>
      <c r="I65" s="1184">
        <v>0</v>
      </c>
      <c r="J65" s="1184">
        <v>0</v>
      </c>
      <c r="K65" s="1184">
        <v>0</v>
      </c>
      <c r="L65" s="1353">
        <v>0</v>
      </c>
      <c r="M65" s="1386">
        <v>0</v>
      </c>
      <c r="N65" s="1386">
        <v>0</v>
      </c>
      <c r="O65" s="1386">
        <v>0</v>
      </c>
      <c r="P65" s="1352">
        <v>3</v>
      </c>
      <c r="Q65" s="368">
        <v>3</v>
      </c>
      <c r="R65" s="368">
        <v>3</v>
      </c>
      <c r="S65" s="605">
        <v>12</v>
      </c>
      <c r="T65" s="1179">
        <v>31</v>
      </c>
      <c r="U65" s="1179">
        <v>0</v>
      </c>
      <c r="V65" s="1179">
        <v>0</v>
      </c>
      <c r="W65" s="1179">
        <v>0</v>
      </c>
      <c r="X65" s="1179">
        <v>0</v>
      </c>
      <c r="Y65" s="1179">
        <v>0</v>
      </c>
      <c r="Z65" s="1179">
        <v>0</v>
      </c>
      <c r="AA65" s="1179">
        <v>0</v>
      </c>
      <c r="AB65" s="1179">
        <v>0</v>
      </c>
      <c r="AC65" s="1179">
        <v>0</v>
      </c>
      <c r="AD65" s="1179">
        <v>0</v>
      </c>
      <c r="AE65" s="1179">
        <v>24</v>
      </c>
      <c r="AF65" s="1179">
        <v>0</v>
      </c>
      <c r="AG65" s="1179">
        <v>0</v>
      </c>
      <c r="AH65" s="1179">
        <v>11</v>
      </c>
      <c r="AI65" s="1179">
        <v>3</v>
      </c>
      <c r="AJ65" s="1179">
        <v>11</v>
      </c>
      <c r="AK65" s="1179">
        <v>0</v>
      </c>
      <c r="AL65" s="1179">
        <v>4</v>
      </c>
      <c r="AM65" s="1179">
        <v>115</v>
      </c>
      <c r="AN65" s="535">
        <v>10</v>
      </c>
      <c r="AO65" s="535">
        <v>10</v>
      </c>
      <c r="AP65" s="535">
        <v>10</v>
      </c>
      <c r="AQ65" s="535">
        <v>10</v>
      </c>
      <c r="AR65" s="535">
        <v>10</v>
      </c>
      <c r="AS65" s="1179">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1DEF55-A9F5-D936-5346-0.21FC8A5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2.00390625" hidden="1" customWidth="1"/>
    <col min="10" max="10" style="1390" width="9.8515625" hidden="1" customWidth="1"/>
    <col min="11" max="11" style="1390" width="11.421875" hidden="1" customWidth="1"/>
    <col min="12" max="12" style="2631" width="19.140625" hidden="1" customWidth="1"/>
    <col min="13" max="14" style="1800" width="12.28125" hidden="1" customWidth="1"/>
    <col min="15" max="15" style="1800" width="23.421875" hidden="1" customWidth="1"/>
    <col min="16" max="16" style="2421" width="3.7109375" hidden="1" customWidth="1"/>
    <col min="17" max="18" style="368" width="3.00390625" customWidth="1"/>
    <col min="19" max="19" style="2431" width="12.00390625" customWidth="1"/>
    <col min="20" max="20" style="1659" width="31.00390625" customWidth="1"/>
    <col min="21" max="21" style="1659" width="0.140625" customWidth="1"/>
    <col min="22" max="22" style="1659" width="24.7109375" hidden="1" customWidth="1"/>
    <col min="23" max="23" style="1659" width="0.140625" hidden="1" customWidth="1"/>
    <col min="24" max="25" style="1659" width="24.7109375" hidden="1" customWidth="1"/>
    <col min="26" max="26" style="1659" width="11.7109375" hidden="1" customWidth="1"/>
    <col min="27" max="27" style="1659" width="3.7109375" hidden="1" customWidth="1"/>
    <col min="28" max="28" style="1659" width="11.7109375" hidden="1" customWidth="1"/>
    <col min="29" max="29" style="1659" width="8.57421875" hidden="1" customWidth="1"/>
    <col min="30" max="30" style="1659" width="24.7109375" customWidth="1"/>
    <col min="31" max="31" style="1659" width="0.140625" customWidth="1"/>
    <col min="32" max="33" style="1659" width="24.00390625" customWidth="1"/>
    <col min="34" max="34" style="1659" width="11.00390625" customWidth="1"/>
    <col min="35" max="35" style="1659" width="3.7109375" customWidth="1"/>
    <col min="36" max="36" style="1659" width="11.00390625" customWidth="1"/>
    <col min="37" max="37" style="1659" width="8.57421875" hidden="1" customWidth="1"/>
    <col min="38" max="38" style="1659" width="4.00390625" customWidth="1"/>
    <col min="39" max="39" style="1659" width="115.00390625" customWidth="1"/>
    <col min="40" max="44" style="1666" width="10.00390625" customWidth="1"/>
    <col min="45" max="45" style="1659" width="8.421875" hidden="1" customWidth="1"/>
  </cols>
  <sheetData>
    <row customHeight="1" ht="22.5" hidden="1">
      <c r="Y1" s="351"/>
      <c r="Z1" s="351"/>
      <c r="AG1" s="351"/>
      <c r="AH1" s="351"/>
      <c r="AS1" s="1179" t="s">
        <v>14</v>
      </c>
    </row>
    <row customHeight="1" ht="21" hidden="1">
      <c r="A2" s="1387"/>
      <c r="B2" s="1387"/>
      <c r="C2" s="1387"/>
      <c r="D2" s="1387"/>
      <c r="E2" s="2282">
        <v>1</v>
      </c>
      <c r="F2" s="1387"/>
      <c r="G2" s="1387"/>
      <c r="H2" s="1387"/>
      <c r="I2" s="1387"/>
      <c r="J2" s="1387"/>
      <c r="K2" s="1387"/>
      <c r="L2" s="1388"/>
      <c r="M2" s="1389"/>
      <c r="N2" s="1389"/>
      <c r="O2" s="1389"/>
      <c r="P2" s="385"/>
      <c r="Q2" s="384"/>
      <c r="R2" s="379"/>
      <c r="S2" s="1360">
        <f>INDEX(PT_DIFFERENTIATION_NUM_NTAR,MATCH(A2,PT_DIFFERENTIATION_NTAR_ID,0))</f>
      </c>
      <c r="T2" s="322" t="s">
        <v>211</v>
      </c>
      <c r="U2" s="324"/>
      <c r="V2" s="2266"/>
      <c r="W2" s="2267"/>
      <c r="X2" s="2267"/>
      <c r="Y2" s="2267"/>
      <c r="Z2" s="2267"/>
      <c r="AA2" s="2267"/>
      <c r="AB2" s="2267"/>
      <c r="AC2" s="2268"/>
      <c r="AD2" s="2266">
        <f>INDEX(PT_DIFFERENTIATION_NTAR,MATCH(A2,PT_DIFFERENTIATION_NTAR_ID,0))</f>
      </c>
      <c r="AE2" s="2267"/>
      <c r="AF2" s="2267"/>
      <c r="AG2" s="2267"/>
      <c r="AH2" s="2267"/>
      <c r="AI2" s="2267"/>
      <c r="AJ2" s="2267"/>
      <c r="AK2" s="2267"/>
      <c r="AL2" s="2268"/>
      <c r="AM2" s="1282" t="s">
        <v>480</v>
      </c>
      <c r="AO2" s="524"/>
      <c r="AP2" s="524" t="str">
        <f>IF(T2="","",T2)</f>
        <v>Наименование тарифа</v>
      </c>
      <c r="AQ2" s="524"/>
      <c r="AR2" s="524"/>
      <c r="AS2" s="1179">
        <v>0</v>
      </c>
    </row>
    <row customHeight="1" ht="21" hidden="1">
      <c r="A3" s="1387"/>
      <c r="B3" s="1387"/>
      <c r="C3" s="1387"/>
      <c r="D3" s="1387"/>
      <c r="E3" s="2283"/>
      <c r="F3" s="2282">
        <v>1</v>
      </c>
      <c r="G3" s="1387"/>
      <c r="H3" s="1387"/>
      <c r="I3" s="1387"/>
      <c r="J3" s="1387"/>
      <c r="K3" s="1387"/>
      <c r="L3" s="1388"/>
      <c r="M3" s="1389"/>
      <c r="N3" s="1389"/>
      <c r="O3" s="1389"/>
      <c r="P3" s="1356"/>
      <c r="Q3" s="376"/>
      <c r="R3" s="377"/>
      <c r="S3" s="1360">
        <f>INDEX(PT_DIFFERENTIATION_NUM_TER,MATCH(B3,PT_DIFFERENTIATION_TER_ID,0))</f>
      </c>
      <c r="T3" s="332" t="s">
        <v>481</v>
      </c>
      <c r="U3" s="324"/>
      <c r="V3" s="2266"/>
      <c r="W3" s="2267"/>
      <c r="X3" s="2267"/>
      <c r="Y3" s="2267"/>
      <c r="Z3" s="2267"/>
      <c r="AA3" s="2267"/>
      <c r="AB3" s="2267"/>
      <c r="AC3" s="2268"/>
      <c r="AD3" s="2266">
        <f>INDEX(PT_DIFFERENTIATION_TER,MATCH(B3,PT_DIFFERENTIATION_TER_ID,0))</f>
      </c>
      <c r="AE3" s="2267"/>
      <c r="AF3" s="2267"/>
      <c r="AG3" s="2267"/>
      <c r="AH3" s="2267"/>
      <c r="AI3" s="2267"/>
      <c r="AJ3" s="2267"/>
      <c r="AK3" s="2267"/>
      <c r="AL3" s="2268"/>
      <c r="AM3" s="1282" t="s">
        <v>482</v>
      </c>
      <c r="AO3" s="524"/>
      <c r="AP3" s="524" t="str">
        <f>IF(T3="","",T3)</f>
        <v>Территория действия тарифа</v>
      </c>
      <c r="AQ3" s="524"/>
      <c r="AR3" s="524"/>
      <c r="AS3" s="1179">
        <v>0</v>
      </c>
    </row>
    <row customHeight="1" ht="23.25" hidden="1">
      <c r="A4" s="1387"/>
      <c r="B4" s="1387"/>
      <c r="C4" s="1387"/>
      <c r="D4" s="1387"/>
      <c r="E4" s="2283"/>
      <c r="F4" s="2283"/>
      <c r="G4" s="2282">
        <v>1</v>
      </c>
      <c r="H4" s="1387"/>
      <c r="I4" s="1387"/>
      <c r="J4" s="1387"/>
      <c r="K4" s="1387"/>
      <c r="L4" s="1388"/>
      <c r="M4" s="1389"/>
      <c r="N4" s="1389"/>
      <c r="O4" s="1389"/>
      <c r="P4" s="378"/>
      <c r="Q4" s="376"/>
      <c r="R4" s="377"/>
      <c r="S4" s="1360">
        <f>INDEX(PT_DIFFERENTIATION_NUM_CS,MATCH(C4,PT_DIFFERENTIATION_CS_ID,0))</f>
      </c>
      <c r="T4" s="333" t="s">
        <v>483</v>
      </c>
      <c r="U4" s="324"/>
      <c r="V4" s="2266"/>
      <c r="W4" s="2267"/>
      <c r="X4" s="2267"/>
      <c r="Y4" s="2267"/>
      <c r="Z4" s="2267"/>
      <c r="AA4" s="2267"/>
      <c r="AB4" s="2267"/>
      <c r="AC4" s="2268"/>
      <c r="AD4" s="2266">
        <f>INDEX(PT_DIFFERENTIATION_CS,MATCH(C4,PT_DIFFERENTIATION_CS_ID,0))</f>
      </c>
      <c r="AE4" s="2267"/>
      <c r="AF4" s="2267"/>
      <c r="AG4" s="2267"/>
      <c r="AH4" s="2267"/>
      <c r="AI4" s="2267"/>
      <c r="AJ4" s="2267"/>
      <c r="AK4" s="2267"/>
      <c r="AL4" s="2268"/>
      <c r="AM4" s="1282" t="s">
        <v>484</v>
      </c>
      <c r="AO4" s="524"/>
      <c r="AP4" s="524" t="str">
        <f>IF(T4="","",T4)</f>
        <v>Наименование системы теплоснабжения </v>
      </c>
      <c r="AQ4" s="524"/>
      <c r="AR4" s="524"/>
      <c r="AS4" s="1179">
        <v>0</v>
      </c>
    </row>
    <row customHeight="1" ht="21" hidden="1">
      <c r="A5" s="1387"/>
      <c r="B5" s="1387"/>
      <c r="C5" s="1387"/>
      <c r="D5" s="1387"/>
      <c r="E5" s="2283"/>
      <c r="F5" s="2283"/>
      <c r="G5" s="2283"/>
      <c r="H5" s="2282">
        <v>1</v>
      </c>
      <c r="I5" s="1387"/>
      <c r="J5" s="1387"/>
      <c r="K5" s="1387"/>
      <c r="L5" s="1388"/>
      <c r="M5" s="1389"/>
      <c r="N5" s="1389"/>
      <c r="O5" s="1389"/>
      <c r="P5" s="378"/>
      <c r="Q5" s="376"/>
      <c r="R5" s="377"/>
      <c r="S5" s="1360">
        <f>INDEX(PT_DIFFERENTIATION_NUM_IST_TE,MATCH(D5,PT_DIFFERENTIATION_IST_TE_ID,0))</f>
      </c>
      <c r="T5" s="334" t="s">
        <v>485</v>
      </c>
      <c r="U5" s="324"/>
      <c r="V5" s="2266"/>
      <c r="W5" s="2267"/>
      <c r="X5" s="2267"/>
      <c r="Y5" s="2267"/>
      <c r="Z5" s="2267"/>
      <c r="AA5" s="2267"/>
      <c r="AB5" s="2267"/>
      <c r="AC5" s="2268"/>
      <c r="AD5" s="2266">
        <f>INDEX(PT_DIFFERENTIATION_IST_TE,MATCH(D5,PT_DIFFERENTIATION_IST_TE_ID,0))</f>
      </c>
      <c r="AE5" s="2267"/>
      <c r="AF5" s="2267"/>
      <c r="AG5" s="2267"/>
      <c r="AH5" s="2267"/>
      <c r="AI5" s="2267"/>
      <c r="AJ5" s="2267"/>
      <c r="AK5" s="2267"/>
      <c r="AL5" s="2268"/>
      <c r="AM5" s="1282" t="s">
        <v>486</v>
      </c>
      <c r="AO5" s="524"/>
      <c r="AP5" s="524" t="str">
        <f>IF(T5="","",T5)</f>
        <v>Источник тепловой энергии  </v>
      </c>
      <c r="AQ5" s="524"/>
      <c r="AR5" s="524"/>
      <c r="AS5" s="1179">
        <v>0</v>
      </c>
    </row>
    <row customHeight="1" ht="14.25" hidden="1">
      <c r="A6" s="1387"/>
      <c r="B6" s="1387"/>
      <c r="C6" s="1387"/>
      <c r="D6" s="1387"/>
      <c r="E6" s="2283"/>
      <c r="F6" s="2283"/>
      <c r="G6" s="2283"/>
      <c r="H6" s="2283"/>
      <c r="I6" s="2280">
        <f>S5&amp;".1"</f>
      </c>
      <c r="J6" s="1387"/>
      <c r="K6" s="1387"/>
      <c r="L6" s="1388" t="s">
        <v>487</v>
      </c>
      <c r="M6" s="561"/>
      <c r="P6" s="2281">
        <v>1</v>
      </c>
      <c r="Q6" s="1355"/>
      <c r="R6" s="380"/>
      <c r="S6" s="1066"/>
      <c r="T6" s="1407"/>
      <c r="U6" s="1408"/>
      <c r="V6" s="2320"/>
      <c r="W6" s="2321"/>
      <c r="X6" s="2321"/>
      <c r="Y6" s="2321"/>
      <c r="Z6" s="2321"/>
      <c r="AA6" s="2321"/>
      <c r="AB6" s="2321"/>
      <c r="AC6" s="2322"/>
      <c r="AD6" s="2320"/>
      <c r="AE6" s="2321"/>
      <c r="AF6" s="2321"/>
      <c r="AG6" s="2321"/>
      <c r="AH6" s="2321"/>
      <c r="AI6" s="2321"/>
      <c r="AJ6" s="2321"/>
      <c r="AK6" s="2321"/>
      <c r="AL6" s="2322"/>
      <c r="AM6" s="1409"/>
      <c r="AO6" s="524"/>
      <c r="AP6" s="524" t="str">
        <f>IF(T6="","",T6)</f>
        <v/>
      </c>
      <c r="AQ6" s="524"/>
      <c r="AR6" s="524"/>
      <c r="AS6" s="1179">
        <v>0</v>
      </c>
    </row>
    <row customHeight="1" ht="21" hidden="1">
      <c r="A7" s="1387"/>
      <c r="B7" s="1387"/>
      <c r="C7" s="1387"/>
      <c r="D7" s="1387"/>
      <c r="E7" s="2283"/>
      <c r="F7" s="2283"/>
      <c r="G7" s="2283"/>
      <c r="H7" s="2283"/>
      <c r="I7" s="2310"/>
      <c r="J7" s="2280">
        <f>I6&amp;".1"</f>
      </c>
      <c r="K7" s="1387"/>
      <c r="L7" s="1388" t="s">
        <v>490</v>
      </c>
      <c r="M7" s="561"/>
      <c r="N7" s="1390"/>
      <c r="P7" s="2281"/>
      <c r="Q7" s="2281">
        <v>1</v>
      </c>
      <c r="R7" s="381"/>
      <c r="S7" s="1360">
        <f>$J7</f>
      </c>
      <c r="T7" s="310" t="s">
        <v>491</v>
      </c>
      <c r="U7" s="324"/>
      <c r="V7" s="2269"/>
      <c r="W7" s="2270"/>
      <c r="X7" s="2270"/>
      <c r="Y7" s="2270"/>
      <c r="Z7" s="2270"/>
      <c r="AA7" s="2270"/>
      <c r="AB7" s="2270"/>
      <c r="AC7" s="2271"/>
      <c r="AD7" s="2269"/>
      <c r="AE7" s="2270"/>
      <c r="AF7" s="2270"/>
      <c r="AG7" s="2270"/>
      <c r="AH7" s="2270"/>
      <c r="AI7" s="2270"/>
      <c r="AJ7" s="2270"/>
      <c r="AK7" s="2270"/>
      <c r="AL7" s="2271"/>
      <c r="AM7" s="1282" t="s">
        <v>492</v>
      </c>
      <c r="AO7" s="524"/>
      <c r="AP7" s="524" t="str">
        <f>IF(T7="","",T7)</f>
        <v>Группа потребителей</v>
      </c>
      <c r="AQ7" s="524"/>
      <c r="AR7" s="524"/>
      <c r="AS7" s="1179">
        <v>0</v>
      </c>
    </row>
    <row customHeight="1" ht="21" hidden="1">
      <c r="A8" s="1387"/>
      <c r="B8" s="1387"/>
      <c r="C8" s="1387"/>
      <c r="D8" s="1387"/>
      <c r="E8" s="2283"/>
      <c r="F8" s="2283"/>
      <c r="G8" s="2283"/>
      <c r="H8" s="2283"/>
      <c r="I8" s="2310"/>
      <c r="J8" s="2310"/>
      <c r="K8" s="2280">
        <f>J7&amp;".1"</f>
      </c>
      <c r="L8" s="1388" t="s">
        <v>493</v>
      </c>
      <c r="M8" s="561"/>
      <c r="N8" s="1390"/>
      <c r="O8" s="1390"/>
      <c r="P8" s="2281"/>
      <c r="Q8" s="2281"/>
      <c r="R8" s="381">
        <v>1</v>
      </c>
      <c r="S8" s="1360">
        <f>$K8</f>
      </c>
      <c r="T8" s="1371"/>
      <c r="U8" s="324"/>
      <c r="V8" s="775"/>
      <c r="W8" s="349"/>
      <c r="X8" s="775"/>
      <c r="Y8" s="1281"/>
      <c r="Z8" s="2289"/>
      <c r="AA8" s="2131" t="s">
        <v>66</v>
      </c>
      <c r="AB8" s="2289"/>
      <c r="AC8" s="2131" t="s">
        <v>66</v>
      </c>
      <c r="AD8" s="775"/>
      <c r="AE8" s="349"/>
      <c r="AF8" s="775"/>
      <c r="AG8" s="1281"/>
      <c r="AH8" s="2289"/>
      <c r="AI8" s="2131" t="s">
        <v>66</v>
      </c>
      <c r="AJ8" s="2289"/>
      <c r="AK8" s="2131" t="s">
        <v>66</v>
      </c>
      <c r="AL8" s="349"/>
      <c r="AM8" s="2277" t="s">
        <v>494</v>
      </c>
      <c r="AN8" s="535">
        <f>STRCHECKDATE(V9:AL9)</f>
      </c>
      <c r="AO8" s="524"/>
      <c r="AP8" s="524" t="str">
        <f>IF(T8="","",T8)</f>
        <v/>
      </c>
      <c r="AQ8" s="524"/>
      <c r="AR8" s="524"/>
      <c r="AS8" s="1179">
        <v>0</v>
      </c>
    </row>
    <row customHeight="1" ht="0.75" hidden="1">
      <c r="A9" s="1387"/>
      <c r="B9" s="1387"/>
      <c r="C9" s="1387"/>
      <c r="D9" s="1387"/>
      <c r="E9" s="2283"/>
      <c r="F9" s="2283"/>
      <c r="G9" s="2283"/>
      <c r="H9" s="2283"/>
      <c r="I9" s="2310"/>
      <c r="J9" s="2310"/>
      <c r="K9" s="2280"/>
      <c r="L9" s="1388"/>
      <c r="M9" s="561"/>
      <c r="N9" s="1390"/>
      <c r="O9" s="1390"/>
      <c r="P9" s="2281"/>
      <c r="Q9" s="2281"/>
      <c r="R9" s="381"/>
      <c r="S9" s="1366"/>
      <c r="T9" s="324"/>
      <c r="U9" s="324"/>
      <c r="V9" s="349"/>
      <c r="W9" s="349"/>
      <c r="X9" s="349"/>
      <c r="Y9" s="352" t="str">
        <f>Z8&amp;"-"&amp;AB8</f>
        <v>-</v>
      </c>
      <c r="Z9" s="2290"/>
      <c r="AA9" s="2131"/>
      <c r="AB9" s="2290"/>
      <c r="AC9" s="2131"/>
      <c r="AD9" s="349"/>
      <c r="AE9" s="349"/>
      <c r="AF9" s="349"/>
      <c r="AG9" s="352" t="str">
        <f>AH8&amp;"-"&amp;AJ8</f>
        <v>-</v>
      </c>
      <c r="AH9" s="2290"/>
      <c r="AI9" s="2131"/>
      <c r="AJ9" s="2290"/>
      <c r="AK9" s="2131"/>
      <c r="AL9" s="349"/>
      <c r="AM9" s="2278"/>
      <c r="AO9" s="524"/>
      <c r="AP9" s="524" t="str">
        <f>IF(T9="","",T9)</f>
        <v/>
      </c>
      <c r="AQ9" s="524"/>
      <c r="AR9" s="524"/>
      <c r="AS9" s="1179">
        <v>0</v>
      </c>
    </row>
    <row customHeight="1" ht="15" hidden="1">
      <c r="A10" s="1387"/>
      <c r="B10" s="1387"/>
      <c r="C10" s="1387"/>
      <c r="D10" s="1387"/>
      <c r="E10" s="2283"/>
      <c r="F10" s="2283"/>
      <c r="G10" s="2283"/>
      <c r="H10" s="2283"/>
      <c r="I10" s="2310"/>
      <c r="J10" s="2280"/>
      <c r="K10" s="1387"/>
      <c r="L10" s="1388"/>
      <c r="M10" s="561"/>
      <c r="N10" s="1390"/>
      <c r="P10" s="2281"/>
      <c r="Q10" s="2281"/>
      <c r="R10" s="380"/>
      <c r="S10" s="1302"/>
      <c r="T10" s="311" t="s">
        <v>495</v>
      </c>
      <c r="U10" s="391"/>
      <c r="V10" s="391"/>
      <c r="W10" s="391"/>
      <c r="X10" s="391"/>
      <c r="Y10" s="391"/>
      <c r="Z10" s="391"/>
      <c r="AA10" s="391"/>
      <c r="AB10" s="391"/>
      <c r="AC10" s="391"/>
      <c r="AD10" s="391"/>
      <c r="AE10" s="391"/>
      <c r="AF10" s="391"/>
      <c r="AG10" s="391"/>
      <c r="AH10" s="391"/>
      <c r="AI10" s="391"/>
      <c r="AJ10" s="391"/>
      <c r="AK10" s="391"/>
      <c r="AL10" s="348"/>
      <c r="AM10" s="2279"/>
      <c r="AO10" s="524"/>
      <c r="AP10" s="524" t="str">
        <f>IF(T10="","",T10)</f>
        <v>Добавить вид теплоносителя (параметры теплоносителя)</v>
      </c>
      <c r="AQ10" s="524"/>
      <c r="AR10" s="524"/>
      <c r="AS10" s="1179">
        <v>0</v>
      </c>
    </row>
    <row customHeight="1" ht="15" hidden="1">
      <c r="A11" s="1387"/>
      <c r="B11" s="1387"/>
      <c r="C11" s="1387"/>
      <c r="D11" s="1387"/>
      <c r="E11" s="2283"/>
      <c r="F11" s="2283"/>
      <c r="G11" s="2283"/>
      <c r="H11" s="2283"/>
      <c r="I11" s="2280"/>
      <c r="J11" s="1387"/>
      <c r="K11" s="1387"/>
      <c r="L11" s="1388"/>
      <c r="M11" s="561"/>
      <c r="P11" s="2281"/>
      <c r="Q11" s="1355"/>
      <c r="R11" s="380"/>
      <c r="S11" s="1302"/>
      <c r="T11" s="389" t="s">
        <v>496</v>
      </c>
      <c r="U11" s="391"/>
      <c r="V11" s="391"/>
      <c r="W11" s="391"/>
      <c r="X11" s="391"/>
      <c r="Y11" s="391"/>
      <c r="Z11" s="391"/>
      <c r="AA11" s="391"/>
      <c r="AB11" s="391"/>
      <c r="AC11" s="390"/>
      <c r="AD11" s="391"/>
      <c r="AE11" s="391"/>
      <c r="AF11" s="391"/>
      <c r="AG11" s="391"/>
      <c r="AH11" s="391"/>
      <c r="AI11" s="391"/>
      <c r="AJ11" s="391"/>
      <c r="AK11" s="390"/>
      <c r="AL11" s="391"/>
      <c r="AM11" s="327"/>
      <c r="AO11" s="524"/>
      <c r="AP11" s="524" t="str">
        <f>IF(T11="","",T11)</f>
        <v>Добавить группу потребителей</v>
      </c>
      <c r="AQ11" s="524"/>
      <c r="AR11" s="524"/>
      <c r="AS11" s="1179">
        <v>0</v>
      </c>
    </row>
    <row customHeight="1" ht="14.25" hidden="1">
      <c r="A12" s="1387"/>
      <c r="B12" s="1387"/>
      <c r="C12" s="1387"/>
      <c r="D12" s="1387"/>
      <c r="E12" s="2283"/>
      <c r="F12" s="2283"/>
      <c r="G12" s="2283"/>
      <c r="H12" s="2282"/>
      <c r="I12" s="1387"/>
      <c r="J12" s="1387"/>
      <c r="K12" s="1387"/>
      <c r="L12" s="1388"/>
      <c r="M12" s="1389"/>
      <c r="N12" s="1389"/>
      <c r="O12" s="561"/>
      <c r="P12" s="384"/>
      <c r="Q12" s="399"/>
      <c r="R12" s="379"/>
      <c r="S12" s="1410"/>
      <c r="T12" s="1411"/>
      <c r="U12" s="1412"/>
      <c r="V12" s="1412"/>
      <c r="W12" s="1412"/>
      <c r="X12" s="1412"/>
      <c r="Y12" s="1412"/>
      <c r="Z12" s="1412"/>
      <c r="AA12" s="1412"/>
      <c r="AB12" s="1412"/>
      <c r="AC12" s="1412"/>
      <c r="AD12" s="1412"/>
      <c r="AE12" s="1412"/>
      <c r="AF12" s="1412"/>
      <c r="AG12" s="1412"/>
      <c r="AH12" s="1412"/>
      <c r="AI12" s="1412"/>
      <c r="AJ12" s="1412"/>
      <c r="AK12" s="1412"/>
      <c r="AL12" s="1412"/>
      <c r="AM12" s="1413"/>
      <c r="AO12" s="524"/>
      <c r="AP12" s="524" t="str">
        <f>IF(T12="","",T12)</f>
        <v/>
      </c>
      <c r="AQ12" s="524"/>
      <c r="AR12" s="524"/>
      <c r="AS12" s="1179">
        <v>0</v>
      </c>
    </row>
    <row s="1666" customFormat="1" customHeight="1" ht="0.75" hidden="1">
      <c r="A13" s="1338"/>
      <c r="B13" s="1338"/>
      <c r="C13" s="1338"/>
      <c r="D13" s="1338"/>
      <c r="E13" s="2283"/>
      <c r="F13" s="2283"/>
      <c r="G13" s="2282"/>
      <c r="H13" s="1338"/>
      <c r="I13" s="1338"/>
      <c r="J13" s="1338"/>
      <c r="K13" s="1338"/>
      <c r="L13" s="1363"/>
      <c r="M13" s="1339"/>
      <c r="N13" s="1339"/>
      <c r="P13" s="1340"/>
      <c r="Q13" s="1341"/>
      <c r="R13" s="1340"/>
      <c r="S13" s="1342"/>
      <c r="T13" s="1343" t="s">
        <v>498</v>
      </c>
      <c r="U13" s="1344"/>
      <c r="V13" s="1344"/>
      <c r="W13" s="1344"/>
      <c r="X13" s="1344"/>
      <c r="Y13" s="1344"/>
      <c r="Z13" s="1344"/>
      <c r="AA13" s="1344"/>
      <c r="AB13" s="1344"/>
      <c r="AC13" s="1344"/>
      <c r="AD13" s="1344"/>
      <c r="AE13" s="1344"/>
      <c r="AF13" s="1344"/>
      <c r="AG13" s="1344"/>
      <c r="AH13" s="1344"/>
      <c r="AI13" s="1344"/>
      <c r="AJ13" s="1344"/>
      <c r="AK13" s="1344"/>
      <c r="AL13" s="1344"/>
      <c r="AM13" s="1344"/>
      <c r="AO13" s="813"/>
      <c r="AP13" s="813" t="str">
        <f>IF(T13="","",T13)</f>
        <v>Добавить источник для дифференциации</v>
      </c>
      <c r="AQ13" s="813"/>
      <c r="AR13" s="813"/>
      <c r="AS13" s="542">
        <v>0</v>
      </c>
    </row>
    <row s="1666" customFormat="1" customHeight="1" ht="0.75" hidden="1">
      <c r="A14" s="1338"/>
      <c r="B14" s="1338"/>
      <c r="C14" s="1338"/>
      <c r="D14" s="1338"/>
      <c r="E14" s="2283"/>
      <c r="F14" s="2282"/>
      <c r="G14" s="1338"/>
      <c r="H14" s="1338"/>
      <c r="I14" s="1338"/>
      <c r="J14" s="1338"/>
      <c r="K14" s="1338"/>
      <c r="L14" s="1363"/>
      <c r="M14" s="1345"/>
      <c r="N14" s="1345"/>
      <c r="P14" s="1340"/>
      <c r="Q14" s="1341"/>
      <c r="R14" s="1340"/>
      <c r="S14" s="1346"/>
      <c r="T14" s="1347" t="s">
        <v>499</v>
      </c>
      <c r="U14" s="1348"/>
      <c r="V14" s="1348"/>
      <c r="W14" s="1348"/>
      <c r="X14" s="1348"/>
      <c r="Y14" s="1348"/>
      <c r="Z14" s="1348"/>
      <c r="AA14" s="1348"/>
      <c r="AB14" s="1348"/>
      <c r="AC14" s="1348"/>
      <c r="AD14" s="1348"/>
      <c r="AE14" s="1348"/>
      <c r="AF14" s="1348"/>
      <c r="AG14" s="1348"/>
      <c r="AH14" s="1348"/>
      <c r="AI14" s="1348"/>
      <c r="AJ14" s="1348"/>
      <c r="AK14" s="1348"/>
      <c r="AL14" s="1348"/>
      <c r="AM14" s="1348"/>
      <c r="AO14" s="813"/>
      <c r="AP14" s="813" t="str">
        <f>IF(T14="","",T14)</f>
        <v>Добавить централизованную систему для дифференциации</v>
      </c>
      <c r="AQ14" s="813"/>
      <c r="AR14" s="813"/>
      <c r="AS14" s="542">
        <v>0</v>
      </c>
    </row>
    <row s="1666" customFormat="1" customHeight="1" ht="0.75" hidden="1">
      <c r="A15" s="1338"/>
      <c r="B15" s="1338"/>
      <c r="C15" s="1338"/>
      <c r="D15" s="1338"/>
      <c r="E15" s="2282"/>
      <c r="F15" s="1338"/>
      <c r="G15" s="1338"/>
      <c r="H15" s="1338"/>
      <c r="I15" s="1338"/>
      <c r="J15" s="1338"/>
      <c r="K15" s="1338"/>
      <c r="L15" s="1363"/>
      <c r="M15" s="1345"/>
      <c r="N15" s="1345"/>
      <c r="P15" s="1340"/>
      <c r="Q15" s="1341"/>
      <c r="R15" s="1340"/>
      <c r="S15" s="1346"/>
      <c r="T15" s="1349" t="s">
        <v>500</v>
      </c>
      <c r="U15" s="1348"/>
      <c r="V15" s="1348"/>
      <c r="W15" s="1348"/>
      <c r="X15" s="1348"/>
      <c r="Y15" s="1348"/>
      <c r="Z15" s="1348"/>
      <c r="AA15" s="1348"/>
      <c r="AB15" s="1348"/>
      <c r="AC15" s="1348"/>
      <c r="AD15" s="1348"/>
      <c r="AE15" s="1348"/>
      <c r="AF15" s="1348"/>
      <c r="AG15" s="1348"/>
      <c r="AH15" s="1348"/>
      <c r="AI15" s="1348"/>
      <c r="AJ15" s="1348"/>
      <c r="AK15" s="1348"/>
      <c r="AL15" s="1348"/>
      <c r="AM15" s="1348"/>
      <c r="AO15" s="813"/>
      <c r="AP15" s="813" t="str">
        <f>IF(T15="","",T15)</f>
        <v>Добавить территорию для дифференциации</v>
      </c>
      <c r="AQ15" s="813"/>
      <c r="AR15" s="813"/>
      <c r="AS15" s="542">
        <v>0</v>
      </c>
    </row>
    <row customHeight="1" ht="14.25" hidden="1">
      <c r="AC16" s="351"/>
      <c r="AK16" s="351"/>
      <c r="AS16" s="1179">
        <v>0</v>
      </c>
    </row>
    <row customHeight="1" ht="14.25" hidden="1">
      <c r="AD17" s="1384"/>
      <c r="AE17" s="1384"/>
      <c r="AF17" s="1384"/>
      <c r="AG17" s="1385"/>
      <c r="AH17" s="2291"/>
      <c r="AI17" s="2292" t="s">
        <v>66</v>
      </c>
      <c r="AJ17" s="2291"/>
      <c r="AK17" s="2292" t="s">
        <v>66</v>
      </c>
      <c r="AS17" s="1179">
        <v>0</v>
      </c>
    </row>
    <row customHeight="1" ht="14.25" hidden="1">
      <c r="AD18" s="1384"/>
      <c r="AE18" s="1384"/>
      <c r="AF18" s="1384"/>
      <c r="AG18" s="352" t="str">
        <f>AH17&amp;"-"&amp;AJ17</f>
        <v>-</v>
      </c>
      <c r="AH18" s="2292"/>
      <c r="AI18" s="2292"/>
      <c r="AJ18" s="2292"/>
      <c r="AK18" s="2292"/>
      <c r="AS18" s="1179">
        <v>0</v>
      </c>
    </row>
    <row customHeight="1" ht="14.25" hidden="1">
      <c r="AK19" s="351"/>
      <c r="AS19" s="1179">
        <v>0</v>
      </c>
    </row>
    <row s="1390" customFormat="1" customHeight="1" ht="22.5" hidden="1">
      <c r="L20" s="1353"/>
      <c r="M20" s="1386"/>
      <c r="N20" s="1386"/>
      <c r="O20" s="1391" t="s">
        <v>501</v>
      </c>
      <c r="P20" s="1386"/>
      <c r="Q20" s="1395"/>
      <c r="R20" s="1395"/>
      <c r="S20" s="753"/>
      <c r="Z20" s="1391"/>
      <c r="AB20" s="1391"/>
      <c r="AC20" s="1390"/>
      <c r="AH20" s="1391"/>
      <c r="AJ20" s="1391"/>
      <c r="AK20" s="1390"/>
      <c r="AN20" s="535"/>
      <c r="AO20" s="535"/>
      <c r="AP20" s="535"/>
      <c r="AQ20" s="535"/>
      <c r="AR20" s="535"/>
      <c r="AS20" s="1184">
        <v>0</v>
      </c>
    </row>
    <row s="1390" customFormat="1" customHeight="1" ht="14.25" hidden="1">
      <c r="L21" s="1353"/>
      <c r="M21" s="1386"/>
      <c r="N21" s="1386"/>
      <c r="O21" s="1386"/>
      <c r="P21" s="1386"/>
      <c r="Q21" s="1395"/>
      <c r="R21" s="1395"/>
      <c r="S21" s="753"/>
      <c r="AC21" s="1390"/>
      <c r="AK21" s="1390"/>
      <c r="AN21" s="535"/>
      <c r="AO21" s="535"/>
      <c r="AP21" s="535"/>
      <c r="AQ21" s="535"/>
      <c r="AR21" s="535"/>
      <c r="AS21" s="1184">
        <v>0</v>
      </c>
    </row>
    <row s="1390" customFormat="1" customHeight="1" ht="14.25" hidden="1">
      <c r="L22" s="1353"/>
      <c r="M22" s="1386"/>
      <c r="N22" s="1386"/>
      <c r="O22" s="1388" t="s">
        <v>502</v>
      </c>
      <c r="P22" s="1386"/>
      <c r="Q22" s="1395"/>
      <c r="R22" s="1395"/>
      <c r="S22" s="753"/>
      <c r="T22" s="1184" t="s">
        <v>503</v>
      </c>
      <c r="AA22" s="210" t="s">
        <v>504</v>
      </c>
      <c r="AC22" s="210" t="s">
        <v>505</v>
      </c>
      <c r="AD22" s="1184" t="s">
        <v>503</v>
      </c>
      <c r="AI22" s="210" t="s">
        <v>506</v>
      </c>
      <c r="AK22" s="210" t="s">
        <v>505</v>
      </c>
      <c r="AN22" s="535"/>
      <c r="AO22" s="535"/>
      <c r="AP22" s="535"/>
      <c r="AQ22" s="535"/>
      <c r="AR22" s="535"/>
      <c r="AS22" s="1184">
        <v>0</v>
      </c>
    </row>
    <row customHeight="1" ht="14.25" hidden="1">
      <c r="O23" s="1388"/>
      <c r="AS23" s="1179">
        <v>0</v>
      </c>
    </row>
    <row customHeight="1" ht="14.25" hidden="1">
      <c r="O24" s="1388"/>
      <c r="AS24" s="1179">
        <v>0</v>
      </c>
    </row>
    <row customHeight="1" ht="14.699999999999998">
      <c r="Q25" s="400"/>
      <c r="R25" s="400"/>
      <c r="S25" s="1299"/>
      <c r="T25" s="387"/>
      <c r="U25" s="387"/>
      <c r="V25" s="533"/>
      <c r="W25" s="533"/>
      <c r="X25" s="533"/>
      <c r="Y25" s="533"/>
      <c r="Z25" s="533"/>
      <c r="AA25" s="533"/>
      <c r="AB25" s="533"/>
      <c r="AC25" s="533"/>
      <c r="AD25" s="533"/>
      <c r="AE25" s="533"/>
      <c r="AF25" s="533"/>
      <c r="AG25" s="533"/>
      <c r="AH25" s="533"/>
      <c r="AI25" s="533"/>
      <c r="AJ25" s="533"/>
      <c r="AK25" s="533"/>
      <c r="AS25" s="1179">
        <v>14</v>
      </c>
    </row>
    <row customHeight="1" ht="63">
      <c r="Q26" s="400"/>
      <c r="R26" s="400"/>
      <c r="S26" s="227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72"/>
      <c r="U26" s="2272"/>
      <c r="V26" s="2272"/>
      <c r="W26" s="2272"/>
      <c r="X26" s="2272"/>
      <c r="Y26" s="2272"/>
      <c r="Z26" s="2272"/>
      <c r="AA26" s="2272"/>
      <c r="AB26" s="2272"/>
      <c r="AC26" s="2272"/>
      <c r="AD26" s="2272"/>
      <c r="AE26" s="2272"/>
      <c r="AF26" s="2272"/>
      <c r="AG26" s="2272"/>
      <c r="AH26" s="2272"/>
      <c r="AI26" s="2272"/>
      <c r="AJ26" s="2272"/>
      <c r="AK26" s="1267"/>
      <c r="AS26" s="1179">
        <v>60</v>
      </c>
    </row>
    <row customHeight="1" ht="14.699999999999998">
      <c r="Q27" s="400"/>
      <c r="R27" s="400"/>
      <c r="S27" s="2273" t="str">
        <f>IF(org=0,"Не определено",org)</f>
        <v>АО "ДГК"</v>
      </c>
      <c r="T27" s="2273"/>
      <c r="U27" s="2273"/>
      <c r="V27" s="2273"/>
      <c r="W27" s="2273"/>
      <c r="X27" s="2273"/>
      <c r="Y27" s="2273"/>
      <c r="Z27" s="2273"/>
      <c r="AA27" s="2273"/>
      <c r="AB27" s="2273"/>
      <c r="AC27" s="2273"/>
      <c r="AD27" s="2273"/>
      <c r="AE27" s="2273"/>
      <c r="AF27" s="2273"/>
      <c r="AG27" s="2273"/>
      <c r="AH27" s="2273"/>
      <c r="AI27" s="2273"/>
      <c r="AJ27" s="2273"/>
      <c r="AK27" s="1267"/>
      <c r="AS27" s="1179">
        <v>14</v>
      </c>
    </row>
    <row customHeight="1" ht="14.25" hidden="1">
      <c r="Q28" s="400"/>
      <c r="R28" s="400"/>
      <c r="S28" s="1299"/>
      <c r="T28" s="387"/>
      <c r="U28" s="387"/>
      <c r="V28" s="346"/>
      <c r="W28" s="346"/>
      <c r="X28" s="346"/>
      <c r="Y28" s="346"/>
      <c r="Z28" s="346"/>
      <c r="AA28" s="346"/>
      <c r="AB28" s="346"/>
      <c r="AC28" s="346"/>
      <c r="AD28" s="346"/>
      <c r="AE28" s="346"/>
      <c r="AF28" s="346"/>
      <c r="AG28" s="346"/>
      <c r="AH28" s="346"/>
      <c r="AI28" s="346"/>
      <c r="AJ28" s="346"/>
      <c r="AK28" s="346"/>
      <c r="AL28" s="533"/>
      <c r="AS28" s="1179">
        <v>0</v>
      </c>
    </row>
    <row s="1877" customFormat="1" customHeight="1" ht="25.5" hidden="1">
      <c r="A29" s="1392"/>
      <c r="B29" s="1392"/>
      <c r="C29" s="1392"/>
      <c r="D29" s="1392"/>
      <c r="E29" s="1392"/>
      <c r="F29" s="1392"/>
      <c r="G29" s="1392"/>
      <c r="H29" s="1392"/>
      <c r="I29" s="1392"/>
      <c r="J29" s="1392"/>
      <c r="K29" s="1392"/>
      <c r="L29" s="1393"/>
      <c r="M29" s="1392"/>
      <c r="N29" s="1392"/>
      <c r="O29" s="1392"/>
      <c r="S29" s="2274" t="s">
        <v>42</v>
      </c>
      <c r="T29" s="2274"/>
      <c r="U29" s="1396"/>
      <c r="V29" s="2275" t="str">
        <f>IF(TITLE_NAME_OR_PR_CHANGE="",IF(TITLE_NAME_OR_PR="","",TITLE_NAME_OR_PR),TITLE_NAME_OR_PR_CHANGE)</f>
        <v/>
      </c>
      <c r="W29" s="2275"/>
      <c r="X29" s="2275"/>
      <c r="Y29" s="2275"/>
      <c r="Z29" s="2275"/>
      <c r="AA29" s="2275"/>
      <c r="AB29" s="2275"/>
      <c r="AC29" s="350"/>
      <c r="AD29" s="2275" t="str">
        <f>IF(TITLE_NAME_OR_PR_CHANGE="",IF(TITLE_NAME_OR_PR="","",TITLE_NAME_OR_PR),TITLE_NAME_OR_PR_CHANGE)</f>
        <v/>
      </c>
      <c r="AE29" s="2275"/>
      <c r="AF29" s="2275"/>
      <c r="AG29" s="2275"/>
      <c r="AH29" s="2275"/>
      <c r="AI29" s="2275"/>
      <c r="AJ29" s="2275"/>
      <c r="AK29" s="350"/>
      <c r="AL29" s="350"/>
      <c r="AM29" s="304"/>
      <c r="AN29" s="392"/>
      <c r="AO29" s="392"/>
      <c r="AP29" s="392"/>
      <c r="AQ29" s="392"/>
      <c r="AR29" s="392"/>
      <c r="AS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507</v>
      </c>
      <c r="T30" s="2274"/>
      <c r="U30" s="1396"/>
      <c r="V30" s="2288" t="str">
        <f>IF(TITLE_DATE_PR_CHANGE="",IF(TITLE_DATE_PR="","",TITLE_DATE_PR),TITLE_DATE_PR_CHANGE)</f>
        <v/>
      </c>
      <c r="W30" s="2288"/>
      <c r="X30" s="2288"/>
      <c r="Y30" s="2288"/>
      <c r="Z30" s="2288"/>
      <c r="AA30" s="2288"/>
      <c r="AB30" s="2288"/>
      <c r="AC30" s="350"/>
      <c r="AD30" s="2288" t="str">
        <f>IF(TITLE_DATE_PR_CHANGE="",IF(TITLE_DATE_PR="","",TITLE_DATE_PR),TITLE_DATE_PR_CHANGE)</f>
        <v/>
      </c>
      <c r="AE30" s="2288"/>
      <c r="AF30" s="2288"/>
      <c r="AG30" s="2288"/>
      <c r="AH30" s="2288"/>
      <c r="AI30" s="2288"/>
      <c r="AJ30" s="2288"/>
      <c r="AK30" s="350"/>
      <c r="AL30" s="350"/>
      <c r="AM30" s="304"/>
      <c r="AN30" s="392"/>
      <c r="AO30" s="392"/>
      <c r="AP30" s="392"/>
      <c r="AQ30" s="392"/>
      <c r="AR30" s="392"/>
      <c r="AS30" s="442">
        <v>0</v>
      </c>
    </row>
    <row s="1877" customFormat="1" customHeight="1" ht="18.75" hidden="1">
      <c r="A31" s="1392"/>
      <c r="B31" s="1392"/>
      <c r="C31" s="1392"/>
      <c r="D31" s="1392"/>
      <c r="E31" s="1392"/>
      <c r="F31" s="1392"/>
      <c r="G31" s="1392"/>
      <c r="H31" s="1392"/>
      <c r="I31" s="1392"/>
      <c r="J31" s="1392"/>
      <c r="K31" s="1392"/>
      <c r="L31" s="1393"/>
      <c r="M31" s="1392"/>
      <c r="N31" s="1392"/>
      <c r="O31" s="1392"/>
      <c r="S31" s="2274" t="s">
        <v>508</v>
      </c>
      <c r="T31" s="2274"/>
      <c r="U31" s="1396"/>
      <c r="V31" s="2275" t="str">
        <f>IF(TITLE_NUMBER_PR_CHANGE="",IF(TITLE_NUMBER_PR="","",TITLE_NUMBER_PR),TITLE_NUMBER_PR_CHANGE)</f>
        <v/>
      </c>
      <c r="W31" s="2275"/>
      <c r="X31" s="2275"/>
      <c r="Y31" s="2275"/>
      <c r="Z31" s="2275"/>
      <c r="AA31" s="2275"/>
      <c r="AB31" s="2275"/>
      <c r="AC31" s="350"/>
      <c r="AD31" s="2275" t="str">
        <f>IF(TITLE_NUMBER_PR_CHANGE="",IF(TITLE_NUMBER_PR="","",TITLE_NUMBER_PR),TITLE_NUMBER_PR_CHANGE)</f>
        <v/>
      </c>
      <c r="AE31" s="2275"/>
      <c r="AF31" s="2275"/>
      <c r="AG31" s="2275"/>
      <c r="AH31" s="2275"/>
      <c r="AI31" s="2275"/>
      <c r="AJ31" s="2275"/>
      <c r="AK31" s="350"/>
      <c r="AL31" s="350"/>
      <c r="AM31" s="304"/>
      <c r="AN31" s="392"/>
      <c r="AO31" s="392"/>
      <c r="AP31" s="392"/>
      <c r="AQ31" s="392"/>
      <c r="AR31" s="392"/>
      <c r="AS31" s="442">
        <v>0</v>
      </c>
    </row>
    <row s="1877" customFormat="1" customHeight="1" ht="18.75" hidden="1">
      <c r="A32" s="1392"/>
      <c r="B32" s="1392"/>
      <c r="C32" s="1392"/>
      <c r="D32" s="1392"/>
      <c r="E32" s="1392"/>
      <c r="F32" s="1392"/>
      <c r="G32" s="1392"/>
      <c r="H32" s="1392"/>
      <c r="I32" s="1392"/>
      <c r="J32" s="1392"/>
      <c r="K32" s="1392"/>
      <c r="L32" s="1393"/>
      <c r="M32" s="1392"/>
      <c r="N32" s="1392"/>
      <c r="O32" s="1392"/>
      <c r="S32" s="2274" t="s">
        <v>43</v>
      </c>
      <c r="T32" s="2274"/>
      <c r="U32" s="1396"/>
      <c r="V32" s="2275" t="str">
        <f>IF(TITLE_IST_PUB_CHANGE="",IF(TITLE_IST_PUB="","",TITLE_IST_PUB),TITLE_IST_PUB_CHANGE)</f>
        <v/>
      </c>
      <c r="W32" s="2275"/>
      <c r="X32" s="2275"/>
      <c r="Y32" s="2275"/>
      <c r="Z32" s="2275"/>
      <c r="AA32" s="2275"/>
      <c r="AB32" s="2275"/>
      <c r="AC32" s="350"/>
      <c r="AD32" s="2275" t="str">
        <f>IF(TITLE_IST_PUB_CHANGE="",IF(TITLE_IST_PUB="","",TITLE_IST_PUB),TITLE_IST_PUB_CHANGE)</f>
        <v/>
      </c>
      <c r="AE32" s="2275"/>
      <c r="AF32" s="2275"/>
      <c r="AG32" s="2275"/>
      <c r="AH32" s="2275"/>
      <c r="AI32" s="2275"/>
      <c r="AJ32" s="2275"/>
      <c r="AK32" s="350"/>
      <c r="AL32" s="350"/>
      <c r="AM32" s="304"/>
      <c r="AN32" s="392"/>
      <c r="AO32" s="392"/>
      <c r="AP32" s="392"/>
      <c r="AQ32" s="392"/>
      <c r="AR32" s="392"/>
      <c r="AS32" s="442">
        <v>0</v>
      </c>
    </row>
    <row customHeight="1" ht="14.25" hidden="1">
      <c r="Q33" s="400"/>
      <c r="R33" s="400"/>
      <c r="S33" s="1299"/>
      <c r="T33" s="387"/>
      <c r="U33" s="387"/>
      <c r="V33" s="346"/>
      <c r="W33" s="346"/>
      <c r="X33" s="346"/>
      <c r="Y33" s="346"/>
      <c r="Z33" s="346"/>
      <c r="AA33" s="346"/>
      <c r="AB33" s="346"/>
      <c r="AC33" s="346"/>
      <c r="AD33" s="346"/>
      <c r="AE33" s="346"/>
      <c r="AF33" s="346"/>
      <c r="AG33" s="346"/>
      <c r="AH33" s="346"/>
      <c r="AI33" s="346"/>
      <c r="AJ33" s="346"/>
      <c r="AK33" s="346"/>
      <c r="AL33" s="533"/>
      <c r="AS33" s="1179">
        <v>0</v>
      </c>
    </row>
    <row s="1877" customFormat="1" customHeight="1" ht="18.75" hidden="1">
      <c r="A34" s="1392"/>
      <c r="B34" s="1392"/>
      <c r="C34" s="1392"/>
      <c r="D34" s="1392"/>
      <c r="E34" s="1392"/>
      <c r="F34" s="1392"/>
      <c r="G34" s="1392"/>
      <c r="H34" s="1392"/>
      <c r="I34" s="1392"/>
      <c r="J34" s="1392"/>
      <c r="K34" s="1392"/>
      <c r="L34" s="1393"/>
      <c r="M34" s="1392"/>
      <c r="N34" s="1392"/>
      <c r="O34" s="1392"/>
      <c r="S34" s="2274" t="s">
        <v>509</v>
      </c>
      <c r="T34" s="2274"/>
      <c r="U34" s="1396"/>
      <c r="V34" s="2288" t="str">
        <f>IF(TITLE_DATE_PR_CHANGE="",IF(TITLE_DATE_PR="","",TITLE_DATE_PR),TITLE_DATE_PR_CHANGE)</f>
        <v/>
      </c>
      <c r="W34" s="2288"/>
      <c r="X34" s="2288"/>
      <c r="Y34" s="2288"/>
      <c r="Z34" s="2288"/>
      <c r="AA34" s="2288"/>
      <c r="AB34" s="2288"/>
      <c r="AC34" s="350"/>
      <c r="AD34" s="2288" t="str">
        <f>IF(TITLE_DATE_PR_CHANGE="",IF(TITLE_DATE_PR="","",TITLE_DATE_PR),TITLE_DATE_PR_CHANGE)</f>
        <v/>
      </c>
      <c r="AE34" s="2288"/>
      <c r="AF34" s="2288"/>
      <c r="AG34" s="2288"/>
      <c r="AH34" s="2288"/>
      <c r="AI34" s="2288"/>
      <c r="AJ34" s="2288"/>
      <c r="AK34" s="350"/>
      <c r="AL34" s="350"/>
      <c r="AM34" s="304"/>
      <c r="AN34" s="392"/>
      <c r="AO34" s="392"/>
      <c r="AP34" s="392"/>
      <c r="AQ34" s="392"/>
      <c r="AR34" s="392"/>
      <c r="AS34" s="442">
        <v>0</v>
      </c>
    </row>
    <row s="1877" customFormat="1" customHeight="1" ht="18.75" hidden="1">
      <c r="A35" s="1392"/>
      <c r="B35" s="1392"/>
      <c r="C35" s="1392"/>
      <c r="D35" s="1392"/>
      <c r="E35" s="1392"/>
      <c r="F35" s="1392"/>
      <c r="G35" s="1392"/>
      <c r="H35" s="1392"/>
      <c r="I35" s="1392"/>
      <c r="J35" s="1392"/>
      <c r="K35" s="1392"/>
      <c r="L35" s="1393"/>
      <c r="M35" s="1392"/>
      <c r="N35" s="1392"/>
      <c r="O35" s="1392"/>
      <c r="S35" s="2274" t="s">
        <v>510</v>
      </c>
      <c r="T35" s="2274"/>
      <c r="U35" s="1396"/>
      <c r="V35" s="2275" t="str">
        <f>IF(TITLE_NUMBER_PR_CHANGE="",IF(TITLE_NUMBER_PR="","",TITLE_NUMBER_PR),TITLE_NUMBER_PR_CHANGE)</f>
        <v/>
      </c>
      <c r="W35" s="2275"/>
      <c r="X35" s="2275"/>
      <c r="Y35" s="2275"/>
      <c r="Z35" s="2275"/>
      <c r="AA35" s="2275"/>
      <c r="AB35" s="2275"/>
      <c r="AC35" s="350"/>
      <c r="AD35" s="2275" t="str">
        <f>IF(TITLE_NUMBER_PR_CHANGE="",IF(TITLE_NUMBER_PR="","",TITLE_NUMBER_PR),TITLE_NUMBER_PR_CHANGE)</f>
        <v/>
      </c>
      <c r="AE35" s="2275"/>
      <c r="AF35" s="2275"/>
      <c r="AG35" s="2275"/>
      <c r="AH35" s="2275"/>
      <c r="AI35" s="2275"/>
      <c r="AJ35" s="2275"/>
      <c r="AK35" s="350"/>
      <c r="AL35" s="350"/>
      <c r="AM35" s="304"/>
      <c r="AN35" s="392"/>
      <c r="AO35" s="392"/>
      <c r="AP35" s="392"/>
      <c r="AQ35" s="392"/>
      <c r="AR35" s="392"/>
      <c r="AS35" s="442">
        <v>0</v>
      </c>
    </row>
    <row s="1877" customFormat="1" customHeight="1" ht="0">
      <c r="A36" s="1392"/>
      <c r="B36" s="1392"/>
      <c r="C36" s="1392"/>
      <c r="D36" s="1392"/>
      <c r="E36" s="1392"/>
      <c r="F36" s="1392"/>
      <c r="G36" s="1392"/>
      <c r="H36" s="1392"/>
      <c r="I36" s="1392"/>
      <c r="J36" s="1392"/>
      <c r="K36" s="1392"/>
      <c r="L36" s="1393"/>
      <c r="M36" s="1392"/>
      <c r="N36" s="1392"/>
      <c r="O36" s="1392"/>
      <c r="S36" s="347"/>
      <c r="T36" s="347"/>
      <c r="U36" s="1364"/>
      <c r="V36" s="350"/>
      <c r="W36" s="350"/>
      <c r="X36" s="350"/>
      <c r="Y36" s="350"/>
      <c r="Z36" s="350"/>
      <c r="AA36" s="350"/>
      <c r="AB36" s="350"/>
      <c r="AC36" s="302" t="s">
        <v>511</v>
      </c>
      <c r="AD36" s="350"/>
      <c r="AE36" s="350"/>
      <c r="AF36" s="350"/>
      <c r="AG36" s="350"/>
      <c r="AH36" s="350"/>
      <c r="AI36" s="350"/>
      <c r="AJ36" s="350"/>
      <c r="AK36" s="302" t="s">
        <v>511</v>
      </c>
      <c r="AN36" s="392"/>
      <c r="AO36" s="392"/>
      <c r="AP36" s="392"/>
      <c r="AQ36" s="392"/>
      <c r="AR36" s="392"/>
      <c r="AS36" s="442">
        <v>0</v>
      </c>
    </row>
    <row customHeight="1" ht="14.699999999999998">
      <c r="Q37" s="400"/>
      <c r="R37" s="400"/>
      <c r="S37" s="1299"/>
      <c r="T37" s="387"/>
      <c r="U37" s="1268"/>
      <c r="V37" s="2276"/>
      <c r="W37" s="2276"/>
      <c r="X37" s="2276"/>
      <c r="Y37" s="2276"/>
      <c r="Z37" s="2276"/>
      <c r="AA37" s="2276"/>
      <c r="AB37" s="2276"/>
      <c r="AC37" s="2276"/>
      <c r="AD37" s="2276"/>
      <c r="AE37" s="2276"/>
      <c r="AF37" s="2276"/>
      <c r="AG37" s="2276"/>
      <c r="AH37" s="2276"/>
      <c r="AI37" s="2276"/>
      <c r="AJ37" s="2276"/>
      <c r="AK37" s="2276"/>
      <c r="AS37" s="1179">
        <v>14</v>
      </c>
    </row>
    <row customHeight="1" ht="14.699999999999998">
      <c r="Q38" s="400"/>
      <c r="R38" s="400"/>
      <c r="S38" s="2151" t="s">
        <v>384</v>
      </c>
      <c r="T38" s="2151"/>
      <c r="U38" s="2151"/>
      <c r="V38" s="2151"/>
      <c r="W38" s="2151"/>
      <c r="X38" s="2151"/>
      <c r="Y38" s="2151"/>
      <c r="Z38" s="2151"/>
      <c r="AA38" s="2151"/>
      <c r="AB38" s="2151"/>
      <c r="AC38" s="2151"/>
      <c r="AD38" s="2151"/>
      <c r="AE38" s="2151"/>
      <c r="AF38" s="2151"/>
      <c r="AG38" s="2151"/>
      <c r="AH38" s="2151"/>
      <c r="AI38" s="2151"/>
      <c r="AJ38" s="2151"/>
      <c r="AK38" s="2151"/>
      <c r="AL38" s="2151"/>
      <c r="AM38" s="2151" t="s">
        <v>385</v>
      </c>
      <c r="AS38" s="1179">
        <v>14</v>
      </c>
    </row>
    <row customHeight="1" ht="14.699999999999998">
      <c r="Q39" s="400"/>
      <c r="R39" s="400"/>
      <c r="S39" s="2297" t="s">
        <v>88</v>
      </c>
      <c r="T39" s="2233" t="s">
        <v>512</v>
      </c>
      <c r="U39" s="325"/>
      <c r="V39" s="2298" t="s">
        <v>513</v>
      </c>
      <c r="W39" s="2299"/>
      <c r="X39" s="2299"/>
      <c r="Y39" s="2299"/>
      <c r="Z39" s="2299"/>
      <c r="AA39" s="2299"/>
      <c r="AB39" s="2300"/>
      <c r="AC39" s="2301" t="s">
        <v>514</v>
      </c>
      <c r="AD39" s="2298" t="s">
        <v>513</v>
      </c>
      <c r="AE39" s="2299"/>
      <c r="AF39" s="2299"/>
      <c r="AG39" s="2299"/>
      <c r="AH39" s="2299"/>
      <c r="AI39" s="2299"/>
      <c r="AJ39" s="2300"/>
      <c r="AK39" s="2301" t="s">
        <v>515</v>
      </c>
      <c r="AL39" s="2304" t="s">
        <v>516</v>
      </c>
      <c r="AM39" s="2151"/>
      <c r="AS39" s="1179">
        <v>14</v>
      </c>
    </row>
    <row customHeight="1" ht="35.699999999999996">
      <c r="Q40" s="400"/>
      <c r="R40" s="400"/>
      <c r="S40" s="2297"/>
      <c r="T40" s="2233"/>
      <c r="U40" s="1055"/>
      <c r="V40" s="2284" t="s">
        <v>517</v>
      </c>
      <c r="W40" s="2307"/>
      <c r="X40" s="2286" t="s">
        <v>519</v>
      </c>
      <c r="Y40" s="2287"/>
      <c r="Z40" s="2286" t="s">
        <v>520</v>
      </c>
      <c r="AA40" s="2293"/>
      <c r="AB40" s="2287"/>
      <c r="AC40" s="2302"/>
      <c r="AD40" s="2284" t="s">
        <v>534</v>
      </c>
      <c r="AE40" s="2307"/>
      <c r="AF40" s="2286" t="s">
        <v>519</v>
      </c>
      <c r="AG40" s="2287"/>
      <c r="AH40" s="2286" t="s">
        <v>520</v>
      </c>
      <c r="AI40" s="2293"/>
      <c r="AJ40" s="2287"/>
      <c r="AK40" s="2302"/>
      <c r="AL40" s="2305"/>
      <c r="AM40" s="2151"/>
      <c r="AS40" s="1179">
        <v>34</v>
      </c>
    </row>
    <row customHeight="1" ht="35.699999999999996">
      <c r="A41" s="1394"/>
      <c r="B41" s="1394" t="s">
        <v>223</v>
      </c>
      <c r="C41" s="1394" t="s">
        <v>224</v>
      </c>
      <c r="D41" s="1394" t="s">
        <v>225</v>
      </c>
      <c r="E41" s="1388" t="s">
        <v>521</v>
      </c>
      <c r="F41" s="1388" t="s">
        <v>522</v>
      </c>
      <c r="G41" s="1388" t="s">
        <v>523</v>
      </c>
      <c r="H41" s="1388" t="s">
        <v>524</v>
      </c>
      <c r="I41" s="1388" t="s">
        <v>525</v>
      </c>
      <c r="J41" s="1388" t="s">
        <v>526</v>
      </c>
      <c r="K41" s="1388" t="s">
        <v>527</v>
      </c>
      <c r="L41" s="1388" t="s">
        <v>502</v>
      </c>
      <c r="Q41" s="400"/>
      <c r="R41" s="400"/>
      <c r="S41" s="2297"/>
      <c r="T41" s="2233"/>
      <c r="U41" s="326"/>
      <c r="V41" s="2285"/>
      <c r="W41" s="2308"/>
      <c r="X41" s="1246" t="s">
        <v>528</v>
      </c>
      <c r="Y41" s="1246" t="s">
        <v>529</v>
      </c>
      <c r="Z41" s="1362" t="s">
        <v>530</v>
      </c>
      <c r="AA41" s="2294" t="s">
        <v>531</v>
      </c>
      <c r="AB41" s="2295"/>
      <c r="AC41" s="2303"/>
      <c r="AD41" s="2285"/>
      <c r="AE41" s="2308"/>
      <c r="AF41" s="1246" t="s">
        <v>528</v>
      </c>
      <c r="AG41" s="1246" t="s">
        <v>529</v>
      </c>
      <c r="AH41" s="1362" t="s">
        <v>530</v>
      </c>
      <c r="AI41" s="2294" t="s">
        <v>531</v>
      </c>
      <c r="AJ41" s="2295"/>
      <c r="AK41" s="2303"/>
      <c r="AL41" s="2306"/>
      <c r="AM41" s="2151"/>
      <c r="AS41" s="1179">
        <v>34</v>
      </c>
    </row>
    <row s="1665" customFormat="1" customHeight="1" ht="11.25" hidden="1">
      <c r="A42" s="1394"/>
      <c r="B42" s="1394"/>
      <c r="C42" s="1394"/>
      <c r="D42" s="1394"/>
      <c r="E42" s="1394"/>
      <c r="F42" s="1394"/>
      <c r="G42" s="1394"/>
      <c r="H42" s="1394"/>
      <c r="I42" s="1394"/>
      <c r="J42" s="1394"/>
      <c r="K42" s="1394"/>
      <c r="L42" s="1388"/>
      <c r="M42" s="1386"/>
      <c r="N42" s="1386"/>
      <c r="O42" s="1386"/>
      <c r="P42" s="1270"/>
      <c r="Q42" s="1271"/>
      <c r="R42" s="1278">
        <v>1</v>
      </c>
      <c r="S42" s="1301" t="s">
        <v>170</v>
      </c>
      <c r="T42" s="1279" t="s">
        <v>103</v>
      </c>
      <c r="U42" s="1269" t="str">
        <f>OFFSET(U42,0,-1)</f>
        <v>2</v>
      </c>
      <c r="V42" s="1359">
        <f>OFFSET(V42,0,-1)+1</f>
        <v>3</v>
      </c>
      <c r="W42" s="1359"/>
      <c r="X42" s="1359">
        <f>OFFSET(X42,0,-1)+1</f>
        <v>1</v>
      </c>
      <c r="Y42" s="1359">
        <f>OFFSET(Y42,0,-1)+1</f>
        <v>2</v>
      </c>
      <c r="Z42" s="1359">
        <f>OFFSET(Z42,0,-1)+1</f>
        <v>3</v>
      </c>
      <c r="AA42" s="2296">
        <f>OFFSET(AA42,0,-1)+1</f>
        <v>4</v>
      </c>
      <c r="AB42" s="2296"/>
      <c r="AC42" s="1359">
        <f>OFFSET(AC42,0,-2)+1</f>
        <v>5</v>
      </c>
      <c r="AD42" s="1359">
        <f>OFFSET(AD42,0,-1)+1</f>
        <v>6</v>
      </c>
      <c r="AE42" s="1359"/>
      <c r="AF42" s="1359">
        <f>OFFSET(AF42,0,-1)+1</f>
        <v>1</v>
      </c>
      <c r="AG42" s="1359">
        <f>OFFSET(AG42,0,-1)+1</f>
        <v>2</v>
      </c>
      <c r="AH42" s="1359">
        <f>OFFSET(AH42,0,-1)+1</f>
        <v>3</v>
      </c>
      <c r="AI42" s="2296">
        <f>OFFSET(AI42,0,-1)+1</f>
        <v>4</v>
      </c>
      <c r="AJ42" s="2296"/>
      <c r="AK42" s="1359">
        <f>OFFSET(AK42,0,-2)+1</f>
        <v>5</v>
      </c>
      <c r="AL42" s="1269">
        <f>OFFSET(AL42,0,-1)</f>
        <v>5</v>
      </c>
      <c r="AM42" s="1359">
        <f>OFFSET(AM42,0,-1)+1</f>
        <v>6</v>
      </c>
      <c r="AN42" s="535"/>
      <c r="AO42" s="535"/>
      <c r="AP42" s="535"/>
      <c r="AQ42" s="535"/>
      <c r="AR42" s="535"/>
      <c r="AS42" s="520">
        <v>0</v>
      </c>
    </row>
    <row customHeight="1" ht="22.049999999999997">
      <c r="A43" s="1387" t="s">
        <v>254</v>
      </c>
      <c r="B43" s="1387"/>
      <c r="C43" s="1387"/>
      <c r="D43" s="1387"/>
      <c r="E43" s="2282">
        <v>1</v>
      </c>
      <c r="F43" s="1387"/>
      <c r="G43" s="1387"/>
      <c r="H43" s="1387"/>
      <c r="I43" s="1387"/>
      <c r="J43" s="1387"/>
      <c r="K43" s="1387"/>
      <c r="L43" s="1388"/>
      <c r="M43" s="1389"/>
      <c r="N43" s="1389"/>
      <c r="O43" s="1389"/>
      <c r="P43" s="385"/>
      <c r="Q43" s="384"/>
      <c r="R43" s="379"/>
      <c r="S43" s="1360">
        <f>INDEX(PT_DIFFERENTIATION_NUM_NTAR,MATCH(A43,PT_DIFFERENTIATION_NTAR_ID,0))</f>
        <v>0</v>
      </c>
      <c r="T43" s="322" t="s">
        <v>211</v>
      </c>
      <c r="U43" s="324"/>
      <c r="V43" s="2266"/>
      <c r="W43" s="2267"/>
      <c r="X43" s="2267"/>
      <c r="Y43" s="2267"/>
      <c r="Z43" s="2267"/>
      <c r="AA43" s="2267"/>
      <c r="AB43" s="2267"/>
      <c r="AC43" s="2268"/>
      <c r="AD43" s="2266" t="str">
        <f>INDEX(PT_DIFFERENTIATION_NTAR,MATCH(A43,PT_DIFFERENTIATION_NTAR_ID,0))</f>
        <v/>
      </c>
      <c r="AE43" s="2267"/>
      <c r="AF43" s="2267"/>
      <c r="AG43" s="2267"/>
      <c r="AH43" s="2267"/>
      <c r="AI43" s="2267"/>
      <c r="AJ43" s="2267"/>
      <c r="AK43" s="2267"/>
      <c r="AL43" s="2268"/>
      <c r="AM43" s="12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24"/>
      <c r="AP43" s="524" t="str">
        <f>IF(T43="","",T43)</f>
        <v>Наименование тарифа</v>
      </c>
      <c r="AQ43" s="524"/>
      <c r="AR43" s="524"/>
      <c r="AS43" s="1179">
        <v>21</v>
      </c>
    </row>
    <row customHeight="1" ht="22.049999999999997">
      <c r="A44" s="1387" t="s">
        <v>254</v>
      </c>
      <c r="B44" s="1387" t="s">
        <v>255</v>
      </c>
      <c r="C44" s="1387"/>
      <c r="D44" s="1387"/>
      <c r="E44" s="2283"/>
      <c r="F44" s="2282">
        <v>1</v>
      </c>
      <c r="G44" s="1387"/>
      <c r="H44" s="1387"/>
      <c r="I44" s="1387"/>
      <c r="J44" s="1387"/>
      <c r="K44" s="1387"/>
      <c r="L44" s="1388"/>
      <c r="M44" s="1389"/>
      <c r="N44" s="1389"/>
      <c r="O44" s="1389"/>
      <c r="P44" s="1356"/>
      <c r="Q44" s="376"/>
      <c r="R44" s="377"/>
      <c r="S44" s="1360" t="str">
        <f>INDEX(PT_DIFFERENTIATION_NUM_TER,MATCH(B44,PT_DIFFERENTIATION_TER_ID,0))</f>
        <v>.</v>
      </c>
      <c r="T44" s="332" t="s">
        <v>481</v>
      </c>
      <c r="U44" s="324"/>
      <c r="V44" s="2266"/>
      <c r="W44" s="2267"/>
      <c r="X44" s="2267"/>
      <c r="Y44" s="2267"/>
      <c r="Z44" s="2267"/>
      <c r="AA44" s="2267"/>
      <c r="AB44" s="2267"/>
      <c r="AC44" s="2268"/>
      <c r="AD44" s="2266" t="str">
        <f>INDEX(PT_DIFFERENTIATION_TER,MATCH(B44,PT_DIFFERENTIATION_TER_ID,0))</f>
        <v/>
      </c>
      <c r="AE44" s="2267"/>
      <c r="AF44" s="2267"/>
      <c r="AG44" s="2267"/>
      <c r="AH44" s="2267"/>
      <c r="AI44" s="2267"/>
      <c r="AJ44" s="2267"/>
      <c r="AK44" s="2267"/>
      <c r="AL44" s="2268"/>
      <c r="AM44" s="1282" t="s">
        <v>482</v>
      </c>
      <c r="AO44" s="524"/>
      <c r="AP44" s="524" t="str">
        <f>IF(T44="","",T44)</f>
        <v>Территория действия тарифа</v>
      </c>
      <c r="AQ44" s="524"/>
      <c r="AR44" s="524"/>
      <c r="AS44" s="1179">
        <v>21</v>
      </c>
    </row>
    <row customHeight="1" ht="24">
      <c r="A45" s="1387" t="s">
        <v>254</v>
      </c>
      <c r="B45" s="1387" t="s">
        <v>255</v>
      </c>
      <c r="C45" s="1387" t="s">
        <v>256</v>
      </c>
      <c r="D45" s="1387"/>
      <c r="E45" s="2283"/>
      <c r="F45" s="2283"/>
      <c r="G45" s="2282">
        <v>1</v>
      </c>
      <c r="H45" s="1387"/>
      <c r="I45" s="1387"/>
      <c r="J45" s="1387"/>
      <c r="K45" s="1387"/>
      <c r="L45" s="1388"/>
      <c r="M45" s="1389"/>
      <c r="N45" s="1389"/>
      <c r="O45" s="1389"/>
      <c r="P45" s="378"/>
      <c r="Q45" s="376"/>
      <c r="R45" s="377"/>
      <c r="S45" s="1360" t="str">
        <f>INDEX(PT_DIFFERENTIATION_NUM_CS,MATCH(C45,PT_DIFFERENTIATION_CS_ID,0))</f>
        <v>..</v>
      </c>
      <c r="T45" s="333" t="s">
        <v>483</v>
      </c>
      <c r="U45" s="324"/>
      <c r="V45" s="2266"/>
      <c r="W45" s="2267"/>
      <c r="X45" s="2267"/>
      <c r="Y45" s="2267"/>
      <c r="Z45" s="2267"/>
      <c r="AA45" s="2267"/>
      <c r="AB45" s="2267"/>
      <c r="AC45" s="2268"/>
      <c r="AD45" s="2266" t="str">
        <f>INDEX(PT_DIFFERENTIATION_CS,MATCH(C45,PT_DIFFERENTIATION_CS_ID,0))</f>
        <v/>
      </c>
      <c r="AE45" s="2267"/>
      <c r="AF45" s="2267"/>
      <c r="AG45" s="2267"/>
      <c r="AH45" s="2267"/>
      <c r="AI45" s="2267"/>
      <c r="AJ45" s="2267"/>
      <c r="AK45" s="2267"/>
      <c r="AL45" s="2268"/>
      <c r="AM45" s="1282" t="s">
        <v>484</v>
      </c>
      <c r="AO45" s="524"/>
      <c r="AP45" s="524" t="str">
        <f>IF(T45="","",T45)</f>
        <v>Наименование системы теплоснабжения </v>
      </c>
      <c r="AQ45" s="524"/>
      <c r="AR45" s="524"/>
      <c r="AS45" s="1179">
        <v>23</v>
      </c>
    </row>
    <row customHeight="1" ht="22.049999999999997">
      <c r="A46" s="1387" t="s">
        <v>254</v>
      </c>
      <c r="B46" s="1387" t="s">
        <v>255</v>
      </c>
      <c r="C46" s="1387" t="s">
        <v>256</v>
      </c>
      <c r="D46" s="1387" t="s">
        <v>257</v>
      </c>
      <c r="E46" s="2283"/>
      <c r="F46" s="2283"/>
      <c r="G46" s="2283"/>
      <c r="H46" s="2282">
        <v>1</v>
      </c>
      <c r="I46" s="1387"/>
      <c r="J46" s="1387"/>
      <c r="K46" s="1387"/>
      <c r="L46" s="1388"/>
      <c r="M46" s="1389"/>
      <c r="N46" s="1389"/>
      <c r="O46" s="1389"/>
      <c r="P46" s="378"/>
      <c r="Q46" s="376"/>
      <c r="R46" s="377"/>
      <c r="S46" s="1360" t="str">
        <f>INDEX(PT_DIFFERENTIATION_NUM_IST_TE,MATCH(D46,PT_DIFFERENTIATION_IST_TE_ID,0))</f>
        <v>...</v>
      </c>
      <c r="T46" s="334" t="s">
        <v>485</v>
      </c>
      <c r="U46" s="324"/>
      <c r="V46" s="2266"/>
      <c r="W46" s="2267"/>
      <c r="X46" s="2267"/>
      <c r="Y46" s="2267"/>
      <c r="Z46" s="2267"/>
      <c r="AA46" s="2267"/>
      <c r="AB46" s="2267"/>
      <c r="AC46" s="2268"/>
      <c r="AD46" s="2266" t="str">
        <f>INDEX(PT_DIFFERENTIATION_IST_TE,MATCH(D46,PT_DIFFERENTIATION_IST_TE_ID,0))</f>
        <v/>
      </c>
      <c r="AE46" s="2267"/>
      <c r="AF46" s="2267"/>
      <c r="AG46" s="2267"/>
      <c r="AH46" s="2267"/>
      <c r="AI46" s="2267"/>
      <c r="AJ46" s="2267"/>
      <c r="AK46" s="2267"/>
      <c r="AL46" s="2268"/>
      <c r="AM46" s="1282" t="s">
        <v>486</v>
      </c>
      <c r="AO46" s="524"/>
      <c r="AP46" s="524" t="str">
        <f>IF(T46="","",T46)</f>
        <v>Источник тепловой энергии  </v>
      </c>
      <c r="AQ46" s="524"/>
      <c r="AR46" s="524"/>
      <c r="AS46" s="1179">
        <v>21</v>
      </c>
    </row>
    <row s="1666" customFormat="1" customHeight="1" ht="0">
      <c r="A47" s="1367" t="s">
        <v>254</v>
      </c>
      <c r="B47" s="1367" t="s">
        <v>255</v>
      </c>
      <c r="C47" s="1367" t="s">
        <v>256</v>
      </c>
      <c r="D47" s="1367" t="s">
        <v>257</v>
      </c>
      <c r="E47" s="2283"/>
      <c r="F47" s="2283"/>
      <c r="G47" s="2283"/>
      <c r="H47" s="2283"/>
      <c r="I47" s="2280" t="str">
        <f>S46&amp;".1"</f>
        <v>....1</v>
      </c>
      <c r="J47" s="1367"/>
      <c r="K47" s="1367"/>
      <c r="L47" s="1370" t="s">
        <v>487</v>
      </c>
      <c r="M47" s="534"/>
      <c r="N47" s="534"/>
      <c r="O47" s="534"/>
      <c r="P47" s="2281">
        <v>1</v>
      </c>
      <c r="Q47" s="1355"/>
      <c r="R47" s="380"/>
      <c r="S47" s="1066"/>
      <c r="T47" s="1407"/>
      <c r="U47" s="1408"/>
      <c r="V47" s="2320"/>
      <c r="W47" s="2321"/>
      <c r="X47" s="2321"/>
      <c r="Y47" s="2321"/>
      <c r="Z47" s="2321"/>
      <c r="AA47" s="2321"/>
      <c r="AB47" s="2321"/>
      <c r="AC47" s="2322"/>
      <c r="AD47" s="2320"/>
      <c r="AE47" s="2321"/>
      <c r="AF47" s="2321"/>
      <c r="AG47" s="2321"/>
      <c r="AH47" s="2321"/>
      <c r="AI47" s="2321"/>
      <c r="AJ47" s="2321"/>
      <c r="AK47" s="2321"/>
      <c r="AL47" s="2322"/>
      <c r="AM47" s="1409"/>
      <c r="AO47" s="524"/>
      <c r="AP47" s="524" t="str">
        <f>IF(T47="","",T47)</f>
        <v/>
      </c>
      <c r="AQ47" s="524"/>
      <c r="AR47" s="524"/>
      <c r="AS47" s="535">
        <v>0</v>
      </c>
    </row>
    <row customHeight="1" ht="22.049999999999997">
      <c r="A48" s="1387" t="s">
        <v>254</v>
      </c>
      <c r="B48" s="1387" t="s">
        <v>255</v>
      </c>
      <c r="C48" s="1387" t="s">
        <v>256</v>
      </c>
      <c r="D48" s="1387" t="s">
        <v>257</v>
      </c>
      <c r="E48" s="2283"/>
      <c r="F48" s="2283"/>
      <c r="G48" s="2283"/>
      <c r="H48" s="2283"/>
      <c r="I48" s="2310"/>
      <c r="J48" s="2280" t="str">
        <f>S46&amp;".1"</f>
        <v>....1</v>
      </c>
      <c r="K48" s="1387"/>
      <c r="L48" s="1388" t="s">
        <v>490</v>
      </c>
      <c r="P48" s="2281"/>
      <c r="Q48" s="2281">
        <v>1</v>
      </c>
      <c r="R48" s="381"/>
      <c r="S48" s="1360" t="str">
        <f>$J48</f>
        <v>....1</v>
      </c>
      <c r="T48" s="310" t="s">
        <v>491</v>
      </c>
      <c r="U48" s="324"/>
      <c r="V48" s="2269"/>
      <c r="W48" s="2270"/>
      <c r="X48" s="2270"/>
      <c r="Y48" s="2270"/>
      <c r="Z48" s="2270"/>
      <c r="AA48" s="2270"/>
      <c r="AB48" s="2270"/>
      <c r="AC48" s="2271"/>
      <c r="AD48" s="2269"/>
      <c r="AE48" s="2270"/>
      <c r="AF48" s="2270"/>
      <c r="AG48" s="2270"/>
      <c r="AH48" s="2270"/>
      <c r="AI48" s="2270"/>
      <c r="AJ48" s="2270"/>
      <c r="AK48" s="2270"/>
      <c r="AL48" s="2271"/>
      <c r="AM48" s="1282" t="s">
        <v>492</v>
      </c>
      <c r="AO48" s="524"/>
      <c r="AP48" s="524" t="str">
        <f>IF(T48="","",T48)</f>
        <v>Группа потребителей</v>
      </c>
      <c r="AQ48" s="524"/>
      <c r="AR48" s="524"/>
      <c r="AS48" s="1179">
        <v>21</v>
      </c>
    </row>
    <row customHeight="1" ht="22.049999999999997">
      <c r="A49" s="1387" t="s">
        <v>254</v>
      </c>
      <c r="B49" s="1387" t="s">
        <v>255</v>
      </c>
      <c r="C49" s="1387" t="s">
        <v>256</v>
      </c>
      <c r="D49" s="1387" t="s">
        <v>257</v>
      </c>
      <c r="E49" s="2283"/>
      <c r="F49" s="2283"/>
      <c r="G49" s="2283"/>
      <c r="H49" s="2283"/>
      <c r="I49" s="2310"/>
      <c r="J49" s="2310"/>
      <c r="K49" s="2280" t="str">
        <f>J48&amp;".1"</f>
        <v>....1.1</v>
      </c>
      <c r="L49" s="1388" t="s">
        <v>493</v>
      </c>
      <c r="P49" s="2281"/>
      <c r="Q49" s="2281"/>
      <c r="R49" s="381">
        <v>1</v>
      </c>
      <c r="S49" s="1360" t="str">
        <f>$K49</f>
        <v>....1.1</v>
      </c>
      <c r="T49" s="1371"/>
      <c r="U49" s="324"/>
      <c r="V49" s="775"/>
      <c r="W49" s="349"/>
      <c r="X49" s="775"/>
      <c r="Y49" s="1281"/>
      <c r="Z49" s="2289"/>
      <c r="AA49" s="2131" t="s">
        <v>66</v>
      </c>
      <c r="AB49" s="2289"/>
      <c r="AC49" s="2131" t="s">
        <v>66</v>
      </c>
      <c r="AD49" s="775"/>
      <c r="AE49" s="349"/>
      <c r="AF49" s="775"/>
      <c r="AG49" s="1281"/>
      <c r="AH49" s="2289"/>
      <c r="AI49" s="2131" t="s">
        <v>66</v>
      </c>
      <c r="AJ49" s="2311"/>
      <c r="AK49" s="2131" t="s">
        <v>66</v>
      </c>
      <c r="AL49" s="1372"/>
      <c r="AM49" s="2277" t="s">
        <v>535</v>
      </c>
      <c r="AN49" s="535">
        <f>STRCHECKDATE(V50:AL50)</f>
      </c>
      <c r="AO49" s="524"/>
      <c r="AP49" s="524" t="str">
        <f>IF(T49="","",T49)</f>
        <v/>
      </c>
      <c r="AQ49" s="524"/>
      <c r="AR49" s="524"/>
      <c r="AS49" s="1179">
        <v>21</v>
      </c>
    </row>
    <row customHeight="1" ht="1.05">
      <c r="A50" s="1387" t="s">
        <v>254</v>
      </c>
      <c r="B50" s="1387" t="s">
        <v>255</v>
      </c>
      <c r="C50" s="1387" t="s">
        <v>256</v>
      </c>
      <c r="D50" s="1387" t="s">
        <v>257</v>
      </c>
      <c r="E50" s="2283"/>
      <c r="F50" s="2283"/>
      <c r="G50" s="2283"/>
      <c r="H50" s="2283"/>
      <c r="I50" s="2310"/>
      <c r="J50" s="2310"/>
      <c r="K50" s="2280"/>
      <c r="L50" s="1388"/>
      <c r="P50" s="2281"/>
      <c r="Q50" s="2281"/>
      <c r="R50" s="381"/>
      <c r="S50" s="1366"/>
      <c r="T50" s="324"/>
      <c r="U50" s="324"/>
      <c r="V50" s="349"/>
      <c r="W50" s="349"/>
      <c r="X50" s="349"/>
      <c r="Y50" s="352" t="str">
        <f>Z49&amp;"-"&amp;AB49</f>
        <v>-</v>
      </c>
      <c r="Z50" s="2290"/>
      <c r="AA50" s="2131"/>
      <c r="AB50" s="2290"/>
      <c r="AC50" s="2131"/>
      <c r="AD50" s="349"/>
      <c r="AE50" s="349"/>
      <c r="AF50" s="349"/>
      <c r="AG50" s="352" t="str">
        <f>AH49&amp;"-"&amp;AJ49</f>
        <v>-</v>
      </c>
      <c r="AH50" s="2290"/>
      <c r="AI50" s="2131"/>
      <c r="AJ50" s="2312"/>
      <c r="AK50" s="2131"/>
      <c r="AL50" s="1373"/>
      <c r="AM50" s="2278"/>
      <c r="AO50" s="524"/>
      <c r="AP50" s="524" t="str">
        <f>IF(T50="","",T50)</f>
        <v/>
      </c>
      <c r="AQ50" s="524"/>
      <c r="AR50" s="524"/>
      <c r="AS50" s="1179">
        <v>1</v>
      </c>
    </row>
    <row customHeight="1" ht="11.549999999999999">
      <c r="A51" s="1387" t="s">
        <v>254</v>
      </c>
      <c r="B51" s="1387" t="s">
        <v>255</v>
      </c>
      <c r="C51" s="1387" t="s">
        <v>256</v>
      </c>
      <c r="D51" s="1387" t="s">
        <v>257</v>
      </c>
      <c r="E51" s="2283"/>
      <c r="F51" s="2283"/>
      <c r="G51" s="2283"/>
      <c r="H51" s="2283"/>
      <c r="I51" s="2310"/>
      <c r="J51" s="2280"/>
      <c r="K51" s="1387"/>
      <c r="L51" s="1388"/>
      <c r="P51" s="2281"/>
      <c r="Q51" s="2281"/>
      <c r="R51" s="380"/>
      <c r="S51" s="1302"/>
      <c r="T51" s="311" t="s">
        <v>495</v>
      </c>
      <c r="U51" s="391"/>
      <c r="V51" s="391"/>
      <c r="W51" s="391"/>
      <c r="X51" s="391"/>
      <c r="Y51" s="391"/>
      <c r="Z51" s="391"/>
      <c r="AA51" s="391"/>
      <c r="AB51" s="391"/>
      <c r="AC51" s="391"/>
      <c r="AD51" s="391"/>
      <c r="AE51" s="391"/>
      <c r="AF51" s="391"/>
      <c r="AG51" s="391"/>
      <c r="AH51" s="391"/>
      <c r="AI51" s="391"/>
      <c r="AJ51" s="391"/>
      <c r="AK51" s="391"/>
      <c r="AL51" s="348"/>
      <c r="AM51" s="2279"/>
      <c r="AO51" s="524"/>
      <c r="AP51" s="524" t="str">
        <f>IF(T51="","",T51)</f>
        <v>Добавить вид теплоносителя (параметры теплоносителя)</v>
      </c>
      <c r="AQ51" s="524"/>
      <c r="AR51" s="524"/>
      <c r="AS51" s="1179">
        <v>11</v>
      </c>
    </row>
    <row customHeight="1" ht="11.549999999999999">
      <c r="A52" s="1387" t="s">
        <v>254</v>
      </c>
      <c r="B52" s="1387" t="s">
        <v>255</v>
      </c>
      <c r="C52" s="1387" t="s">
        <v>256</v>
      </c>
      <c r="D52" s="1387" t="s">
        <v>257</v>
      </c>
      <c r="E52" s="2283"/>
      <c r="F52" s="2283"/>
      <c r="G52" s="2283"/>
      <c r="H52" s="2283"/>
      <c r="I52" s="2280"/>
      <c r="J52" s="1387"/>
      <c r="K52" s="1387"/>
      <c r="L52" s="1388"/>
      <c r="P52" s="2281"/>
      <c r="Q52" s="1355"/>
      <c r="R52" s="380"/>
      <c r="S52" s="1302"/>
      <c r="T52" s="389" t="s">
        <v>496</v>
      </c>
      <c r="U52" s="391"/>
      <c r="V52" s="391"/>
      <c r="W52" s="391"/>
      <c r="X52" s="391"/>
      <c r="Y52" s="391"/>
      <c r="Z52" s="391"/>
      <c r="AA52" s="391"/>
      <c r="AB52" s="391"/>
      <c r="AC52" s="390"/>
      <c r="AD52" s="391"/>
      <c r="AE52" s="391"/>
      <c r="AF52" s="391"/>
      <c r="AG52" s="391"/>
      <c r="AH52" s="391"/>
      <c r="AI52" s="391"/>
      <c r="AJ52" s="391"/>
      <c r="AK52" s="390"/>
      <c r="AL52" s="391"/>
      <c r="AM52" s="327"/>
      <c r="AO52" s="524"/>
      <c r="AP52" s="524" t="str">
        <f>IF(T52="","",T52)</f>
        <v>Добавить группу потребителей</v>
      </c>
      <c r="AQ52" s="524"/>
      <c r="AR52" s="524"/>
      <c r="AS52" s="1179">
        <v>11</v>
      </c>
    </row>
    <row customHeight="1" ht="0">
      <c r="A53" s="1387" t="s">
        <v>254</v>
      </c>
      <c r="B53" s="1387" t="s">
        <v>255</v>
      </c>
      <c r="C53" s="1387" t="s">
        <v>256</v>
      </c>
      <c r="D53" s="1387" t="s">
        <v>257</v>
      </c>
      <c r="E53" s="2283"/>
      <c r="F53" s="2283"/>
      <c r="G53" s="2283"/>
      <c r="H53" s="2282"/>
      <c r="I53" s="1387"/>
      <c r="J53" s="1387"/>
      <c r="K53" s="1387"/>
      <c r="L53" s="1388"/>
      <c r="M53" s="1389"/>
      <c r="N53" s="1389"/>
      <c r="O53" s="561"/>
      <c r="P53" s="384"/>
      <c r="Q53" s="399"/>
      <c r="R53" s="379"/>
      <c r="S53" s="1410"/>
      <c r="T53" s="1411"/>
      <c r="U53" s="1412"/>
      <c r="V53" s="1412"/>
      <c r="W53" s="1412"/>
      <c r="X53" s="1412"/>
      <c r="Y53" s="1412"/>
      <c r="Z53" s="1412"/>
      <c r="AA53" s="1412"/>
      <c r="AB53" s="1412"/>
      <c r="AC53" s="1412"/>
      <c r="AD53" s="1412"/>
      <c r="AE53" s="1412"/>
      <c r="AF53" s="1412"/>
      <c r="AG53" s="1412"/>
      <c r="AH53" s="1412"/>
      <c r="AI53" s="1412"/>
      <c r="AJ53" s="1412"/>
      <c r="AK53" s="1412"/>
      <c r="AL53" s="1412"/>
      <c r="AM53" s="1413"/>
      <c r="AO53" s="524"/>
      <c r="AP53" s="524" t="str">
        <f>IF(T53="","",T53)</f>
        <v/>
      </c>
      <c r="AQ53" s="524"/>
      <c r="AR53" s="524"/>
      <c r="AS53" s="1179">
        <v>0</v>
      </c>
    </row>
    <row s="1666" customFormat="1" customHeight="1" ht="1.05">
      <c r="A54" s="1367" t="s">
        <v>254</v>
      </c>
      <c r="B54" s="1367" t="s">
        <v>255</v>
      </c>
      <c r="C54" s="1367" t="s">
        <v>256</v>
      </c>
      <c r="D54" s="1338"/>
      <c r="E54" s="2283"/>
      <c r="F54" s="2283"/>
      <c r="G54" s="2282"/>
      <c r="H54" s="1338"/>
      <c r="I54" s="1338"/>
      <c r="J54" s="1338"/>
      <c r="K54" s="1338"/>
      <c r="L54" s="1363"/>
      <c r="M54" s="1339"/>
      <c r="N54" s="1339"/>
      <c r="P54" s="1340"/>
      <c r="Q54" s="1341"/>
      <c r="R54" s="1340"/>
      <c r="S54" s="1346"/>
      <c r="T54" s="1349" t="s">
        <v>498</v>
      </c>
      <c r="U54" s="1348"/>
      <c r="V54" s="1348"/>
      <c r="W54" s="1348"/>
      <c r="X54" s="1348"/>
      <c r="Y54" s="1348"/>
      <c r="Z54" s="1348"/>
      <c r="AA54" s="1348"/>
      <c r="AB54" s="1348"/>
      <c r="AC54" s="1348"/>
      <c r="AD54" s="1348"/>
      <c r="AE54" s="1348"/>
      <c r="AF54" s="1348"/>
      <c r="AG54" s="1348"/>
      <c r="AH54" s="1348"/>
      <c r="AI54" s="1348"/>
      <c r="AJ54" s="1348"/>
      <c r="AK54" s="1348"/>
      <c r="AL54" s="1348"/>
      <c r="AM54" s="1348"/>
      <c r="AO54" s="813"/>
      <c r="AP54" s="813" t="str">
        <f>IF(T54="","",T54)</f>
        <v>Добавить источник для дифференциации</v>
      </c>
      <c r="AQ54" s="813"/>
      <c r="AR54" s="813"/>
      <c r="AS54" s="542">
        <v>1</v>
      </c>
    </row>
    <row s="1666" customFormat="1" customHeight="1" ht="1.05">
      <c r="A55" s="1367" t="s">
        <v>254</v>
      </c>
      <c r="B55" s="1367" t="s">
        <v>255</v>
      </c>
      <c r="C55" s="1338"/>
      <c r="D55" s="1338"/>
      <c r="E55" s="2283"/>
      <c r="F55" s="2282"/>
      <c r="G55" s="1338"/>
      <c r="H55" s="1338"/>
      <c r="I55" s="1338"/>
      <c r="J55" s="1338"/>
      <c r="K55" s="1338"/>
      <c r="L55" s="1363"/>
      <c r="M55" s="1345"/>
      <c r="N55" s="1345"/>
      <c r="P55" s="1340"/>
      <c r="Q55" s="1341"/>
      <c r="R55" s="1340"/>
      <c r="S55" s="1346"/>
      <c r="T55" s="1349" t="s">
        <v>499</v>
      </c>
      <c r="U55" s="1348"/>
      <c r="V55" s="1348"/>
      <c r="W55" s="1348"/>
      <c r="X55" s="1348"/>
      <c r="Y55" s="1348"/>
      <c r="Z55" s="1348"/>
      <c r="AA55" s="1348"/>
      <c r="AB55" s="1348"/>
      <c r="AC55" s="1348"/>
      <c r="AD55" s="1348"/>
      <c r="AE55" s="1348"/>
      <c r="AF55" s="1348"/>
      <c r="AG55" s="1348"/>
      <c r="AH55" s="1348"/>
      <c r="AI55" s="1348"/>
      <c r="AJ55" s="1348"/>
      <c r="AK55" s="1348"/>
      <c r="AL55" s="1348"/>
      <c r="AM55" s="1348"/>
      <c r="AO55" s="813"/>
      <c r="AP55" s="813" t="str">
        <f>IF(T55="","",T55)</f>
        <v>Добавить централизованную систему для дифференциации</v>
      </c>
      <c r="AQ55" s="813"/>
      <c r="AR55" s="813"/>
      <c r="AS55" s="542">
        <v>1</v>
      </c>
    </row>
    <row s="1666" customFormat="1" customHeight="1" ht="1.05">
      <c r="A56" s="1367" t="s">
        <v>254</v>
      </c>
      <c r="B56" s="1367"/>
      <c r="C56" s="1367"/>
      <c r="D56" s="1367"/>
      <c r="E56" s="2282"/>
      <c r="F56" s="1367"/>
      <c r="G56" s="1367"/>
      <c r="H56" s="1367"/>
      <c r="I56" s="1367"/>
      <c r="J56" s="1367"/>
      <c r="K56" s="1367"/>
      <c r="L56" s="1370"/>
      <c r="M56" s="1345"/>
      <c r="N56" s="1345"/>
      <c r="O56" s="542"/>
      <c r="P56" s="404"/>
      <c r="Q56" s="1368"/>
      <c r="R56" s="404"/>
      <c r="S56" s="1346"/>
      <c r="T56" s="1349" t="s">
        <v>500</v>
      </c>
      <c r="U56" s="1348"/>
      <c r="V56" s="1348"/>
      <c r="W56" s="1348"/>
      <c r="X56" s="1348"/>
      <c r="Y56" s="1348"/>
      <c r="Z56" s="1348"/>
      <c r="AA56" s="1348"/>
      <c r="AB56" s="1348"/>
      <c r="AC56" s="1348"/>
      <c r="AD56" s="1348"/>
      <c r="AE56" s="1348"/>
      <c r="AF56" s="1348"/>
      <c r="AG56" s="1348"/>
      <c r="AH56" s="1348"/>
      <c r="AI56" s="1348"/>
      <c r="AJ56" s="1348"/>
      <c r="AK56" s="1348"/>
      <c r="AL56" s="1348"/>
      <c r="AM56" s="1348"/>
      <c r="AO56" s="524"/>
      <c r="AP56" s="524" t="str">
        <f>IF(T56="","",T56)</f>
        <v>Добавить территорию для дифференциации</v>
      </c>
      <c r="AQ56" s="524"/>
      <c r="AR56" s="524"/>
      <c r="AS56" s="535">
        <v>1</v>
      </c>
    </row>
    <row s="1666" customFormat="1" customHeight="1" ht="1.05">
      <c r="A57" s="1338"/>
      <c r="B57" s="1338"/>
      <c r="C57" s="1338"/>
      <c r="D57" s="1338"/>
      <c r="E57" s="1367"/>
      <c r="F57" s="1338"/>
      <c r="G57" s="1338"/>
      <c r="H57" s="1338"/>
      <c r="I57" s="1338"/>
      <c r="J57" s="1338"/>
      <c r="K57" s="1338"/>
      <c r="L57" s="1363"/>
      <c r="M57" s="1345"/>
      <c r="N57" s="1345"/>
      <c r="P57" s="1340"/>
      <c r="Q57" s="1341"/>
      <c r="R57" s="1340"/>
      <c r="S57" s="1346"/>
      <c r="T57" s="1349" t="s">
        <v>532</v>
      </c>
      <c r="U57" s="1348"/>
      <c r="V57" s="1348"/>
      <c r="W57" s="1348"/>
      <c r="X57" s="1348"/>
      <c r="Y57" s="1348"/>
      <c r="Z57" s="1348"/>
      <c r="AA57" s="1348"/>
      <c r="AB57" s="1348"/>
      <c r="AC57" s="1348"/>
      <c r="AD57" s="1348"/>
      <c r="AE57" s="1348"/>
      <c r="AF57" s="1348"/>
      <c r="AG57" s="1348"/>
      <c r="AH57" s="1348"/>
      <c r="AI57" s="1348"/>
      <c r="AJ57" s="1348"/>
      <c r="AK57" s="1348"/>
      <c r="AL57" s="1348"/>
      <c r="AM57" s="1348"/>
      <c r="AO57" s="813"/>
      <c r="AP57" s="813" t="str">
        <f>IF(T57="","",T57)</f>
        <v>Добавить наименование тарифа</v>
      </c>
      <c r="AQ57" s="813"/>
      <c r="AR57" s="813"/>
      <c r="AS57" s="542">
        <v>1</v>
      </c>
    </row>
    <row customHeight="1" ht="11.549999999999999">
      <c r="M58" s="1184"/>
      <c r="N58" s="1184"/>
      <c r="O58" s="561"/>
      <c r="P58" s="1179"/>
      <c r="Q58" s="1179"/>
      <c r="R58" s="1179"/>
      <c r="S58" s="1179"/>
      <c r="AN58" s="1179"/>
      <c r="AO58" s="1179"/>
      <c r="AP58" s="1179"/>
      <c r="AQ58" s="1179"/>
      <c r="AR58" s="1179"/>
      <c r="AS58" s="1179">
        <v>11</v>
      </c>
    </row>
    <row customHeight="1" ht="19.95">
      <c r="O59" s="561"/>
      <c r="S59" s="1277"/>
      <c r="T59" s="2309"/>
      <c r="U59" s="2309"/>
      <c r="V59" s="2309"/>
      <c r="W59" s="2309"/>
      <c r="X59" s="2309"/>
      <c r="Y59" s="2309"/>
      <c r="Z59" s="2309"/>
      <c r="AA59" s="2309"/>
      <c r="AB59" s="2309"/>
      <c r="AC59" s="2309"/>
      <c r="AD59" s="2309"/>
      <c r="AE59" s="2309"/>
      <c r="AF59" s="2309"/>
      <c r="AG59" s="2309"/>
      <c r="AH59" s="2309"/>
      <c r="AI59" s="2309"/>
      <c r="AJ59" s="2309"/>
      <c r="AK59" s="2309"/>
      <c r="AL59" s="2309"/>
      <c r="AM59" s="2309"/>
      <c r="AS59" s="1179">
        <v>19</v>
      </c>
    </row>
    <row customHeight="1" ht="29.25">
      <c r="O60" s="561"/>
      <c r="T60" s="2309"/>
      <c r="U60" s="2309"/>
      <c r="V60" s="2309"/>
      <c r="W60" s="2309"/>
      <c r="X60" s="2309"/>
      <c r="Y60" s="2309"/>
      <c r="Z60" s="2309"/>
      <c r="AA60" s="2309"/>
      <c r="AB60" s="2309"/>
      <c r="AC60" s="2309"/>
      <c r="AD60" s="2309"/>
      <c r="AE60" s="2309"/>
      <c r="AF60" s="2309"/>
      <c r="AG60" s="2309"/>
      <c r="AH60" s="2309"/>
      <c r="AI60" s="2309"/>
      <c r="AJ60" s="2309"/>
      <c r="AK60" s="2309"/>
      <c r="AL60" s="2309"/>
      <c r="AM60" s="2309"/>
      <c r="AS60" s="1179">
        <v>28</v>
      </c>
    </row>
    <row customHeight="1" ht="42">
      <c r="O61" s="561"/>
      <c r="T61" s="2309"/>
      <c r="U61" s="2309"/>
      <c r="V61" s="2309"/>
      <c r="W61" s="2309"/>
      <c r="X61" s="2309"/>
      <c r="Y61" s="2309"/>
      <c r="Z61" s="2309"/>
      <c r="AA61" s="2309"/>
      <c r="AB61" s="2309"/>
      <c r="AC61" s="2309"/>
      <c r="AD61" s="2309"/>
      <c r="AE61" s="2309"/>
      <c r="AF61" s="2309"/>
      <c r="AG61" s="2309"/>
      <c r="AH61" s="2309"/>
      <c r="AI61" s="2309"/>
      <c r="AJ61" s="2309"/>
      <c r="AK61" s="2309"/>
      <c r="AL61" s="2309"/>
      <c r="AM61" s="2309"/>
      <c r="AS61" s="1179">
        <v>40</v>
      </c>
    </row>
    <row customHeight="1" ht="14.699999999999998">
      <c r="O62" s="561"/>
      <c r="AS62" s="1179">
        <v>14</v>
      </c>
    </row>
    <row customHeight="1" ht="21">
      <c r="O63" s="561"/>
      <c r="S63" s="1277"/>
      <c r="T63" s="2323"/>
      <c r="U63" s="2309"/>
      <c r="V63" s="2309"/>
      <c r="W63" s="2309"/>
      <c r="X63" s="2309"/>
      <c r="Y63" s="2309"/>
      <c r="Z63" s="2309"/>
      <c r="AA63" s="2309"/>
      <c r="AB63" s="2309"/>
      <c r="AC63" s="2309"/>
      <c r="AD63" s="2309"/>
      <c r="AE63" s="2309"/>
      <c r="AF63" s="2309"/>
      <c r="AG63" s="2309"/>
      <c r="AH63" s="2309"/>
      <c r="AI63" s="2309"/>
      <c r="AJ63" s="2309"/>
      <c r="AK63" s="2309"/>
      <c r="AL63" s="2309"/>
      <c r="AM63" s="2309"/>
      <c r="AS63" s="1179">
        <v>20</v>
      </c>
    </row>
    <row customHeight="1" ht="29.25">
      <c r="O64" s="561"/>
      <c r="T64" s="2309"/>
      <c r="U64" s="2309"/>
      <c r="V64" s="2309"/>
      <c r="W64" s="2309"/>
      <c r="X64" s="2309"/>
      <c r="Y64" s="2309"/>
      <c r="Z64" s="2309"/>
      <c r="AA64" s="2309"/>
      <c r="AB64" s="2309"/>
      <c r="AC64" s="2309"/>
      <c r="AD64" s="2309"/>
      <c r="AE64" s="2309"/>
      <c r="AF64" s="2309"/>
      <c r="AG64" s="2309"/>
      <c r="AH64" s="2309"/>
      <c r="AI64" s="2309"/>
      <c r="AJ64" s="2309"/>
      <c r="AK64" s="2309"/>
      <c r="AL64" s="2309"/>
      <c r="AM64" s="2309"/>
      <c r="AS64" s="1179">
        <v>28</v>
      </c>
    </row>
    <row customHeight="1" ht="35.699999999999996">
      <c r="T65" s="2309"/>
      <c r="U65" s="2309"/>
      <c r="V65" s="2309"/>
      <c r="W65" s="2309"/>
      <c r="X65" s="2309"/>
      <c r="Y65" s="2309"/>
      <c r="Z65" s="2309"/>
      <c r="AA65" s="2309"/>
      <c r="AB65" s="2309"/>
      <c r="AC65" s="2309"/>
      <c r="AD65" s="2309"/>
      <c r="AE65" s="2309"/>
      <c r="AF65" s="2309"/>
      <c r="AG65" s="2309"/>
      <c r="AH65" s="2309"/>
      <c r="AI65" s="2309"/>
      <c r="AJ65" s="2309"/>
      <c r="AK65" s="2309"/>
      <c r="AL65" s="2309"/>
      <c r="AM65" s="2309"/>
      <c r="AS65" s="1179">
        <v>34</v>
      </c>
    </row>
    <row customHeight="1" ht="22.5" hidden="1">
      <c r="A66" s="1184" t="s">
        <v>82</v>
      </c>
      <c r="B66" s="1184">
        <v>0</v>
      </c>
      <c r="C66" s="1184">
        <v>0</v>
      </c>
      <c r="D66" s="1184">
        <v>0</v>
      </c>
      <c r="E66" s="1184">
        <v>0</v>
      </c>
      <c r="F66" s="1184">
        <v>0</v>
      </c>
      <c r="G66" s="1184">
        <v>0</v>
      </c>
      <c r="H66" s="1184">
        <v>0</v>
      </c>
      <c r="I66" s="1184">
        <v>0</v>
      </c>
      <c r="J66" s="1184">
        <v>0</v>
      </c>
      <c r="K66" s="1184">
        <v>0</v>
      </c>
      <c r="L66" s="1353">
        <v>0</v>
      </c>
      <c r="M66" s="1386">
        <v>0</v>
      </c>
      <c r="N66" s="1386">
        <v>0</v>
      </c>
      <c r="O66" s="1386">
        <v>0</v>
      </c>
      <c r="P66" s="1352">
        <v>0</v>
      </c>
      <c r="Q66" s="368">
        <v>3</v>
      </c>
      <c r="R66" s="368">
        <v>3</v>
      </c>
      <c r="S66" s="605">
        <v>12</v>
      </c>
      <c r="T66" s="1179">
        <v>31</v>
      </c>
      <c r="U66" s="1179">
        <v>0</v>
      </c>
      <c r="V66" s="1179">
        <v>0</v>
      </c>
      <c r="W66" s="1179">
        <v>0</v>
      </c>
      <c r="X66" s="1179">
        <v>0</v>
      </c>
      <c r="Y66" s="1179">
        <v>0</v>
      </c>
      <c r="Z66" s="1179">
        <v>0</v>
      </c>
      <c r="AA66" s="1179">
        <v>0</v>
      </c>
      <c r="AB66" s="1179">
        <v>0</v>
      </c>
      <c r="AC66" s="1179">
        <v>0</v>
      </c>
      <c r="AD66" s="1179">
        <v>24</v>
      </c>
      <c r="AE66" s="1179">
        <v>0</v>
      </c>
      <c r="AF66" s="1179">
        <v>24</v>
      </c>
      <c r="AG66" s="1179">
        <v>24</v>
      </c>
      <c r="AH66" s="1179">
        <v>11</v>
      </c>
      <c r="AI66" s="1179">
        <v>3</v>
      </c>
      <c r="AJ66" s="1179">
        <v>11</v>
      </c>
      <c r="AK66" s="1179">
        <v>0</v>
      </c>
      <c r="AL66" s="1179">
        <v>4</v>
      </c>
      <c r="AM66" s="1179">
        <v>115</v>
      </c>
      <c r="AN66" s="535">
        <v>10</v>
      </c>
      <c r="AO66" s="535">
        <v>10</v>
      </c>
      <c r="AP66" s="535">
        <v>10</v>
      </c>
      <c r="AQ66" s="535">
        <v>10</v>
      </c>
      <c r="AR66" s="535">
        <v>10</v>
      </c>
      <c r="AS66" s="1179">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6C56D3-CE4A-50FE-156E-0.F68E81C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2.00390625" hidden="1" customWidth="1"/>
    <col min="10" max="10" style="1390" width="9.8515625" hidden="1" customWidth="1"/>
    <col min="11" max="11" style="1390" width="11.421875" hidden="1" customWidth="1"/>
    <col min="12" max="12" style="2631" width="19.140625" hidden="1" customWidth="1"/>
    <col min="13" max="14" style="1800" width="12.28125" hidden="1" customWidth="1"/>
    <col min="15" max="15" style="1800" width="23.421875" hidden="1" customWidth="1"/>
    <col min="16" max="16" style="2421" width="3.7109375" hidden="1" customWidth="1"/>
    <col min="17" max="18" style="368" width="3.00390625" customWidth="1"/>
    <col min="19" max="19" style="2431" width="12.00390625" customWidth="1"/>
    <col min="20" max="20" style="1659" width="31.00390625" customWidth="1"/>
    <col min="21" max="21" style="1659" width="0.140625" customWidth="1"/>
    <col min="22" max="22" style="1659" width="24.7109375" hidden="1" customWidth="1"/>
    <col min="23" max="23" style="1659" width="0.140625" hidden="1" customWidth="1"/>
    <col min="24" max="25" style="1659" width="24.7109375" hidden="1" customWidth="1"/>
    <col min="26" max="26" style="1659" width="11.7109375" hidden="1" customWidth="1"/>
    <col min="27" max="27" style="1659" width="3.7109375" hidden="1" customWidth="1"/>
    <col min="28" max="28" style="1659" width="11.7109375" hidden="1" customWidth="1"/>
    <col min="29" max="29" style="1659" width="8.57421875" hidden="1" customWidth="1"/>
    <col min="30" max="30" style="1659" width="24.7109375" customWidth="1"/>
    <col min="31" max="31" style="1659" width="0.140625" customWidth="1"/>
    <col min="32" max="33" style="1659" width="24.00390625" customWidth="1"/>
    <col min="34" max="34" style="1659" width="11.00390625" customWidth="1"/>
    <col min="35" max="35" style="1659" width="3.7109375" customWidth="1"/>
    <col min="36" max="36" style="1659" width="11.00390625" customWidth="1"/>
    <col min="37" max="37" style="1659" width="8.57421875" hidden="1" customWidth="1"/>
    <col min="38" max="38" style="1659" width="4.00390625" customWidth="1"/>
    <col min="39" max="39" style="1659" width="115.00390625" customWidth="1"/>
    <col min="40" max="44" style="1666" width="10.00390625" customWidth="1"/>
    <col min="45" max="45" style="1659" width="10.57421875" hidden="1"/>
  </cols>
  <sheetData>
    <row customHeight="1" ht="22.5" hidden="1">
      <c r="A1" s="1895"/>
      <c r="Y1" s="351"/>
      <c r="Z1" s="351"/>
      <c r="AG1" s="351"/>
      <c r="AH1" s="351"/>
      <c r="AS1" s="1179" t="s">
        <v>14</v>
      </c>
    </row>
    <row customHeight="1" ht="21" hidden="1">
      <c r="A2" s="1387"/>
      <c r="B2" s="1387"/>
      <c r="C2" s="1387"/>
      <c r="D2" s="1387"/>
      <c r="E2" s="2282">
        <v>1</v>
      </c>
      <c r="F2" s="1387"/>
      <c r="G2" s="1387"/>
      <c r="H2" s="1387"/>
      <c r="I2" s="1387"/>
      <c r="J2" s="1387"/>
      <c r="K2" s="1387"/>
      <c r="L2" s="1388"/>
      <c r="M2" s="1389"/>
      <c r="N2" s="1389"/>
      <c r="O2" s="1389"/>
      <c r="P2" s="385"/>
      <c r="Q2" s="384"/>
      <c r="R2" s="379"/>
      <c r="S2" s="1360">
        <f>INDEX(PT_DIFFERENTIATION_NUM_NTAR,MATCH(A2,PT_DIFFERENTIATION_NTAR_ID,0))</f>
      </c>
      <c r="T2" s="322" t="s">
        <v>211</v>
      </c>
      <c r="U2" s="324"/>
      <c r="V2" s="2266"/>
      <c r="W2" s="2267"/>
      <c r="X2" s="2267"/>
      <c r="Y2" s="2267"/>
      <c r="Z2" s="2267"/>
      <c r="AA2" s="2267"/>
      <c r="AB2" s="2267"/>
      <c r="AC2" s="2268"/>
      <c r="AD2" s="2266">
        <f>INDEX(PT_DIFFERENTIATION_NTAR,MATCH(A2,PT_DIFFERENTIATION_NTAR_ID,0))</f>
      </c>
      <c r="AE2" s="2267"/>
      <c r="AF2" s="2267"/>
      <c r="AG2" s="2267"/>
      <c r="AH2" s="2267"/>
      <c r="AI2" s="2267"/>
      <c r="AJ2" s="2267"/>
      <c r="AK2" s="2267"/>
      <c r="AL2" s="2268"/>
      <c r="AM2" s="1282" t="s">
        <v>480</v>
      </c>
      <c r="AO2" s="524"/>
      <c r="AP2" s="524" t="str">
        <f>IF(T2="","",T2)</f>
        <v>Наименование тарифа</v>
      </c>
      <c r="AQ2" s="524"/>
      <c r="AR2" s="524"/>
      <c r="AS2" s="1179">
        <v>0</v>
      </c>
    </row>
    <row customHeight="1" ht="21" hidden="1">
      <c r="A3" s="1387"/>
      <c r="B3" s="1387"/>
      <c r="C3" s="1387"/>
      <c r="D3" s="1387"/>
      <c r="E3" s="2283"/>
      <c r="F3" s="2282">
        <v>1</v>
      </c>
      <c r="G3" s="1387"/>
      <c r="H3" s="1387"/>
      <c r="I3" s="1387"/>
      <c r="J3" s="1387"/>
      <c r="K3" s="1387"/>
      <c r="L3" s="1388"/>
      <c r="M3" s="1389"/>
      <c r="N3" s="1389"/>
      <c r="O3" s="1389"/>
      <c r="P3" s="1356"/>
      <c r="Q3" s="376"/>
      <c r="R3" s="377"/>
      <c r="S3" s="1360">
        <f>INDEX(PT_DIFFERENTIATION_NUM_TER,MATCH(B3,PT_DIFFERENTIATION_TER_ID,0))</f>
      </c>
      <c r="T3" s="332" t="s">
        <v>481</v>
      </c>
      <c r="U3" s="324"/>
      <c r="V3" s="2266"/>
      <c r="W3" s="2267"/>
      <c r="X3" s="2267"/>
      <c r="Y3" s="2267"/>
      <c r="Z3" s="2267"/>
      <c r="AA3" s="2267"/>
      <c r="AB3" s="2267"/>
      <c r="AC3" s="2268"/>
      <c r="AD3" s="2266">
        <f>INDEX(PT_DIFFERENTIATION_TER,MATCH(B3,PT_DIFFERENTIATION_TER_ID,0))</f>
      </c>
      <c r="AE3" s="2267"/>
      <c r="AF3" s="2267"/>
      <c r="AG3" s="2267"/>
      <c r="AH3" s="2267"/>
      <c r="AI3" s="2267"/>
      <c r="AJ3" s="2267"/>
      <c r="AK3" s="2267"/>
      <c r="AL3" s="2268"/>
      <c r="AM3" s="1282" t="s">
        <v>482</v>
      </c>
      <c r="AO3" s="524"/>
      <c r="AP3" s="524" t="str">
        <f>IF(T3="","",T3)</f>
        <v>Территория действия тарифа</v>
      </c>
      <c r="AQ3" s="524"/>
      <c r="AR3" s="524"/>
      <c r="AS3" s="1179">
        <v>0</v>
      </c>
    </row>
    <row customHeight="1" ht="23.25" hidden="1">
      <c r="A4" s="1387"/>
      <c r="B4" s="1387"/>
      <c r="C4" s="1387"/>
      <c r="D4" s="1387"/>
      <c r="E4" s="2283"/>
      <c r="F4" s="2283"/>
      <c r="G4" s="2282">
        <v>1</v>
      </c>
      <c r="H4" s="1387"/>
      <c r="I4" s="1387"/>
      <c r="J4" s="1387"/>
      <c r="K4" s="1387"/>
      <c r="L4" s="1388"/>
      <c r="M4" s="1389"/>
      <c r="N4" s="1389"/>
      <c r="O4" s="1389"/>
      <c r="P4" s="378"/>
      <c r="Q4" s="376"/>
      <c r="R4" s="377"/>
      <c r="S4" s="2032">
        <f>INDEX(PT_DIFFERENTIATION_NUM_CS,MATCH(C4,PT_DIFFERENTIATION_CS_ID,0))</f>
      </c>
      <c r="T4" s="2036" t="s">
        <v>483</v>
      </c>
      <c r="U4" s="2037"/>
      <c r="V4" s="2324"/>
      <c r="W4" s="2325"/>
      <c r="X4" s="2325"/>
      <c r="Y4" s="2325"/>
      <c r="Z4" s="2325"/>
      <c r="AA4" s="2325"/>
      <c r="AB4" s="2325"/>
      <c r="AC4" s="2326"/>
      <c r="AD4" s="2324">
        <f>INDEX(PT_DIFFERENTIATION_CS,MATCH(C4,PT_DIFFERENTIATION_CS_ID,0))</f>
      </c>
      <c r="AE4" s="2325"/>
      <c r="AF4" s="2325"/>
      <c r="AG4" s="2325"/>
      <c r="AH4" s="2325"/>
      <c r="AI4" s="2325"/>
      <c r="AJ4" s="2325"/>
      <c r="AK4" s="2325"/>
      <c r="AL4" s="2326"/>
      <c r="AM4" s="1282" t="s">
        <v>484</v>
      </c>
      <c r="AO4" s="524"/>
      <c r="AP4" s="524" t="str">
        <f>IF(T4="","",T4)</f>
        <v>Наименование системы теплоснабжения </v>
      </c>
      <c r="AQ4" s="524"/>
      <c r="AR4" s="524"/>
      <c r="AS4" s="1179">
        <v>0</v>
      </c>
    </row>
    <row customHeight="1" ht="21" hidden="1">
      <c r="A5" s="1387"/>
      <c r="B5" s="1387"/>
      <c r="C5" s="1387"/>
      <c r="D5" s="1387"/>
      <c r="E5" s="2283"/>
      <c r="F5" s="2283"/>
      <c r="G5" s="2283"/>
      <c r="H5" s="2282">
        <v>1</v>
      </c>
      <c r="I5" s="1387"/>
      <c r="J5" s="1387"/>
      <c r="K5" s="1387"/>
      <c r="L5" s="1388"/>
      <c r="M5" s="1389"/>
      <c r="N5" s="1389"/>
      <c r="O5" s="1389"/>
      <c r="P5" s="378"/>
      <c r="Q5" s="376"/>
      <c r="R5" s="1659"/>
      <c r="S5" s="2031">
        <f>INDEX(PT_DIFFERENTIATION_NUM_IST_TE,MATCH(D5,PT_DIFFERENTIATION_IST_TE_ID,0))</f>
      </c>
      <c r="T5" s="334" t="s">
        <v>485</v>
      </c>
      <c r="U5" s="324"/>
      <c r="V5" s="2327"/>
      <c r="W5" s="2327"/>
      <c r="X5" s="2327"/>
      <c r="Y5" s="2327"/>
      <c r="Z5" s="2327"/>
      <c r="AA5" s="2327"/>
      <c r="AB5" s="2327"/>
      <c r="AC5" s="2327"/>
      <c r="AD5" s="2327">
        <f>INDEX(PT_DIFFERENTIATION_IST_TE,MATCH(D5,PT_DIFFERENTIATION_IST_TE_ID,0))</f>
      </c>
      <c r="AE5" s="2327"/>
      <c r="AF5" s="2327"/>
      <c r="AG5" s="2327"/>
      <c r="AH5" s="2327"/>
      <c r="AI5" s="2327"/>
      <c r="AJ5" s="2327"/>
      <c r="AK5" s="2327"/>
      <c r="AL5" s="2327"/>
      <c r="AM5" s="2034" t="s">
        <v>486</v>
      </c>
      <c r="AO5" s="524"/>
      <c r="AP5" s="524" t="str">
        <f>IF(T5="","",T5)</f>
        <v>Источник тепловой энергии  </v>
      </c>
      <c r="AQ5" s="524"/>
      <c r="AR5" s="524"/>
      <c r="AS5" s="1179">
        <v>0</v>
      </c>
    </row>
    <row customHeight="1" ht="0.75" hidden="1">
      <c r="A6" s="1387"/>
      <c r="B6" s="1387"/>
      <c r="C6" s="1387"/>
      <c r="D6" s="1387"/>
      <c r="E6" s="2283"/>
      <c r="F6" s="2283"/>
      <c r="G6" s="2283"/>
      <c r="H6" s="2283"/>
      <c r="I6" s="2280">
        <f>S5&amp;".1"</f>
      </c>
      <c r="J6" s="1387"/>
      <c r="K6" s="1387"/>
      <c r="L6" s="1388" t="s">
        <v>487</v>
      </c>
      <c r="M6" s="561"/>
      <c r="P6" s="2281">
        <v>1</v>
      </c>
      <c r="Q6" s="1355"/>
      <c r="R6" s="2030"/>
      <c r="S6" s="1066"/>
      <c r="T6" s="1407"/>
      <c r="U6" s="1408"/>
      <c r="V6" s="2328"/>
      <c r="W6" s="2328"/>
      <c r="X6" s="2328"/>
      <c r="Y6" s="2328"/>
      <c r="Z6" s="2328"/>
      <c r="AA6" s="2328"/>
      <c r="AB6" s="2328"/>
      <c r="AC6" s="2328"/>
      <c r="AD6" s="2328"/>
      <c r="AE6" s="2328"/>
      <c r="AF6" s="2328"/>
      <c r="AG6" s="2328"/>
      <c r="AH6" s="2328"/>
      <c r="AI6" s="2328"/>
      <c r="AJ6" s="2328"/>
      <c r="AK6" s="2328"/>
      <c r="AL6" s="2328"/>
      <c r="AM6" s="2035"/>
      <c r="AO6" s="524"/>
      <c r="AP6" s="524" t="str">
        <f>IF(T6="","",T6)</f>
        <v/>
      </c>
      <c r="AQ6" s="524"/>
      <c r="AR6" s="524"/>
      <c r="AS6" s="1179">
        <v>0</v>
      </c>
    </row>
    <row customHeight="1" ht="84" hidden="1">
      <c r="A7" s="1387"/>
      <c r="B7" s="1387"/>
      <c r="C7" s="1387"/>
      <c r="D7" s="1387"/>
      <c r="E7" s="2283"/>
      <c r="F7" s="2283"/>
      <c r="G7" s="2283"/>
      <c r="H7" s="2283"/>
      <c r="I7" s="2310"/>
      <c r="J7" s="2280">
        <f>I6&amp;".1"</f>
      </c>
      <c r="K7" s="1387"/>
      <c r="L7" s="1388" t="s">
        <v>490</v>
      </c>
      <c r="M7" s="561"/>
      <c r="N7" s="1390"/>
      <c r="P7" s="2281"/>
      <c r="Q7" s="2281">
        <v>1</v>
      </c>
      <c r="R7" s="1666"/>
      <c r="S7" s="2031">
        <f>$J7</f>
      </c>
      <c r="T7" s="310" t="s">
        <v>491</v>
      </c>
      <c r="U7" s="324"/>
      <c r="V7" s="2329"/>
      <c r="W7" s="2329"/>
      <c r="X7" s="2329"/>
      <c r="Y7" s="2329"/>
      <c r="Z7" s="2329"/>
      <c r="AA7" s="2329"/>
      <c r="AB7" s="2329"/>
      <c r="AC7" s="2329"/>
      <c r="AD7" s="2329"/>
      <c r="AE7" s="2329"/>
      <c r="AF7" s="2329"/>
      <c r="AG7" s="2329"/>
      <c r="AH7" s="2329"/>
      <c r="AI7" s="2329"/>
      <c r="AJ7" s="2329"/>
      <c r="AK7" s="2329"/>
      <c r="AL7" s="2329"/>
      <c r="AM7" s="2034" t="s">
        <v>492</v>
      </c>
      <c r="AO7" s="524"/>
      <c r="AP7" s="524" t="str">
        <f>IF(T7="","",T7)</f>
        <v>Группа потребителей</v>
      </c>
      <c r="AQ7" s="524"/>
      <c r="AR7" s="524"/>
      <c r="AS7" s="1179">
        <v>0</v>
      </c>
    </row>
    <row customHeight="1" ht="11.25" hidden="1">
      <c r="A8" s="1387"/>
      <c r="B8" s="1387"/>
      <c r="C8" s="1387"/>
      <c r="D8" s="1387"/>
      <c r="E8" s="2283"/>
      <c r="F8" s="2283"/>
      <c r="G8" s="2283"/>
      <c r="H8" s="2283"/>
      <c r="I8" s="2310"/>
      <c r="J8" s="2310"/>
      <c r="K8" s="2280">
        <f>J7&amp;".1"</f>
      </c>
      <c r="L8" s="1388" t="s">
        <v>493</v>
      </c>
      <c r="M8" s="561"/>
      <c r="N8" s="1390"/>
      <c r="O8" s="1390"/>
      <c r="P8" s="2281"/>
      <c r="Q8" s="2281"/>
      <c r="R8" s="381">
        <v>1</v>
      </c>
      <c r="S8" s="2033">
        <f>$K8</f>
      </c>
      <c r="T8" s="2038"/>
      <c r="U8" s="2039"/>
      <c r="V8" s="2040"/>
      <c r="W8" s="1373"/>
      <c r="X8" s="2040"/>
      <c r="Y8" s="2041"/>
      <c r="Z8" s="2330"/>
      <c r="AA8" s="2136" t="s">
        <v>66</v>
      </c>
      <c r="AB8" s="2330"/>
      <c r="AC8" s="2136" t="s">
        <v>66</v>
      </c>
      <c r="AD8" s="2040"/>
      <c r="AE8" s="1373"/>
      <c r="AF8" s="2040"/>
      <c r="AG8" s="2041"/>
      <c r="AH8" s="2330"/>
      <c r="AI8" s="2136" t="s">
        <v>66</v>
      </c>
      <c r="AJ8" s="2330"/>
      <c r="AK8" s="2136" t="s">
        <v>66</v>
      </c>
      <c r="AL8" s="1373"/>
      <c r="AM8" s="2277" t="s">
        <v>494</v>
      </c>
      <c r="AN8" s="535">
        <f>STRCHECKDATE(V9:AL9)</f>
      </c>
      <c r="AO8" s="524"/>
      <c r="AP8" s="524" t="str">
        <f>IF(T8="","",T8)</f>
        <v/>
      </c>
      <c r="AQ8" s="524"/>
      <c r="AR8" s="524"/>
      <c r="AS8" s="1179">
        <v>0</v>
      </c>
    </row>
    <row customHeight="1" ht="0.75" hidden="1">
      <c r="A9" s="1387"/>
      <c r="B9" s="1387"/>
      <c r="C9" s="1387"/>
      <c r="D9" s="1387"/>
      <c r="E9" s="2283"/>
      <c r="F9" s="2283"/>
      <c r="G9" s="2283"/>
      <c r="H9" s="2283"/>
      <c r="I9" s="2310"/>
      <c r="J9" s="2310"/>
      <c r="K9" s="2280"/>
      <c r="L9" s="1388"/>
      <c r="M9" s="561"/>
      <c r="N9" s="1390"/>
      <c r="O9" s="1390"/>
      <c r="P9" s="2281"/>
      <c r="Q9" s="2281"/>
      <c r="R9" s="381"/>
      <c r="S9" s="1366"/>
      <c r="T9" s="324"/>
      <c r="U9" s="324"/>
      <c r="V9" s="349"/>
      <c r="W9" s="349"/>
      <c r="X9" s="349"/>
      <c r="Y9" s="352" t="str">
        <f>Z8&amp;"-"&amp;AB8</f>
        <v>-</v>
      </c>
      <c r="Z9" s="2290"/>
      <c r="AA9" s="2131"/>
      <c r="AB9" s="2290"/>
      <c r="AC9" s="2131"/>
      <c r="AD9" s="349"/>
      <c r="AE9" s="349"/>
      <c r="AF9" s="349"/>
      <c r="AG9" s="352" t="str">
        <f>AH8&amp;"-"&amp;AJ8</f>
        <v>-</v>
      </c>
      <c r="AH9" s="2290"/>
      <c r="AI9" s="2131"/>
      <c r="AJ9" s="2290"/>
      <c r="AK9" s="2131"/>
      <c r="AL9" s="349"/>
      <c r="AM9" s="2278"/>
      <c r="AO9" s="524"/>
      <c r="AP9" s="524" t="str">
        <f>IF(T9="","",T9)</f>
        <v/>
      </c>
      <c r="AQ9" s="524"/>
      <c r="AR9" s="524"/>
      <c r="AS9" s="1179">
        <v>0</v>
      </c>
    </row>
    <row customHeight="1" ht="11.25" hidden="1">
      <c r="A10" s="1387"/>
      <c r="B10" s="1387"/>
      <c r="C10" s="1387"/>
      <c r="D10" s="1387"/>
      <c r="E10" s="2283"/>
      <c r="F10" s="2283"/>
      <c r="G10" s="2283"/>
      <c r="H10" s="2283"/>
      <c r="I10" s="2310"/>
      <c r="J10" s="2280"/>
      <c r="K10" s="1387"/>
      <c r="L10" s="1388"/>
      <c r="M10" s="561"/>
      <c r="N10" s="1390"/>
      <c r="P10" s="2281"/>
      <c r="Q10" s="2281"/>
      <c r="R10" s="380"/>
      <c r="S10" s="1302"/>
      <c r="T10" s="311" t="s">
        <v>495</v>
      </c>
      <c r="U10" s="391"/>
      <c r="V10" s="391"/>
      <c r="W10" s="391"/>
      <c r="X10" s="391"/>
      <c r="Y10" s="391"/>
      <c r="Z10" s="391"/>
      <c r="AA10" s="391"/>
      <c r="AB10" s="391"/>
      <c r="AC10" s="391"/>
      <c r="AD10" s="391"/>
      <c r="AE10" s="391"/>
      <c r="AF10" s="391"/>
      <c r="AG10" s="391"/>
      <c r="AH10" s="391"/>
      <c r="AI10" s="391"/>
      <c r="AJ10" s="391"/>
      <c r="AK10" s="391"/>
      <c r="AL10" s="348"/>
      <c r="AM10" s="2279"/>
      <c r="AO10" s="524"/>
      <c r="AP10" s="524" t="str">
        <f>IF(T10="","",T10)</f>
        <v>Добавить вид теплоносителя (параметры теплоносителя)</v>
      </c>
      <c r="AQ10" s="524"/>
      <c r="AR10" s="524"/>
      <c r="AS10" s="1179">
        <v>0</v>
      </c>
    </row>
    <row customHeight="1" ht="11.25" hidden="1">
      <c r="A11" s="1387"/>
      <c r="B11" s="1387"/>
      <c r="C11" s="1387"/>
      <c r="D11" s="1387"/>
      <c r="E11" s="2283"/>
      <c r="F11" s="2283"/>
      <c r="G11" s="2283"/>
      <c r="H11" s="2283"/>
      <c r="I11" s="2280"/>
      <c r="J11" s="1387"/>
      <c r="K11" s="1387"/>
      <c r="L11" s="1388"/>
      <c r="M11" s="561"/>
      <c r="P11" s="2281"/>
      <c r="Q11" s="1355"/>
      <c r="R11" s="380"/>
      <c r="S11" s="1302"/>
      <c r="T11" s="389" t="s">
        <v>496</v>
      </c>
      <c r="U11" s="391"/>
      <c r="V11" s="391"/>
      <c r="W11" s="391"/>
      <c r="X11" s="391"/>
      <c r="Y11" s="391"/>
      <c r="Z11" s="391"/>
      <c r="AA11" s="391"/>
      <c r="AB11" s="391"/>
      <c r="AC11" s="390"/>
      <c r="AD11" s="391"/>
      <c r="AE11" s="391"/>
      <c r="AF11" s="391"/>
      <c r="AG11" s="391"/>
      <c r="AH11" s="391"/>
      <c r="AI11" s="391"/>
      <c r="AJ11" s="391"/>
      <c r="AK11" s="390"/>
      <c r="AL11" s="391"/>
      <c r="AM11" s="327"/>
      <c r="AO11" s="524"/>
      <c r="AP11" s="524" t="str">
        <f>IF(T11="","",T11)</f>
        <v>Добавить группу потребителей</v>
      </c>
      <c r="AQ11" s="524"/>
      <c r="AR11" s="524"/>
      <c r="AS11" s="1179">
        <v>0</v>
      </c>
    </row>
    <row customHeight="1" ht="0.75" hidden="1">
      <c r="A12" s="1387"/>
      <c r="B12" s="1387"/>
      <c r="C12" s="1387"/>
      <c r="D12" s="1387"/>
      <c r="E12" s="2283"/>
      <c r="F12" s="2283"/>
      <c r="G12" s="2283"/>
      <c r="H12" s="2282"/>
      <c r="I12" s="1387"/>
      <c r="J12" s="1387"/>
      <c r="K12" s="1387"/>
      <c r="L12" s="1388"/>
      <c r="M12" s="1389"/>
      <c r="N12" s="1389"/>
      <c r="O12" s="561"/>
      <c r="P12" s="384"/>
      <c r="Q12" s="399"/>
      <c r="R12" s="379"/>
      <c r="S12" s="1410"/>
      <c r="T12" s="1411"/>
      <c r="U12" s="1412"/>
      <c r="V12" s="1412"/>
      <c r="W12" s="1412"/>
      <c r="X12" s="1412"/>
      <c r="Y12" s="1412"/>
      <c r="Z12" s="1412"/>
      <c r="AA12" s="1412"/>
      <c r="AB12" s="1412"/>
      <c r="AC12" s="1412"/>
      <c r="AD12" s="1412"/>
      <c r="AE12" s="1412"/>
      <c r="AF12" s="1412"/>
      <c r="AG12" s="1412"/>
      <c r="AH12" s="1412"/>
      <c r="AI12" s="1412"/>
      <c r="AJ12" s="1412"/>
      <c r="AK12" s="1412"/>
      <c r="AL12" s="1412"/>
      <c r="AM12" s="1413"/>
      <c r="AO12" s="524"/>
      <c r="AP12" s="524" t="str">
        <f>IF(T12="","",T12)</f>
        <v/>
      </c>
      <c r="AQ12" s="524"/>
      <c r="AR12" s="524"/>
      <c r="AS12" s="1179">
        <v>0</v>
      </c>
    </row>
    <row s="1666" customFormat="1" customHeight="1" ht="0.75" hidden="1">
      <c r="A13" s="1338"/>
      <c r="B13" s="1338"/>
      <c r="C13" s="1338"/>
      <c r="D13" s="1338"/>
      <c r="E13" s="2283"/>
      <c r="F13" s="2283"/>
      <c r="G13" s="2282"/>
      <c r="H13" s="1338"/>
      <c r="I13" s="1338"/>
      <c r="J13" s="1338"/>
      <c r="K13" s="1338"/>
      <c r="L13" s="1363"/>
      <c r="M13" s="1339"/>
      <c r="N13" s="1339"/>
      <c r="P13" s="1340"/>
      <c r="Q13" s="1341"/>
      <c r="R13" s="1340"/>
      <c r="S13" s="1342"/>
      <c r="T13" s="1343" t="s">
        <v>498</v>
      </c>
      <c r="U13" s="1344"/>
      <c r="V13" s="1344"/>
      <c r="W13" s="1344"/>
      <c r="X13" s="1344"/>
      <c r="Y13" s="1344"/>
      <c r="Z13" s="1344"/>
      <c r="AA13" s="1344"/>
      <c r="AB13" s="1344"/>
      <c r="AC13" s="1344"/>
      <c r="AD13" s="1344"/>
      <c r="AE13" s="1344"/>
      <c r="AF13" s="1344"/>
      <c r="AG13" s="1344"/>
      <c r="AH13" s="1344"/>
      <c r="AI13" s="1344"/>
      <c r="AJ13" s="1344"/>
      <c r="AK13" s="1344"/>
      <c r="AL13" s="1344"/>
      <c r="AM13" s="1344"/>
      <c r="AO13" s="813"/>
      <c r="AP13" s="813" t="str">
        <f>IF(T13="","",T13)</f>
        <v>Добавить источник для дифференциации</v>
      </c>
      <c r="AQ13" s="813"/>
      <c r="AR13" s="813"/>
      <c r="AS13" s="542">
        <v>0</v>
      </c>
    </row>
    <row s="1666" customFormat="1" customHeight="1" ht="0.75" hidden="1">
      <c r="A14" s="1338"/>
      <c r="B14" s="1338"/>
      <c r="C14" s="1338"/>
      <c r="D14" s="1338"/>
      <c r="E14" s="2283"/>
      <c r="F14" s="2282"/>
      <c r="G14" s="1338"/>
      <c r="H14" s="1338"/>
      <c r="I14" s="1338"/>
      <c r="J14" s="1338"/>
      <c r="K14" s="1338"/>
      <c r="L14" s="1363"/>
      <c r="M14" s="1345"/>
      <c r="N14" s="1345"/>
      <c r="P14" s="1340"/>
      <c r="Q14" s="1341"/>
      <c r="R14" s="1340"/>
      <c r="S14" s="1346"/>
      <c r="T14" s="1347" t="s">
        <v>499</v>
      </c>
      <c r="U14" s="1348"/>
      <c r="V14" s="1348"/>
      <c r="W14" s="1348"/>
      <c r="X14" s="1348"/>
      <c r="Y14" s="1348"/>
      <c r="Z14" s="1348"/>
      <c r="AA14" s="1348"/>
      <c r="AB14" s="1348"/>
      <c r="AC14" s="1348"/>
      <c r="AD14" s="1348"/>
      <c r="AE14" s="1348"/>
      <c r="AF14" s="1348"/>
      <c r="AG14" s="1348"/>
      <c r="AH14" s="1348"/>
      <c r="AI14" s="1348"/>
      <c r="AJ14" s="1348"/>
      <c r="AK14" s="1348"/>
      <c r="AL14" s="1348"/>
      <c r="AM14" s="1348"/>
      <c r="AO14" s="813"/>
      <c r="AP14" s="813" t="str">
        <f>IF(T14="","",T14)</f>
        <v>Добавить централизованную систему для дифференциации</v>
      </c>
      <c r="AQ14" s="813"/>
      <c r="AR14" s="813"/>
      <c r="AS14" s="542">
        <v>0</v>
      </c>
    </row>
    <row s="1666" customFormat="1" customHeight="1" ht="0.75" hidden="1">
      <c r="A15" s="1338"/>
      <c r="B15" s="1338"/>
      <c r="C15" s="1338"/>
      <c r="D15" s="1338"/>
      <c r="E15" s="2282"/>
      <c r="F15" s="1338"/>
      <c r="G15" s="1338"/>
      <c r="H15" s="1338"/>
      <c r="I15" s="1338"/>
      <c r="J15" s="1338"/>
      <c r="K15" s="1338"/>
      <c r="L15" s="1363"/>
      <c r="M15" s="1345"/>
      <c r="N15" s="1345"/>
      <c r="P15" s="1340"/>
      <c r="Q15" s="1341"/>
      <c r="R15" s="1340"/>
      <c r="S15" s="1346"/>
      <c r="T15" s="1349" t="s">
        <v>500</v>
      </c>
      <c r="U15" s="1348"/>
      <c r="V15" s="1348"/>
      <c r="W15" s="1348"/>
      <c r="X15" s="1348"/>
      <c r="Y15" s="1348"/>
      <c r="Z15" s="1348"/>
      <c r="AA15" s="1348"/>
      <c r="AB15" s="1348"/>
      <c r="AC15" s="1348"/>
      <c r="AD15" s="1348"/>
      <c r="AE15" s="1348"/>
      <c r="AF15" s="1348"/>
      <c r="AG15" s="1348"/>
      <c r="AH15" s="1348"/>
      <c r="AI15" s="1348"/>
      <c r="AJ15" s="1348"/>
      <c r="AK15" s="1348"/>
      <c r="AL15" s="1348"/>
      <c r="AM15" s="1348"/>
      <c r="AO15" s="813"/>
      <c r="AP15" s="813" t="str">
        <f>IF(T15="","",T15)</f>
        <v>Добавить территорию для дифференциации</v>
      </c>
      <c r="AQ15" s="813"/>
      <c r="AR15" s="813"/>
      <c r="AS15" s="542">
        <v>0</v>
      </c>
    </row>
    <row customHeight="1" ht="14.25" hidden="1">
      <c r="AC16" s="351"/>
      <c r="AK16" s="351"/>
      <c r="AS16" s="1179">
        <v>0</v>
      </c>
    </row>
    <row customHeight="1" ht="14.25" hidden="1">
      <c r="AD17" s="1384"/>
      <c r="AE17" s="1384"/>
      <c r="AF17" s="1384"/>
      <c r="AG17" s="1385"/>
      <c r="AH17" s="2291"/>
      <c r="AI17" s="2292" t="s">
        <v>66</v>
      </c>
      <c r="AJ17" s="2291"/>
      <c r="AK17" s="2292" t="s">
        <v>66</v>
      </c>
      <c r="AS17" s="1179">
        <v>0</v>
      </c>
    </row>
    <row customHeight="1" ht="14.25" hidden="1">
      <c r="AD18" s="1384"/>
      <c r="AE18" s="1384"/>
      <c r="AF18" s="1384"/>
      <c r="AG18" s="352" t="str">
        <f>AH17&amp;"-"&amp;AJ17</f>
        <v>-</v>
      </c>
      <c r="AH18" s="2292"/>
      <c r="AI18" s="2292"/>
      <c r="AJ18" s="2292"/>
      <c r="AK18" s="2292"/>
      <c r="AS18" s="1179">
        <v>0</v>
      </c>
    </row>
    <row customHeight="1" ht="14.25" hidden="1">
      <c r="AK19" s="351"/>
      <c r="AS19" s="1179">
        <v>0</v>
      </c>
    </row>
    <row s="1390" customFormat="1" customHeight="1" ht="22.5" hidden="1">
      <c r="L20" s="1353"/>
      <c r="M20" s="1386"/>
      <c r="N20" s="1386"/>
      <c r="O20" s="1391" t="s">
        <v>501</v>
      </c>
      <c r="P20" s="1386"/>
      <c r="Q20" s="1395"/>
      <c r="R20" s="1395"/>
      <c r="S20" s="753"/>
      <c r="Z20" s="1391"/>
      <c r="AB20" s="1391"/>
      <c r="AC20" s="1390"/>
      <c r="AH20" s="1391"/>
      <c r="AJ20" s="1391"/>
      <c r="AK20" s="1390"/>
      <c r="AN20" s="535"/>
      <c r="AO20" s="535"/>
      <c r="AP20" s="535"/>
      <c r="AQ20" s="535"/>
      <c r="AR20" s="535"/>
      <c r="AS20" s="1184">
        <v>0</v>
      </c>
    </row>
    <row s="1390" customFormat="1" customHeight="1" ht="14.25" hidden="1">
      <c r="L21" s="1353"/>
      <c r="M21" s="1386"/>
      <c r="N21" s="1386"/>
      <c r="O21" s="1386"/>
      <c r="P21" s="1386"/>
      <c r="Q21" s="1395"/>
      <c r="R21" s="1395"/>
      <c r="S21" s="753"/>
      <c r="AC21" s="1390"/>
      <c r="AK21" s="1390"/>
      <c r="AN21" s="535"/>
      <c r="AO21" s="535"/>
      <c r="AP21" s="535"/>
      <c r="AQ21" s="535"/>
      <c r="AR21" s="535"/>
      <c r="AS21" s="1184">
        <v>0</v>
      </c>
    </row>
    <row s="1390" customFormat="1" customHeight="1" ht="14.25" hidden="1">
      <c r="L22" s="1353"/>
      <c r="M22" s="1386"/>
      <c r="N22" s="1386"/>
      <c r="O22" s="1388" t="s">
        <v>502</v>
      </c>
      <c r="P22" s="1386"/>
      <c r="Q22" s="1395"/>
      <c r="R22" s="1395"/>
      <c r="S22" s="753"/>
      <c r="T22" s="1184" t="s">
        <v>503</v>
      </c>
      <c r="AA22" s="210" t="s">
        <v>504</v>
      </c>
      <c r="AC22" s="210" t="s">
        <v>505</v>
      </c>
      <c r="AD22" s="1184" t="s">
        <v>503</v>
      </c>
      <c r="AI22" s="210" t="s">
        <v>506</v>
      </c>
      <c r="AK22" s="210" t="s">
        <v>505</v>
      </c>
      <c r="AN22" s="535"/>
      <c r="AO22" s="535"/>
      <c r="AP22" s="535"/>
      <c r="AQ22" s="535"/>
      <c r="AR22" s="535"/>
      <c r="AS22" s="1184">
        <v>0</v>
      </c>
    </row>
    <row customHeight="1" ht="14.25" hidden="1">
      <c r="O23" s="1388"/>
      <c r="AS23" s="1179">
        <v>0</v>
      </c>
    </row>
    <row customHeight="1" ht="14.25" hidden="1">
      <c r="O24" s="1388"/>
      <c r="AS24" s="1179">
        <v>0</v>
      </c>
    </row>
    <row customHeight="1" ht="14.699999999999998">
      <c r="Q25" s="400"/>
      <c r="R25" s="400"/>
      <c r="S25" s="1299"/>
      <c r="T25" s="387"/>
      <c r="U25" s="387"/>
      <c r="V25" s="533"/>
      <c r="W25" s="533"/>
      <c r="X25" s="533"/>
      <c r="Y25" s="533"/>
      <c r="Z25" s="533"/>
      <c r="AA25" s="533"/>
      <c r="AB25" s="533"/>
      <c r="AC25" s="533"/>
      <c r="AD25" s="533"/>
      <c r="AE25" s="533"/>
      <c r="AF25" s="533"/>
      <c r="AG25" s="533"/>
      <c r="AH25" s="533"/>
      <c r="AI25" s="533"/>
      <c r="AJ25" s="533"/>
      <c r="AK25" s="533"/>
      <c r="AS25" s="1179">
        <v>14</v>
      </c>
    </row>
    <row customHeight="1" ht="54.75">
      <c r="Q26" s="400"/>
      <c r="R26" s="400"/>
      <c r="S26" s="233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31"/>
      <c r="U26" s="2331"/>
      <c r="V26" s="2331"/>
      <c r="W26" s="2331"/>
      <c r="X26" s="2331"/>
      <c r="Y26" s="2331"/>
      <c r="Z26" s="2331"/>
      <c r="AA26" s="2331"/>
      <c r="AB26" s="2331"/>
      <c r="AC26" s="2331"/>
      <c r="AD26" s="2331"/>
      <c r="AE26" s="2331"/>
      <c r="AF26" s="2331"/>
      <c r="AG26" s="2331"/>
      <c r="AH26" s="2331"/>
      <c r="AI26" s="2331"/>
      <c r="AJ26" s="2331"/>
      <c r="AK26" s="1267"/>
      <c r="AS26" s="1179">
        <v>52</v>
      </c>
    </row>
    <row customHeight="1" ht="14.699999999999998">
      <c r="Q27" s="400"/>
      <c r="R27" s="400"/>
      <c r="S27" s="2273" t="str">
        <f>IF(org=0,"Не определено",org)</f>
        <v>АО "ДГК"</v>
      </c>
      <c r="T27" s="2273"/>
      <c r="U27" s="2273"/>
      <c r="V27" s="2273"/>
      <c r="W27" s="2273"/>
      <c r="X27" s="2273"/>
      <c r="Y27" s="2273"/>
      <c r="Z27" s="2273"/>
      <c r="AA27" s="2273"/>
      <c r="AB27" s="2273"/>
      <c r="AC27" s="2273"/>
      <c r="AD27" s="2273"/>
      <c r="AE27" s="2273"/>
      <c r="AF27" s="2273"/>
      <c r="AG27" s="2273"/>
      <c r="AH27" s="2273"/>
      <c r="AI27" s="2273"/>
      <c r="AJ27" s="2273"/>
      <c r="AK27" s="1267"/>
      <c r="AS27" s="1179">
        <v>14</v>
      </c>
    </row>
    <row customHeight="1" ht="14.25" hidden="1">
      <c r="Q28" s="400"/>
      <c r="R28" s="400"/>
      <c r="S28" s="1299"/>
      <c r="T28" s="387"/>
      <c r="U28" s="387"/>
      <c r="V28" s="346"/>
      <c r="W28" s="346"/>
      <c r="X28" s="346"/>
      <c r="Y28" s="346"/>
      <c r="Z28" s="346"/>
      <c r="AA28" s="346"/>
      <c r="AB28" s="346"/>
      <c r="AC28" s="346"/>
      <c r="AD28" s="346"/>
      <c r="AE28" s="346"/>
      <c r="AF28" s="346"/>
      <c r="AG28" s="346"/>
      <c r="AH28" s="346"/>
      <c r="AI28" s="346"/>
      <c r="AJ28" s="346"/>
      <c r="AK28" s="346"/>
      <c r="AL28" s="533"/>
      <c r="AS28" s="1179">
        <v>0</v>
      </c>
    </row>
    <row s="1877" customFormat="1" customHeight="1" ht="25.5" hidden="1">
      <c r="A29" s="1392"/>
      <c r="B29" s="1392"/>
      <c r="C29" s="1392"/>
      <c r="D29" s="1392"/>
      <c r="E29" s="1392"/>
      <c r="F29" s="1392"/>
      <c r="G29" s="1392"/>
      <c r="H29" s="1392"/>
      <c r="I29" s="1392"/>
      <c r="J29" s="1392"/>
      <c r="K29" s="1392"/>
      <c r="L29" s="1393"/>
      <c r="M29" s="1392"/>
      <c r="N29" s="1392"/>
      <c r="O29" s="1392"/>
      <c r="S29" s="2274" t="s">
        <v>42</v>
      </c>
      <c r="T29" s="2274"/>
      <c r="U29" s="1396"/>
      <c r="V29" s="2275" t="str">
        <f>IF(TITLE_NAME_OR_PR_CHANGE="",IF(TITLE_NAME_OR_PR="","",TITLE_NAME_OR_PR),TITLE_NAME_OR_PR_CHANGE)</f>
        <v/>
      </c>
      <c r="W29" s="2275"/>
      <c r="X29" s="2275"/>
      <c r="Y29" s="2275"/>
      <c r="Z29" s="2275"/>
      <c r="AA29" s="2275"/>
      <c r="AB29" s="2275"/>
      <c r="AC29" s="350"/>
      <c r="AD29" s="2275" t="str">
        <f>IF(TITLE_NAME_OR_PR_CHANGE="",IF(TITLE_NAME_OR_PR="","",TITLE_NAME_OR_PR),TITLE_NAME_OR_PR_CHANGE)</f>
        <v/>
      </c>
      <c r="AE29" s="2275"/>
      <c r="AF29" s="2275"/>
      <c r="AG29" s="2275"/>
      <c r="AH29" s="2275"/>
      <c r="AI29" s="2275"/>
      <c r="AJ29" s="2275"/>
      <c r="AK29" s="350"/>
      <c r="AL29" s="350"/>
      <c r="AM29" s="304"/>
      <c r="AN29" s="392"/>
      <c r="AO29" s="392"/>
      <c r="AP29" s="392"/>
      <c r="AQ29" s="392"/>
      <c r="AR29" s="392"/>
      <c r="AS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507</v>
      </c>
      <c r="T30" s="2274"/>
      <c r="U30" s="1396"/>
      <c r="V30" s="2288" t="str">
        <f>IF(TITLE_DATE_PR_CHANGE="",IF(TITLE_DATE_PR="","",TITLE_DATE_PR),TITLE_DATE_PR_CHANGE)</f>
        <v/>
      </c>
      <c r="W30" s="2288"/>
      <c r="X30" s="2288"/>
      <c r="Y30" s="2288"/>
      <c r="Z30" s="2288"/>
      <c r="AA30" s="2288"/>
      <c r="AB30" s="2288"/>
      <c r="AC30" s="350"/>
      <c r="AD30" s="2288" t="str">
        <f>IF(TITLE_DATE_PR_CHANGE="",IF(TITLE_DATE_PR="","",TITLE_DATE_PR),TITLE_DATE_PR_CHANGE)</f>
        <v/>
      </c>
      <c r="AE30" s="2288"/>
      <c r="AF30" s="2288"/>
      <c r="AG30" s="2288"/>
      <c r="AH30" s="2288"/>
      <c r="AI30" s="2288"/>
      <c r="AJ30" s="2288"/>
      <c r="AK30" s="350"/>
      <c r="AL30" s="350"/>
      <c r="AM30" s="304"/>
      <c r="AN30" s="392"/>
      <c r="AO30" s="392"/>
      <c r="AP30" s="392"/>
      <c r="AQ30" s="392"/>
      <c r="AR30" s="392"/>
      <c r="AS30" s="442">
        <v>0</v>
      </c>
    </row>
    <row s="1877" customFormat="1" customHeight="1" ht="18.75" hidden="1">
      <c r="A31" s="1392"/>
      <c r="B31" s="1392"/>
      <c r="C31" s="1392"/>
      <c r="D31" s="1392"/>
      <c r="E31" s="1392"/>
      <c r="F31" s="1392"/>
      <c r="G31" s="1392"/>
      <c r="H31" s="1392"/>
      <c r="I31" s="1392"/>
      <c r="J31" s="1392"/>
      <c r="K31" s="1392"/>
      <c r="L31" s="1393"/>
      <c r="M31" s="1392"/>
      <c r="N31" s="1392"/>
      <c r="O31" s="1392"/>
      <c r="S31" s="2274" t="s">
        <v>508</v>
      </c>
      <c r="T31" s="2274"/>
      <c r="U31" s="1396"/>
      <c r="V31" s="2275" t="str">
        <f>IF(TITLE_NUMBER_PR_CHANGE="",IF(TITLE_NUMBER_PR="","",TITLE_NUMBER_PR),TITLE_NUMBER_PR_CHANGE)</f>
        <v/>
      </c>
      <c r="W31" s="2275"/>
      <c r="X31" s="2275"/>
      <c r="Y31" s="2275"/>
      <c r="Z31" s="2275"/>
      <c r="AA31" s="2275"/>
      <c r="AB31" s="2275"/>
      <c r="AC31" s="350"/>
      <c r="AD31" s="2275" t="str">
        <f>IF(TITLE_NUMBER_PR_CHANGE="",IF(TITLE_NUMBER_PR="","",TITLE_NUMBER_PR),TITLE_NUMBER_PR_CHANGE)</f>
        <v/>
      </c>
      <c r="AE31" s="2275"/>
      <c r="AF31" s="2275"/>
      <c r="AG31" s="2275"/>
      <c r="AH31" s="2275"/>
      <c r="AI31" s="2275"/>
      <c r="AJ31" s="2275"/>
      <c r="AK31" s="350"/>
      <c r="AL31" s="350"/>
      <c r="AM31" s="304"/>
      <c r="AN31" s="392"/>
      <c r="AO31" s="392"/>
      <c r="AP31" s="392"/>
      <c r="AQ31" s="392"/>
      <c r="AR31" s="392"/>
      <c r="AS31" s="442">
        <v>0</v>
      </c>
    </row>
    <row s="1877" customFormat="1" customHeight="1" ht="18.75" hidden="1">
      <c r="A32" s="1392"/>
      <c r="B32" s="1392"/>
      <c r="C32" s="1392"/>
      <c r="D32" s="1392"/>
      <c r="E32" s="1392"/>
      <c r="F32" s="1392"/>
      <c r="G32" s="1392"/>
      <c r="H32" s="1392"/>
      <c r="I32" s="1392"/>
      <c r="J32" s="1392"/>
      <c r="K32" s="1392"/>
      <c r="L32" s="1393"/>
      <c r="M32" s="1392"/>
      <c r="N32" s="1392"/>
      <c r="O32" s="1392"/>
      <c r="S32" s="2274" t="s">
        <v>43</v>
      </c>
      <c r="T32" s="2274"/>
      <c r="U32" s="1396"/>
      <c r="V32" s="2275" t="str">
        <f>IF(TITLE_IST_PUB_CHANGE="",IF(TITLE_IST_PUB="","",TITLE_IST_PUB),TITLE_IST_PUB_CHANGE)</f>
        <v/>
      </c>
      <c r="W32" s="2275"/>
      <c r="X32" s="2275"/>
      <c r="Y32" s="2275"/>
      <c r="Z32" s="2275"/>
      <c r="AA32" s="2275"/>
      <c r="AB32" s="2275"/>
      <c r="AC32" s="350"/>
      <c r="AD32" s="2275" t="str">
        <f>IF(TITLE_IST_PUB_CHANGE="",IF(TITLE_IST_PUB="","",TITLE_IST_PUB),TITLE_IST_PUB_CHANGE)</f>
        <v/>
      </c>
      <c r="AE32" s="2275"/>
      <c r="AF32" s="2275"/>
      <c r="AG32" s="2275"/>
      <c r="AH32" s="2275"/>
      <c r="AI32" s="2275"/>
      <c r="AJ32" s="2275"/>
      <c r="AK32" s="350"/>
      <c r="AL32" s="350"/>
      <c r="AM32" s="304"/>
      <c r="AN32" s="392"/>
      <c r="AO32" s="392"/>
      <c r="AP32" s="392"/>
      <c r="AQ32" s="392"/>
      <c r="AR32" s="392"/>
      <c r="AS32" s="442">
        <v>0</v>
      </c>
    </row>
    <row customHeight="1" ht="14.25" hidden="1">
      <c r="Q33" s="400"/>
      <c r="R33" s="400"/>
      <c r="S33" s="1299"/>
      <c r="T33" s="387"/>
      <c r="U33" s="387"/>
      <c r="V33" s="346"/>
      <c r="W33" s="346"/>
      <c r="X33" s="346"/>
      <c r="Y33" s="346"/>
      <c r="Z33" s="346"/>
      <c r="AA33" s="346"/>
      <c r="AB33" s="346"/>
      <c r="AC33" s="346"/>
      <c r="AD33" s="346"/>
      <c r="AE33" s="346"/>
      <c r="AF33" s="346"/>
      <c r="AG33" s="346"/>
      <c r="AH33" s="346"/>
      <c r="AI33" s="346"/>
      <c r="AJ33" s="346"/>
      <c r="AK33" s="346"/>
      <c r="AL33" s="533"/>
      <c r="AS33" s="1179">
        <v>0</v>
      </c>
    </row>
    <row s="1877" customFormat="1" customHeight="1" ht="18.75" hidden="1">
      <c r="A34" s="1392"/>
      <c r="B34" s="1392"/>
      <c r="C34" s="1392"/>
      <c r="D34" s="1392"/>
      <c r="E34" s="1392"/>
      <c r="F34" s="1392"/>
      <c r="G34" s="1392"/>
      <c r="H34" s="1392"/>
      <c r="I34" s="1392"/>
      <c r="J34" s="1392"/>
      <c r="K34" s="1392"/>
      <c r="L34" s="1393"/>
      <c r="M34" s="1392"/>
      <c r="N34" s="1392"/>
      <c r="O34" s="1392"/>
      <c r="S34" s="2274" t="s">
        <v>509</v>
      </c>
      <c r="T34" s="2274"/>
      <c r="U34" s="1396"/>
      <c r="V34" s="2288" t="str">
        <f>IF(TITLE_DATE_PR_CHANGE="",IF(TITLE_DATE_PR="","",TITLE_DATE_PR),TITLE_DATE_PR_CHANGE)</f>
        <v/>
      </c>
      <c r="W34" s="2288"/>
      <c r="X34" s="2288"/>
      <c r="Y34" s="2288"/>
      <c r="Z34" s="2288"/>
      <c r="AA34" s="2288"/>
      <c r="AB34" s="2288"/>
      <c r="AC34" s="350"/>
      <c r="AD34" s="2288" t="str">
        <f>IF(TITLE_DATE_PR_CHANGE="",IF(TITLE_DATE_PR="","",TITLE_DATE_PR),TITLE_DATE_PR_CHANGE)</f>
        <v/>
      </c>
      <c r="AE34" s="2288"/>
      <c r="AF34" s="2288"/>
      <c r="AG34" s="2288"/>
      <c r="AH34" s="2288"/>
      <c r="AI34" s="2288"/>
      <c r="AJ34" s="2288"/>
      <c r="AK34" s="350"/>
      <c r="AL34" s="350"/>
      <c r="AM34" s="304"/>
      <c r="AN34" s="392"/>
      <c r="AO34" s="392"/>
      <c r="AP34" s="392"/>
      <c r="AQ34" s="392"/>
      <c r="AR34" s="392"/>
      <c r="AS34" s="442">
        <v>0</v>
      </c>
    </row>
    <row s="1877" customFormat="1" customHeight="1" ht="18.75" hidden="1">
      <c r="A35" s="1392"/>
      <c r="B35" s="1392"/>
      <c r="C35" s="1392"/>
      <c r="D35" s="1392"/>
      <c r="E35" s="1392"/>
      <c r="F35" s="1392"/>
      <c r="G35" s="1392"/>
      <c r="H35" s="1392"/>
      <c r="I35" s="1392"/>
      <c r="J35" s="1392"/>
      <c r="K35" s="1392"/>
      <c r="L35" s="1393"/>
      <c r="M35" s="1392"/>
      <c r="N35" s="1392"/>
      <c r="O35" s="1392"/>
      <c r="S35" s="2274" t="s">
        <v>510</v>
      </c>
      <c r="T35" s="2274"/>
      <c r="U35" s="1396"/>
      <c r="V35" s="2275" t="str">
        <f>IF(TITLE_NUMBER_PR_CHANGE="",IF(TITLE_NUMBER_PR="","",TITLE_NUMBER_PR),TITLE_NUMBER_PR_CHANGE)</f>
        <v/>
      </c>
      <c r="W35" s="2275"/>
      <c r="X35" s="2275"/>
      <c r="Y35" s="2275"/>
      <c r="Z35" s="2275"/>
      <c r="AA35" s="2275"/>
      <c r="AB35" s="2275"/>
      <c r="AC35" s="350"/>
      <c r="AD35" s="2275" t="str">
        <f>IF(TITLE_NUMBER_PR_CHANGE="",IF(TITLE_NUMBER_PR="","",TITLE_NUMBER_PR),TITLE_NUMBER_PR_CHANGE)</f>
        <v/>
      </c>
      <c r="AE35" s="2275"/>
      <c r="AF35" s="2275"/>
      <c r="AG35" s="2275"/>
      <c r="AH35" s="2275"/>
      <c r="AI35" s="2275"/>
      <c r="AJ35" s="2275"/>
      <c r="AK35" s="350"/>
      <c r="AL35" s="350"/>
      <c r="AM35" s="304"/>
      <c r="AN35" s="392"/>
      <c r="AO35" s="392"/>
      <c r="AP35" s="392"/>
      <c r="AQ35" s="392"/>
      <c r="AR35" s="392"/>
      <c r="AS35" s="442">
        <v>0</v>
      </c>
    </row>
    <row s="1877" customFormat="1" customHeight="1" ht="0">
      <c r="A36" s="1392"/>
      <c r="B36" s="1392"/>
      <c r="C36" s="1392"/>
      <c r="D36" s="1392"/>
      <c r="E36" s="1392"/>
      <c r="F36" s="1392"/>
      <c r="G36" s="1392"/>
      <c r="H36" s="1392"/>
      <c r="I36" s="1392"/>
      <c r="J36" s="1392"/>
      <c r="K36" s="1392"/>
      <c r="L36" s="1393"/>
      <c r="M36" s="1392"/>
      <c r="N36" s="1392"/>
      <c r="O36" s="1392"/>
      <c r="S36" s="347"/>
      <c r="T36" s="347"/>
      <c r="U36" s="1364"/>
      <c r="V36" s="350"/>
      <c r="W36" s="350"/>
      <c r="X36" s="350"/>
      <c r="Y36" s="350"/>
      <c r="Z36" s="350"/>
      <c r="AA36" s="350"/>
      <c r="AB36" s="350"/>
      <c r="AC36" s="302" t="s">
        <v>511</v>
      </c>
      <c r="AD36" s="350"/>
      <c r="AE36" s="350"/>
      <c r="AF36" s="350"/>
      <c r="AG36" s="350"/>
      <c r="AH36" s="350"/>
      <c r="AI36" s="350"/>
      <c r="AJ36" s="350"/>
      <c r="AK36" s="302" t="s">
        <v>511</v>
      </c>
      <c r="AN36" s="392"/>
      <c r="AO36" s="392"/>
      <c r="AP36" s="392"/>
      <c r="AQ36" s="392"/>
      <c r="AR36" s="392"/>
      <c r="AS36" s="442">
        <v>0</v>
      </c>
    </row>
    <row customHeight="1" ht="14.699999999999998">
      <c r="Q37" s="400"/>
      <c r="R37" s="400"/>
      <c r="S37" s="1299"/>
      <c r="T37" s="387"/>
      <c r="U37" s="1268"/>
      <c r="V37" s="2276"/>
      <c r="W37" s="2276"/>
      <c r="X37" s="2276"/>
      <c r="Y37" s="2276"/>
      <c r="Z37" s="2276"/>
      <c r="AA37" s="2276"/>
      <c r="AB37" s="2276"/>
      <c r="AC37" s="2276"/>
      <c r="AD37" s="2276"/>
      <c r="AE37" s="2276"/>
      <c r="AF37" s="2276"/>
      <c r="AG37" s="2276"/>
      <c r="AH37" s="2276"/>
      <c r="AI37" s="2276"/>
      <c r="AJ37" s="2276"/>
      <c r="AK37" s="2276"/>
      <c r="AS37" s="1179">
        <v>14</v>
      </c>
    </row>
    <row customHeight="1" ht="14.699999999999998">
      <c r="Q38" s="400"/>
      <c r="R38" s="400"/>
      <c r="S38" s="2151" t="s">
        <v>384</v>
      </c>
      <c r="T38" s="2151"/>
      <c r="U38" s="2151"/>
      <c r="V38" s="2151"/>
      <c r="W38" s="2151"/>
      <c r="X38" s="2151"/>
      <c r="Y38" s="2151"/>
      <c r="Z38" s="2151"/>
      <c r="AA38" s="2151"/>
      <c r="AB38" s="2151"/>
      <c r="AC38" s="2151"/>
      <c r="AD38" s="2151"/>
      <c r="AE38" s="2151"/>
      <c r="AF38" s="2151"/>
      <c r="AG38" s="2151"/>
      <c r="AH38" s="2151"/>
      <c r="AI38" s="2151"/>
      <c r="AJ38" s="2151"/>
      <c r="AK38" s="2151"/>
      <c r="AL38" s="2151"/>
      <c r="AM38" s="2151" t="s">
        <v>385</v>
      </c>
      <c r="AS38" s="1179">
        <v>14</v>
      </c>
    </row>
    <row customHeight="1" ht="14.699999999999998">
      <c r="Q39" s="400"/>
      <c r="R39" s="400"/>
      <c r="S39" s="2297" t="s">
        <v>88</v>
      </c>
      <c r="T39" s="2233" t="s">
        <v>512</v>
      </c>
      <c r="U39" s="325"/>
      <c r="V39" s="2298" t="s">
        <v>513</v>
      </c>
      <c r="W39" s="2299"/>
      <c r="X39" s="2299"/>
      <c r="Y39" s="2299"/>
      <c r="Z39" s="2299"/>
      <c r="AA39" s="2299"/>
      <c r="AB39" s="2300"/>
      <c r="AC39" s="2301" t="s">
        <v>514</v>
      </c>
      <c r="AD39" s="2298" t="s">
        <v>513</v>
      </c>
      <c r="AE39" s="2299"/>
      <c r="AF39" s="2299"/>
      <c r="AG39" s="2299"/>
      <c r="AH39" s="2299"/>
      <c r="AI39" s="2299"/>
      <c r="AJ39" s="2300"/>
      <c r="AK39" s="2301" t="s">
        <v>515</v>
      </c>
      <c r="AL39" s="2304" t="s">
        <v>516</v>
      </c>
      <c r="AM39" s="2151"/>
      <c r="AS39" s="1179">
        <v>14</v>
      </c>
    </row>
    <row customHeight="1" ht="35.699999999999996">
      <c r="Q40" s="400"/>
      <c r="R40" s="400"/>
      <c r="S40" s="2297"/>
      <c r="T40" s="2233"/>
      <c r="U40" s="1055"/>
      <c r="V40" s="2284" t="s">
        <v>517</v>
      </c>
      <c r="W40" s="2307"/>
      <c r="X40" s="2286" t="s">
        <v>519</v>
      </c>
      <c r="Y40" s="2287"/>
      <c r="Z40" s="2286" t="s">
        <v>520</v>
      </c>
      <c r="AA40" s="2293"/>
      <c r="AB40" s="2287"/>
      <c r="AC40" s="2302"/>
      <c r="AD40" s="2284" t="s">
        <v>534</v>
      </c>
      <c r="AE40" s="2307"/>
      <c r="AF40" s="2286" t="s">
        <v>519</v>
      </c>
      <c r="AG40" s="2287"/>
      <c r="AH40" s="2286" t="s">
        <v>520</v>
      </c>
      <c r="AI40" s="2293"/>
      <c r="AJ40" s="2287"/>
      <c r="AK40" s="2302"/>
      <c r="AL40" s="2305"/>
      <c r="AM40" s="2151"/>
      <c r="AS40" s="1179">
        <v>34</v>
      </c>
    </row>
    <row customHeight="1" ht="35.699999999999996">
      <c r="A41" s="1394"/>
      <c r="B41" s="1394" t="s">
        <v>223</v>
      </c>
      <c r="C41" s="1394" t="s">
        <v>224</v>
      </c>
      <c r="D41" s="1394" t="s">
        <v>225</v>
      </c>
      <c r="E41" s="1388" t="s">
        <v>521</v>
      </c>
      <c r="F41" s="1388" t="s">
        <v>522</v>
      </c>
      <c r="G41" s="1388" t="s">
        <v>523</v>
      </c>
      <c r="H41" s="1388" t="s">
        <v>524</v>
      </c>
      <c r="I41" s="1388" t="s">
        <v>525</v>
      </c>
      <c r="J41" s="1388" t="s">
        <v>526</v>
      </c>
      <c r="K41" s="1388" t="s">
        <v>527</v>
      </c>
      <c r="L41" s="1388" t="s">
        <v>502</v>
      </c>
      <c r="Q41" s="400"/>
      <c r="R41" s="400"/>
      <c r="S41" s="2297"/>
      <c r="T41" s="2233"/>
      <c r="U41" s="326"/>
      <c r="V41" s="2285"/>
      <c r="W41" s="2308"/>
      <c r="X41" s="1246" t="s">
        <v>528</v>
      </c>
      <c r="Y41" s="1246" t="s">
        <v>529</v>
      </c>
      <c r="Z41" s="1362" t="s">
        <v>530</v>
      </c>
      <c r="AA41" s="2294" t="s">
        <v>531</v>
      </c>
      <c r="AB41" s="2295"/>
      <c r="AC41" s="2303"/>
      <c r="AD41" s="2285"/>
      <c r="AE41" s="2308"/>
      <c r="AF41" s="1246" t="s">
        <v>528</v>
      </c>
      <c r="AG41" s="1246" t="s">
        <v>529</v>
      </c>
      <c r="AH41" s="1362" t="s">
        <v>530</v>
      </c>
      <c r="AI41" s="2294" t="s">
        <v>531</v>
      </c>
      <c r="AJ41" s="2295"/>
      <c r="AK41" s="2303"/>
      <c r="AL41" s="2306"/>
      <c r="AM41" s="2151"/>
      <c r="AS41" s="1179">
        <v>34</v>
      </c>
    </row>
    <row s="1665" customFormat="1" customHeight="1" ht="11.25" hidden="1">
      <c r="A42" s="1394"/>
      <c r="B42" s="1394"/>
      <c r="C42" s="1394"/>
      <c r="D42" s="1394"/>
      <c r="E42" s="1394"/>
      <c r="F42" s="1394"/>
      <c r="G42" s="1394"/>
      <c r="H42" s="1394"/>
      <c r="I42" s="1394"/>
      <c r="J42" s="1394"/>
      <c r="K42" s="1394"/>
      <c r="L42" s="1388"/>
      <c r="M42" s="1386"/>
      <c r="N42" s="1386"/>
      <c r="O42" s="1386"/>
      <c r="P42" s="1270"/>
      <c r="Q42" s="1271"/>
      <c r="R42" s="1278">
        <v>1</v>
      </c>
      <c r="S42" s="1301" t="s">
        <v>170</v>
      </c>
      <c r="T42" s="1279" t="s">
        <v>103</v>
      </c>
      <c r="U42" s="1269" t="str">
        <f>OFFSET(U42,0,-1)</f>
        <v>2</v>
      </c>
      <c r="V42" s="1359">
        <f>OFFSET(V42,0,-1)+1</f>
        <v>3</v>
      </c>
      <c r="W42" s="1359"/>
      <c r="X42" s="1359">
        <f>OFFSET(X42,0,-1)+1</f>
        <v>1</v>
      </c>
      <c r="Y42" s="1359">
        <f>OFFSET(Y42,0,-1)+1</f>
        <v>2</v>
      </c>
      <c r="Z42" s="1359">
        <f>OFFSET(Z42,0,-1)+1</f>
        <v>3</v>
      </c>
      <c r="AA42" s="2296">
        <f>OFFSET(AA42,0,-1)+1</f>
        <v>4</v>
      </c>
      <c r="AB42" s="2296"/>
      <c r="AC42" s="1359">
        <f>OFFSET(AC42,0,-2)+1</f>
        <v>5</v>
      </c>
      <c r="AD42" s="1359">
        <f>OFFSET(AD42,0,-1)+1</f>
        <v>6</v>
      </c>
      <c r="AE42" s="1359"/>
      <c r="AF42" s="1359">
        <f>OFFSET(AF42,0,-1)+1</f>
        <v>1</v>
      </c>
      <c r="AG42" s="1359">
        <f>OFFSET(AG42,0,-1)+1</f>
        <v>2</v>
      </c>
      <c r="AH42" s="1359">
        <f>OFFSET(AH42,0,-1)+1</f>
        <v>3</v>
      </c>
      <c r="AI42" s="2296">
        <f>OFFSET(AI42,0,-1)+1</f>
        <v>4</v>
      </c>
      <c r="AJ42" s="2296"/>
      <c r="AK42" s="1359">
        <f>OFFSET(AK42,0,-2)+1</f>
        <v>5</v>
      </c>
      <c r="AL42" s="1269">
        <f>OFFSET(AL42,0,-1)</f>
        <v>5</v>
      </c>
      <c r="AM42" s="1359">
        <f>OFFSET(AM42,0,-1)+1</f>
        <v>6</v>
      </c>
      <c r="AN42" s="535"/>
      <c r="AO42" s="535"/>
      <c r="AP42" s="535"/>
      <c r="AQ42" s="535"/>
      <c r="AR42" s="535"/>
      <c r="AS42" s="520">
        <v>0</v>
      </c>
    </row>
    <row customHeight="1" ht="22.049999999999997">
      <c r="A43" s="1387" t="s">
        <v>266</v>
      </c>
      <c r="B43" s="1387"/>
      <c r="C43" s="1387"/>
      <c r="D43" s="1387"/>
      <c r="E43" s="2282">
        <v>1</v>
      </c>
      <c r="F43" s="1387"/>
      <c r="G43" s="1387"/>
      <c r="H43" s="1387"/>
      <c r="I43" s="1387"/>
      <c r="J43" s="1387"/>
      <c r="K43" s="1387"/>
      <c r="L43" s="1388"/>
      <c r="M43" s="1389"/>
      <c r="N43" s="1389"/>
      <c r="O43" s="1389"/>
      <c r="P43" s="385"/>
      <c r="Q43" s="384"/>
      <c r="R43" s="379"/>
      <c r="S43" s="1360">
        <f>INDEX(PT_DIFFERENTIATION_NUM_NTAR,MATCH(A43,PT_DIFFERENTIATION_NTAR_ID,0))</f>
        <v>0</v>
      </c>
      <c r="T43" s="322" t="s">
        <v>211</v>
      </c>
      <c r="U43" s="324"/>
      <c r="V43" s="2266"/>
      <c r="W43" s="2267"/>
      <c r="X43" s="2267"/>
      <c r="Y43" s="2267"/>
      <c r="Z43" s="2267"/>
      <c r="AA43" s="2267"/>
      <c r="AB43" s="2267"/>
      <c r="AC43" s="2268"/>
      <c r="AD43" s="2266" t="str">
        <f>INDEX(PT_DIFFERENTIATION_NTAR,MATCH(A43,PT_DIFFERENTIATION_NTAR_ID,0))</f>
        <v/>
      </c>
      <c r="AE43" s="2267"/>
      <c r="AF43" s="2267"/>
      <c r="AG43" s="2267"/>
      <c r="AH43" s="2267"/>
      <c r="AI43" s="2267"/>
      <c r="AJ43" s="2267"/>
      <c r="AK43" s="2267"/>
      <c r="AL43" s="2268"/>
      <c r="AM43" s="12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24"/>
      <c r="AP43" s="524" t="str">
        <f>IF(T43="","",T43)</f>
        <v>Наименование тарифа</v>
      </c>
      <c r="AQ43" s="524"/>
      <c r="AR43" s="524"/>
      <c r="AS43" s="1179">
        <v>21</v>
      </c>
    </row>
    <row customHeight="1" ht="22.049999999999997">
      <c r="A44" s="1387" t="s">
        <v>266</v>
      </c>
      <c r="B44" s="1387" t="s">
        <v>267</v>
      </c>
      <c r="C44" s="1387"/>
      <c r="D44" s="1387"/>
      <c r="E44" s="2283"/>
      <c r="F44" s="2282">
        <v>1</v>
      </c>
      <c r="G44" s="1387"/>
      <c r="H44" s="1387"/>
      <c r="I44" s="1387"/>
      <c r="J44" s="1387"/>
      <c r="K44" s="1387"/>
      <c r="L44" s="1388"/>
      <c r="M44" s="1389"/>
      <c r="N44" s="1389"/>
      <c r="O44" s="1389"/>
      <c r="P44" s="1356"/>
      <c r="Q44" s="376"/>
      <c r="R44" s="377"/>
      <c r="S44" s="1360" t="str">
        <f>INDEX(PT_DIFFERENTIATION_NUM_TER,MATCH(B44,PT_DIFFERENTIATION_TER_ID,0))</f>
        <v>.</v>
      </c>
      <c r="T44" s="332" t="s">
        <v>481</v>
      </c>
      <c r="U44" s="324"/>
      <c r="V44" s="2266"/>
      <c r="W44" s="2267"/>
      <c r="X44" s="2267"/>
      <c r="Y44" s="2267"/>
      <c r="Z44" s="2267"/>
      <c r="AA44" s="2267"/>
      <c r="AB44" s="2267"/>
      <c r="AC44" s="2268"/>
      <c r="AD44" s="2266" t="str">
        <f>INDEX(PT_DIFFERENTIATION_TER,MATCH(B44,PT_DIFFERENTIATION_TER_ID,0))</f>
        <v/>
      </c>
      <c r="AE44" s="2267"/>
      <c r="AF44" s="2267"/>
      <c r="AG44" s="2267"/>
      <c r="AH44" s="2267"/>
      <c r="AI44" s="2267"/>
      <c r="AJ44" s="2267"/>
      <c r="AK44" s="2267"/>
      <c r="AL44" s="2268"/>
      <c r="AM44" s="1282" t="s">
        <v>482</v>
      </c>
      <c r="AO44" s="524"/>
      <c r="AP44" s="524" t="str">
        <f>IF(T44="","",T44)</f>
        <v>Территория действия тарифа</v>
      </c>
      <c r="AQ44" s="524"/>
      <c r="AR44" s="524"/>
      <c r="AS44" s="1179">
        <v>21</v>
      </c>
    </row>
    <row customHeight="1" ht="24">
      <c r="A45" s="1387" t="s">
        <v>266</v>
      </c>
      <c r="B45" s="1387" t="s">
        <v>267</v>
      </c>
      <c r="C45" s="1387" t="s">
        <v>268</v>
      </c>
      <c r="D45" s="1387"/>
      <c r="E45" s="2283"/>
      <c r="F45" s="2283"/>
      <c r="G45" s="2282">
        <v>1</v>
      </c>
      <c r="H45" s="1387"/>
      <c r="I45" s="1387"/>
      <c r="J45" s="1387"/>
      <c r="K45" s="1387"/>
      <c r="L45" s="1388"/>
      <c r="M45" s="1389"/>
      <c r="N45" s="1389"/>
      <c r="O45" s="1389"/>
      <c r="P45" s="378"/>
      <c r="Q45" s="376"/>
      <c r="R45" s="377"/>
      <c r="S45" s="1360" t="str">
        <f>INDEX(PT_DIFFERENTIATION_NUM_CS,MATCH(C45,PT_DIFFERENTIATION_CS_ID,0))</f>
        <v>..</v>
      </c>
      <c r="T45" s="333" t="s">
        <v>483</v>
      </c>
      <c r="U45" s="324"/>
      <c r="V45" s="2266"/>
      <c r="W45" s="2267"/>
      <c r="X45" s="2267"/>
      <c r="Y45" s="2267"/>
      <c r="Z45" s="2267"/>
      <c r="AA45" s="2267"/>
      <c r="AB45" s="2267"/>
      <c r="AC45" s="2268"/>
      <c r="AD45" s="2266" t="str">
        <f>INDEX(PT_DIFFERENTIATION_CS,MATCH(C45,PT_DIFFERENTIATION_CS_ID,0))</f>
        <v/>
      </c>
      <c r="AE45" s="2267"/>
      <c r="AF45" s="2267"/>
      <c r="AG45" s="2267"/>
      <c r="AH45" s="2267"/>
      <c r="AI45" s="2267"/>
      <c r="AJ45" s="2267"/>
      <c r="AK45" s="2267"/>
      <c r="AL45" s="2268"/>
      <c r="AM45" s="1282" t="s">
        <v>484</v>
      </c>
      <c r="AO45" s="524"/>
      <c r="AP45" s="524" t="str">
        <f>IF(T45="","",T45)</f>
        <v>Наименование системы теплоснабжения </v>
      </c>
      <c r="AQ45" s="524"/>
      <c r="AR45" s="524"/>
      <c r="AS45" s="1179">
        <v>23</v>
      </c>
    </row>
    <row customHeight="1" ht="22.049999999999997">
      <c r="A46" s="1387" t="s">
        <v>266</v>
      </c>
      <c r="B46" s="1387" t="s">
        <v>267</v>
      </c>
      <c r="C46" s="1387" t="s">
        <v>268</v>
      </c>
      <c r="D46" s="1387" t="s">
        <v>269</v>
      </c>
      <c r="E46" s="2283"/>
      <c r="F46" s="2283"/>
      <c r="G46" s="2283"/>
      <c r="H46" s="2282">
        <v>1</v>
      </c>
      <c r="I46" s="1387"/>
      <c r="J46" s="1387"/>
      <c r="K46" s="1387"/>
      <c r="L46" s="1388"/>
      <c r="M46" s="1389"/>
      <c r="N46" s="1389"/>
      <c r="O46" s="1389"/>
      <c r="P46" s="378"/>
      <c r="Q46" s="376"/>
      <c r="R46" s="377"/>
      <c r="S46" s="1360" t="str">
        <f>INDEX(PT_DIFFERENTIATION_NUM_IST_TE,MATCH(D46,PT_DIFFERENTIATION_IST_TE_ID,0))</f>
        <v>...</v>
      </c>
      <c r="T46" s="334" t="s">
        <v>485</v>
      </c>
      <c r="U46" s="324"/>
      <c r="V46" s="2266"/>
      <c r="W46" s="2267"/>
      <c r="X46" s="2267"/>
      <c r="Y46" s="2267"/>
      <c r="Z46" s="2267"/>
      <c r="AA46" s="2267"/>
      <c r="AB46" s="2267"/>
      <c r="AC46" s="2268"/>
      <c r="AD46" s="2266" t="str">
        <f>INDEX(PT_DIFFERENTIATION_IST_TE,MATCH(D46,PT_DIFFERENTIATION_IST_TE_ID,0))</f>
        <v/>
      </c>
      <c r="AE46" s="2267"/>
      <c r="AF46" s="2267"/>
      <c r="AG46" s="2267"/>
      <c r="AH46" s="2267"/>
      <c r="AI46" s="2267"/>
      <c r="AJ46" s="2267"/>
      <c r="AK46" s="2267"/>
      <c r="AL46" s="2268"/>
      <c r="AM46" s="1282" t="s">
        <v>486</v>
      </c>
      <c r="AO46" s="524"/>
      <c r="AP46" s="524" t="str">
        <f>IF(T46="","",T46)</f>
        <v>Источник тепловой энергии  </v>
      </c>
      <c r="AQ46" s="524"/>
      <c r="AR46" s="524"/>
      <c r="AS46" s="1179">
        <v>21</v>
      </c>
    </row>
    <row s="1666" customFormat="1" customHeight="1" ht="0">
      <c r="A47" s="1367" t="s">
        <v>266</v>
      </c>
      <c r="B47" s="1367" t="s">
        <v>267</v>
      </c>
      <c r="C47" s="1367" t="s">
        <v>268</v>
      </c>
      <c r="D47" s="1367" t="s">
        <v>269</v>
      </c>
      <c r="E47" s="2283"/>
      <c r="F47" s="2283"/>
      <c r="G47" s="2283"/>
      <c r="H47" s="2283"/>
      <c r="I47" s="2280" t="str">
        <f>S46&amp;".1"</f>
        <v>....1</v>
      </c>
      <c r="J47" s="1367"/>
      <c r="K47" s="1367"/>
      <c r="L47" s="1370" t="s">
        <v>487</v>
      </c>
      <c r="M47" s="534"/>
      <c r="N47" s="534"/>
      <c r="O47" s="534"/>
      <c r="P47" s="2281">
        <v>1</v>
      </c>
      <c r="Q47" s="1355"/>
      <c r="R47" s="380"/>
      <c r="S47" s="1066"/>
      <c r="T47" s="1407"/>
      <c r="U47" s="1408"/>
      <c r="V47" s="2320"/>
      <c r="W47" s="2321"/>
      <c r="X47" s="2321"/>
      <c r="Y47" s="2321"/>
      <c r="Z47" s="2321"/>
      <c r="AA47" s="2321"/>
      <c r="AB47" s="2321"/>
      <c r="AC47" s="2322"/>
      <c r="AD47" s="2320"/>
      <c r="AE47" s="2321"/>
      <c r="AF47" s="2321"/>
      <c r="AG47" s="2321"/>
      <c r="AH47" s="2321"/>
      <c r="AI47" s="2321"/>
      <c r="AJ47" s="2321"/>
      <c r="AK47" s="2321"/>
      <c r="AL47" s="2322"/>
      <c r="AM47" s="1409"/>
      <c r="AO47" s="524"/>
      <c r="AP47" s="524" t="str">
        <f>IF(T47="","",T47)</f>
        <v/>
      </c>
      <c r="AQ47" s="524"/>
      <c r="AR47" s="524"/>
      <c r="AS47" s="535">
        <v>0</v>
      </c>
    </row>
    <row customHeight="1" ht="22.049999999999997">
      <c r="A48" s="1387" t="s">
        <v>266</v>
      </c>
      <c r="B48" s="1387" t="s">
        <v>267</v>
      </c>
      <c r="C48" s="1387" t="s">
        <v>268</v>
      </c>
      <c r="D48" s="1387" t="s">
        <v>269</v>
      </c>
      <c r="E48" s="2283"/>
      <c r="F48" s="2283"/>
      <c r="G48" s="2283"/>
      <c r="H48" s="2283"/>
      <c r="I48" s="2310"/>
      <c r="J48" s="2280" t="str">
        <f>S46&amp;".1"</f>
        <v>....1</v>
      </c>
      <c r="K48" s="1387"/>
      <c r="L48" s="1388" t="s">
        <v>490</v>
      </c>
      <c r="P48" s="2281"/>
      <c r="Q48" s="2281">
        <v>1</v>
      </c>
      <c r="R48" s="381"/>
      <c r="S48" s="1360" t="str">
        <f>$J48</f>
        <v>....1</v>
      </c>
      <c r="T48" s="310" t="s">
        <v>491</v>
      </c>
      <c r="U48" s="324"/>
      <c r="V48" s="2269"/>
      <c r="W48" s="2270"/>
      <c r="X48" s="2270"/>
      <c r="Y48" s="2270"/>
      <c r="Z48" s="2270"/>
      <c r="AA48" s="2270"/>
      <c r="AB48" s="2270"/>
      <c r="AC48" s="2271"/>
      <c r="AD48" s="2269"/>
      <c r="AE48" s="2270"/>
      <c r="AF48" s="2270"/>
      <c r="AG48" s="2270"/>
      <c r="AH48" s="2270"/>
      <c r="AI48" s="2270"/>
      <c r="AJ48" s="2270"/>
      <c r="AK48" s="2270"/>
      <c r="AL48" s="2271"/>
      <c r="AM48" s="1282" t="s">
        <v>492</v>
      </c>
      <c r="AO48" s="524"/>
      <c r="AP48" s="524" t="str">
        <f>IF(T48="","",T48)</f>
        <v>Группа потребителей</v>
      </c>
      <c r="AQ48" s="524"/>
      <c r="AR48" s="524"/>
      <c r="AS48" s="1179">
        <v>21</v>
      </c>
    </row>
    <row customHeight="1" ht="22.049999999999997">
      <c r="A49" s="1387" t="s">
        <v>266</v>
      </c>
      <c r="B49" s="1387" t="s">
        <v>267</v>
      </c>
      <c r="C49" s="1387" t="s">
        <v>268</v>
      </c>
      <c r="D49" s="1387" t="s">
        <v>269</v>
      </c>
      <c r="E49" s="2283"/>
      <c r="F49" s="2283"/>
      <c r="G49" s="2283"/>
      <c r="H49" s="2283"/>
      <c r="I49" s="2310"/>
      <c r="J49" s="2310"/>
      <c r="K49" s="2280" t="str">
        <f>J48&amp;".1"</f>
        <v>....1.1</v>
      </c>
      <c r="L49" s="1388" t="s">
        <v>493</v>
      </c>
      <c r="P49" s="2281"/>
      <c r="Q49" s="2281"/>
      <c r="R49" s="381">
        <v>1</v>
      </c>
      <c r="S49" s="1360" t="str">
        <f>$K49</f>
        <v>....1.1</v>
      </c>
      <c r="T49" s="1371"/>
      <c r="U49" s="324"/>
      <c r="V49" s="775"/>
      <c r="W49" s="349"/>
      <c r="X49" s="775"/>
      <c r="Y49" s="1281"/>
      <c r="Z49" s="2289"/>
      <c r="AA49" s="2131" t="s">
        <v>66</v>
      </c>
      <c r="AB49" s="2289"/>
      <c r="AC49" s="2131" t="s">
        <v>66</v>
      </c>
      <c r="AD49" s="775"/>
      <c r="AE49" s="349"/>
      <c r="AF49" s="775"/>
      <c r="AG49" s="1281"/>
      <c r="AH49" s="2289"/>
      <c r="AI49" s="2131" t="s">
        <v>66</v>
      </c>
      <c r="AJ49" s="2311"/>
      <c r="AK49" s="2131" t="s">
        <v>66</v>
      </c>
      <c r="AL49" s="1372"/>
      <c r="AM49" s="2277" t="s">
        <v>535</v>
      </c>
      <c r="AN49" s="535">
        <f>STRCHECKDATE(V50:AL50)</f>
      </c>
      <c r="AO49" s="524"/>
      <c r="AP49" s="524" t="str">
        <f>IF(T49="","",T49)</f>
        <v/>
      </c>
      <c r="AQ49" s="524"/>
      <c r="AR49" s="524"/>
      <c r="AS49" s="1179">
        <v>21</v>
      </c>
    </row>
    <row customHeight="1" ht="1.05">
      <c r="A50" s="1387" t="s">
        <v>266</v>
      </c>
      <c r="B50" s="1387" t="s">
        <v>267</v>
      </c>
      <c r="C50" s="1387" t="s">
        <v>268</v>
      </c>
      <c r="D50" s="1387" t="s">
        <v>269</v>
      </c>
      <c r="E50" s="2283"/>
      <c r="F50" s="2283"/>
      <c r="G50" s="2283"/>
      <c r="H50" s="2283"/>
      <c r="I50" s="2310"/>
      <c r="J50" s="2310"/>
      <c r="K50" s="2280"/>
      <c r="L50" s="1388"/>
      <c r="P50" s="2281"/>
      <c r="Q50" s="2281"/>
      <c r="R50" s="381"/>
      <c r="S50" s="1366"/>
      <c r="T50" s="324"/>
      <c r="U50" s="324"/>
      <c r="V50" s="349"/>
      <c r="W50" s="349"/>
      <c r="X50" s="349"/>
      <c r="Y50" s="352" t="str">
        <f>Z49&amp;"-"&amp;AB49</f>
        <v>-</v>
      </c>
      <c r="Z50" s="2290"/>
      <c r="AA50" s="2131"/>
      <c r="AB50" s="2290"/>
      <c r="AC50" s="2131"/>
      <c r="AD50" s="349"/>
      <c r="AE50" s="349"/>
      <c r="AF50" s="349"/>
      <c r="AG50" s="352" t="str">
        <f>AH49&amp;"-"&amp;AJ49</f>
        <v>-</v>
      </c>
      <c r="AH50" s="2290"/>
      <c r="AI50" s="2131"/>
      <c r="AJ50" s="2312"/>
      <c r="AK50" s="2131"/>
      <c r="AL50" s="1373"/>
      <c r="AM50" s="2278"/>
      <c r="AO50" s="524"/>
      <c r="AP50" s="524" t="str">
        <f>IF(T50="","",T50)</f>
        <v/>
      </c>
      <c r="AQ50" s="524"/>
      <c r="AR50" s="524"/>
      <c r="AS50" s="1179">
        <v>1</v>
      </c>
    </row>
    <row customHeight="1" ht="11.549999999999999">
      <c r="A51" s="1387" t="s">
        <v>266</v>
      </c>
      <c r="B51" s="1387" t="s">
        <v>267</v>
      </c>
      <c r="C51" s="1387" t="s">
        <v>268</v>
      </c>
      <c r="D51" s="1387" t="s">
        <v>269</v>
      </c>
      <c r="E51" s="2283"/>
      <c r="F51" s="2283"/>
      <c r="G51" s="2283"/>
      <c r="H51" s="2283"/>
      <c r="I51" s="2310"/>
      <c r="J51" s="2280"/>
      <c r="K51" s="1387"/>
      <c r="L51" s="1388"/>
      <c r="P51" s="2281"/>
      <c r="Q51" s="2281"/>
      <c r="R51" s="380"/>
      <c r="S51" s="1302"/>
      <c r="T51" s="311" t="s">
        <v>495</v>
      </c>
      <c r="U51" s="391"/>
      <c r="V51" s="391"/>
      <c r="W51" s="391"/>
      <c r="X51" s="391"/>
      <c r="Y51" s="391"/>
      <c r="Z51" s="391"/>
      <c r="AA51" s="391"/>
      <c r="AB51" s="391"/>
      <c r="AC51" s="391"/>
      <c r="AD51" s="391"/>
      <c r="AE51" s="391"/>
      <c r="AF51" s="391"/>
      <c r="AG51" s="391"/>
      <c r="AH51" s="391"/>
      <c r="AI51" s="391"/>
      <c r="AJ51" s="391"/>
      <c r="AK51" s="391"/>
      <c r="AL51" s="348"/>
      <c r="AM51" s="2279"/>
      <c r="AO51" s="524"/>
      <c r="AP51" s="524" t="str">
        <f>IF(T51="","",T51)</f>
        <v>Добавить вид теплоносителя (параметры теплоносителя)</v>
      </c>
      <c r="AQ51" s="524"/>
      <c r="AR51" s="524"/>
      <c r="AS51" s="1179">
        <v>11</v>
      </c>
    </row>
    <row customHeight="1" ht="11.549999999999999">
      <c r="A52" s="1387" t="s">
        <v>266</v>
      </c>
      <c r="B52" s="1387" t="s">
        <v>267</v>
      </c>
      <c r="C52" s="1387" t="s">
        <v>268</v>
      </c>
      <c r="D52" s="1387" t="s">
        <v>269</v>
      </c>
      <c r="E52" s="2283"/>
      <c r="F52" s="2283"/>
      <c r="G52" s="2283"/>
      <c r="H52" s="2283"/>
      <c r="I52" s="2280"/>
      <c r="J52" s="1387"/>
      <c r="K52" s="1387"/>
      <c r="L52" s="1388"/>
      <c r="P52" s="2281"/>
      <c r="Q52" s="1355"/>
      <c r="R52" s="380"/>
      <c r="S52" s="1302"/>
      <c r="T52" s="389" t="s">
        <v>496</v>
      </c>
      <c r="U52" s="391"/>
      <c r="V52" s="391"/>
      <c r="W52" s="391"/>
      <c r="X52" s="391"/>
      <c r="Y52" s="391"/>
      <c r="Z52" s="391"/>
      <c r="AA52" s="391"/>
      <c r="AB52" s="391"/>
      <c r="AC52" s="390"/>
      <c r="AD52" s="391"/>
      <c r="AE52" s="391"/>
      <c r="AF52" s="391"/>
      <c r="AG52" s="391"/>
      <c r="AH52" s="391"/>
      <c r="AI52" s="391"/>
      <c r="AJ52" s="391"/>
      <c r="AK52" s="390"/>
      <c r="AL52" s="391"/>
      <c r="AM52" s="327"/>
      <c r="AO52" s="524"/>
      <c r="AP52" s="524" t="str">
        <f>IF(T52="","",T52)</f>
        <v>Добавить группу потребителей</v>
      </c>
      <c r="AQ52" s="524"/>
      <c r="AR52" s="524"/>
      <c r="AS52" s="1179">
        <v>11</v>
      </c>
    </row>
    <row customHeight="1" ht="0">
      <c r="A53" s="1387" t="s">
        <v>266</v>
      </c>
      <c r="B53" s="1387" t="s">
        <v>267</v>
      </c>
      <c r="C53" s="1387" t="s">
        <v>268</v>
      </c>
      <c r="D53" s="1387" t="s">
        <v>269</v>
      </c>
      <c r="E53" s="2283"/>
      <c r="F53" s="2283"/>
      <c r="G53" s="2283"/>
      <c r="H53" s="2282"/>
      <c r="I53" s="1387"/>
      <c r="J53" s="1387"/>
      <c r="K53" s="1387"/>
      <c r="L53" s="1388"/>
      <c r="M53" s="1389"/>
      <c r="N53" s="1389"/>
      <c r="O53" s="561"/>
      <c r="P53" s="384"/>
      <c r="Q53" s="399"/>
      <c r="R53" s="379"/>
      <c r="S53" s="1410"/>
      <c r="T53" s="1411"/>
      <c r="U53" s="1412"/>
      <c r="V53" s="1412"/>
      <c r="W53" s="1412"/>
      <c r="X53" s="1412"/>
      <c r="Y53" s="1412"/>
      <c r="Z53" s="1412"/>
      <c r="AA53" s="1412"/>
      <c r="AB53" s="1412"/>
      <c r="AC53" s="1412"/>
      <c r="AD53" s="1412"/>
      <c r="AE53" s="1412"/>
      <c r="AF53" s="1412"/>
      <c r="AG53" s="1412"/>
      <c r="AH53" s="1412"/>
      <c r="AI53" s="1412"/>
      <c r="AJ53" s="1412"/>
      <c r="AK53" s="1412"/>
      <c r="AL53" s="1412"/>
      <c r="AM53" s="1413"/>
      <c r="AO53" s="524"/>
      <c r="AP53" s="524" t="str">
        <f>IF(T53="","",T53)</f>
        <v/>
      </c>
      <c r="AQ53" s="524"/>
      <c r="AR53" s="524"/>
      <c r="AS53" s="1179">
        <v>0</v>
      </c>
    </row>
    <row s="1666" customFormat="1" customHeight="1" ht="1.05">
      <c r="A54" s="1367" t="s">
        <v>266</v>
      </c>
      <c r="B54" s="1367" t="s">
        <v>267</v>
      </c>
      <c r="C54" s="1367" t="s">
        <v>268</v>
      </c>
      <c r="D54" s="1338"/>
      <c r="E54" s="2283"/>
      <c r="F54" s="2283"/>
      <c r="G54" s="2282"/>
      <c r="H54" s="1338"/>
      <c r="I54" s="1338"/>
      <c r="J54" s="1338"/>
      <c r="K54" s="1338"/>
      <c r="L54" s="1363"/>
      <c r="M54" s="1339"/>
      <c r="N54" s="1339"/>
      <c r="P54" s="1340"/>
      <c r="Q54" s="1341"/>
      <c r="R54" s="1340"/>
      <c r="S54" s="1346"/>
      <c r="T54" s="1349" t="s">
        <v>498</v>
      </c>
      <c r="U54" s="1348"/>
      <c r="V54" s="1348"/>
      <c r="W54" s="1348"/>
      <c r="X54" s="1348"/>
      <c r="Y54" s="1348"/>
      <c r="Z54" s="1348"/>
      <c r="AA54" s="1348"/>
      <c r="AB54" s="1348"/>
      <c r="AC54" s="1348"/>
      <c r="AD54" s="1348"/>
      <c r="AE54" s="1348"/>
      <c r="AF54" s="1348"/>
      <c r="AG54" s="1348"/>
      <c r="AH54" s="1348"/>
      <c r="AI54" s="1348"/>
      <c r="AJ54" s="1348"/>
      <c r="AK54" s="1348"/>
      <c r="AL54" s="1348"/>
      <c r="AM54" s="1348"/>
      <c r="AO54" s="813"/>
      <c r="AP54" s="813" t="str">
        <f>IF(T54="","",T54)</f>
        <v>Добавить источник для дифференциации</v>
      </c>
      <c r="AQ54" s="813"/>
      <c r="AR54" s="813"/>
      <c r="AS54" s="542">
        <v>1</v>
      </c>
    </row>
    <row s="1666" customFormat="1" customHeight="1" ht="1.05">
      <c r="A55" s="1367" t="s">
        <v>266</v>
      </c>
      <c r="B55" s="1367" t="s">
        <v>267</v>
      </c>
      <c r="C55" s="1338"/>
      <c r="D55" s="1338"/>
      <c r="E55" s="2283"/>
      <c r="F55" s="2282"/>
      <c r="G55" s="1338"/>
      <c r="H55" s="1338"/>
      <c r="I55" s="1338"/>
      <c r="J55" s="1338"/>
      <c r="K55" s="1338"/>
      <c r="L55" s="1363"/>
      <c r="M55" s="1345"/>
      <c r="N55" s="1345"/>
      <c r="P55" s="1340"/>
      <c r="Q55" s="1341"/>
      <c r="R55" s="1340"/>
      <c r="S55" s="1346"/>
      <c r="T55" s="1349" t="s">
        <v>499</v>
      </c>
      <c r="U55" s="1348"/>
      <c r="V55" s="1348"/>
      <c r="W55" s="1348"/>
      <c r="X55" s="1348"/>
      <c r="Y55" s="1348"/>
      <c r="Z55" s="1348"/>
      <c r="AA55" s="1348"/>
      <c r="AB55" s="1348"/>
      <c r="AC55" s="1348"/>
      <c r="AD55" s="1348"/>
      <c r="AE55" s="1348"/>
      <c r="AF55" s="1348"/>
      <c r="AG55" s="1348"/>
      <c r="AH55" s="1348"/>
      <c r="AI55" s="1348"/>
      <c r="AJ55" s="1348"/>
      <c r="AK55" s="1348"/>
      <c r="AL55" s="1348"/>
      <c r="AM55" s="1348"/>
      <c r="AO55" s="813"/>
      <c r="AP55" s="813" t="str">
        <f>IF(T55="","",T55)</f>
        <v>Добавить централизованную систему для дифференциации</v>
      </c>
      <c r="AQ55" s="813"/>
      <c r="AR55" s="813"/>
      <c r="AS55" s="542">
        <v>1</v>
      </c>
    </row>
    <row s="1666" customFormat="1" customHeight="1" ht="1.05">
      <c r="A56" s="1367" t="s">
        <v>266</v>
      </c>
      <c r="B56" s="1367"/>
      <c r="C56" s="1367"/>
      <c r="D56" s="1367"/>
      <c r="E56" s="2282"/>
      <c r="F56" s="1367"/>
      <c r="G56" s="1367"/>
      <c r="H56" s="1367"/>
      <c r="I56" s="1367"/>
      <c r="J56" s="1367"/>
      <c r="K56" s="1367"/>
      <c r="L56" s="1370"/>
      <c r="M56" s="1345"/>
      <c r="N56" s="1345"/>
      <c r="O56" s="542"/>
      <c r="P56" s="404"/>
      <c r="Q56" s="1368"/>
      <c r="R56" s="404"/>
      <c r="S56" s="1346"/>
      <c r="T56" s="1349" t="s">
        <v>500</v>
      </c>
      <c r="U56" s="1348"/>
      <c r="V56" s="1348"/>
      <c r="W56" s="1348"/>
      <c r="X56" s="1348"/>
      <c r="Y56" s="1348"/>
      <c r="Z56" s="1348"/>
      <c r="AA56" s="1348"/>
      <c r="AB56" s="1348"/>
      <c r="AC56" s="1348"/>
      <c r="AD56" s="1348"/>
      <c r="AE56" s="1348"/>
      <c r="AF56" s="1348"/>
      <c r="AG56" s="1348"/>
      <c r="AH56" s="1348"/>
      <c r="AI56" s="1348"/>
      <c r="AJ56" s="1348"/>
      <c r="AK56" s="1348"/>
      <c r="AL56" s="1348"/>
      <c r="AM56" s="1348"/>
      <c r="AO56" s="524"/>
      <c r="AP56" s="524" t="str">
        <f>IF(T56="","",T56)</f>
        <v>Добавить территорию для дифференциации</v>
      </c>
      <c r="AQ56" s="524"/>
      <c r="AR56" s="524"/>
      <c r="AS56" s="535">
        <v>1</v>
      </c>
    </row>
    <row s="1666" customFormat="1" customHeight="1" ht="1.05">
      <c r="A57" s="1338"/>
      <c r="B57" s="1338"/>
      <c r="C57" s="1338"/>
      <c r="D57" s="1338"/>
      <c r="E57" s="1367"/>
      <c r="F57" s="1338"/>
      <c r="G57" s="1338"/>
      <c r="H57" s="1338"/>
      <c r="I57" s="1338"/>
      <c r="J57" s="1338"/>
      <c r="K57" s="1338"/>
      <c r="L57" s="1363"/>
      <c r="M57" s="1345"/>
      <c r="N57" s="1345"/>
      <c r="P57" s="1340"/>
      <c r="Q57" s="1341"/>
      <c r="R57" s="1340"/>
      <c r="S57" s="1346"/>
      <c r="T57" s="1349" t="s">
        <v>532</v>
      </c>
      <c r="U57" s="1348"/>
      <c r="V57" s="1348"/>
      <c r="W57" s="1348"/>
      <c r="X57" s="1348"/>
      <c r="Y57" s="1348"/>
      <c r="Z57" s="1348"/>
      <c r="AA57" s="1348"/>
      <c r="AB57" s="1348"/>
      <c r="AC57" s="1348"/>
      <c r="AD57" s="1348"/>
      <c r="AE57" s="1348"/>
      <c r="AF57" s="1348"/>
      <c r="AG57" s="1348"/>
      <c r="AH57" s="1348"/>
      <c r="AI57" s="1348"/>
      <c r="AJ57" s="1348"/>
      <c r="AK57" s="1348"/>
      <c r="AL57" s="1348"/>
      <c r="AM57" s="1348"/>
      <c r="AO57" s="813"/>
      <c r="AP57" s="813" t="str">
        <f>IF(T57="","",T57)</f>
        <v>Добавить наименование тарифа</v>
      </c>
      <c r="AQ57" s="813"/>
      <c r="AR57" s="813"/>
      <c r="AS57" s="542">
        <v>1</v>
      </c>
    </row>
    <row customHeight="1" ht="11.549999999999999">
      <c r="M58" s="1184"/>
      <c r="N58" s="1184"/>
      <c r="O58" s="561"/>
      <c r="P58" s="1179"/>
      <c r="Q58" s="1179"/>
      <c r="R58" s="1179"/>
      <c r="S58" s="1179"/>
      <c r="AN58" s="1179"/>
      <c r="AO58" s="1179"/>
      <c r="AP58" s="1179"/>
      <c r="AQ58" s="1179"/>
      <c r="AR58" s="1179"/>
      <c r="AS58" s="1179">
        <v>11</v>
      </c>
    </row>
    <row customHeight="1" ht="23.25">
      <c r="O59" s="561"/>
      <c r="S59" s="1277"/>
      <c r="T59" s="2309"/>
      <c r="U59" s="2309"/>
      <c r="V59" s="2309"/>
      <c r="W59" s="2309"/>
      <c r="X59" s="2309"/>
      <c r="Y59" s="2309"/>
      <c r="Z59" s="2309"/>
      <c r="AA59" s="2309"/>
      <c r="AB59" s="2309"/>
      <c r="AC59" s="2309"/>
      <c r="AD59" s="2309"/>
      <c r="AE59" s="2309"/>
      <c r="AF59" s="2309"/>
      <c r="AG59" s="2309"/>
      <c r="AH59" s="2309"/>
      <c r="AI59" s="2309"/>
      <c r="AJ59" s="2309"/>
      <c r="AK59" s="2309"/>
      <c r="AL59" s="2309"/>
      <c r="AM59" s="2309"/>
      <c r="AS59" s="1179">
        <v>22</v>
      </c>
    </row>
    <row customHeight="1" ht="30.45">
      <c r="O60" s="561"/>
      <c r="T60" s="2309"/>
      <c r="U60" s="2309"/>
      <c r="V60" s="2309"/>
      <c r="W60" s="2309"/>
      <c r="X60" s="2309"/>
      <c r="Y60" s="2309"/>
      <c r="Z60" s="2309"/>
      <c r="AA60" s="2309"/>
      <c r="AB60" s="2309"/>
      <c r="AC60" s="2309"/>
      <c r="AD60" s="2309"/>
      <c r="AE60" s="2309"/>
      <c r="AF60" s="2309"/>
      <c r="AG60" s="2309"/>
      <c r="AH60" s="2309"/>
      <c r="AI60" s="2309"/>
      <c r="AJ60" s="2309"/>
      <c r="AK60" s="2309"/>
      <c r="AL60" s="2309"/>
      <c r="AM60" s="2309"/>
      <c r="AS60" s="1179">
        <v>29</v>
      </c>
    </row>
    <row customHeight="1" ht="42">
      <c r="O61" s="561"/>
      <c r="T61" s="2309"/>
      <c r="U61" s="2309"/>
      <c r="V61" s="2309"/>
      <c r="W61" s="2309"/>
      <c r="X61" s="2309"/>
      <c r="Y61" s="2309"/>
      <c r="Z61" s="2309"/>
      <c r="AA61" s="2309"/>
      <c r="AB61" s="2309"/>
      <c r="AC61" s="2309"/>
      <c r="AD61" s="2309"/>
      <c r="AE61" s="2309"/>
      <c r="AF61" s="2309"/>
      <c r="AG61" s="2309"/>
      <c r="AH61" s="2309"/>
      <c r="AI61" s="2309"/>
      <c r="AJ61" s="2309"/>
      <c r="AK61" s="2309"/>
      <c r="AL61" s="2309"/>
      <c r="AM61" s="2309"/>
      <c r="AS61" s="1179">
        <v>40</v>
      </c>
    </row>
    <row customHeight="1" ht="14.699999999999998">
      <c r="O62" s="561"/>
      <c r="AS62" s="1179">
        <v>14</v>
      </c>
    </row>
    <row customHeight="1" ht="21">
      <c r="O63" s="561"/>
      <c r="S63" s="1277"/>
      <c r="T63" s="2323"/>
      <c r="U63" s="2309"/>
      <c r="V63" s="2309"/>
      <c r="W63" s="2309"/>
      <c r="X63" s="2309"/>
      <c r="Y63" s="2309"/>
      <c r="Z63" s="2309"/>
      <c r="AA63" s="2309"/>
      <c r="AB63" s="2309"/>
      <c r="AC63" s="2309"/>
      <c r="AD63" s="2309"/>
      <c r="AE63" s="2309"/>
      <c r="AF63" s="2309"/>
      <c r="AG63" s="2309"/>
      <c r="AH63" s="2309"/>
      <c r="AI63" s="2309"/>
      <c r="AJ63" s="2309"/>
      <c r="AK63" s="2309"/>
      <c r="AL63" s="2309"/>
      <c r="AM63" s="2309"/>
      <c r="AS63" s="1179">
        <v>20</v>
      </c>
    </row>
    <row customHeight="1" ht="29.25">
      <c r="O64" s="561"/>
      <c r="T64" s="2309"/>
      <c r="U64" s="2309"/>
      <c r="V64" s="2309"/>
      <c r="W64" s="2309"/>
      <c r="X64" s="2309"/>
      <c r="Y64" s="2309"/>
      <c r="Z64" s="2309"/>
      <c r="AA64" s="2309"/>
      <c r="AB64" s="2309"/>
      <c r="AC64" s="2309"/>
      <c r="AD64" s="2309"/>
      <c r="AE64" s="2309"/>
      <c r="AF64" s="2309"/>
      <c r="AG64" s="2309"/>
      <c r="AH64" s="2309"/>
      <c r="AI64" s="2309"/>
      <c r="AJ64" s="2309"/>
      <c r="AK64" s="2309"/>
      <c r="AL64" s="2309"/>
      <c r="AM64" s="2309"/>
      <c r="AS64" s="1179">
        <v>28</v>
      </c>
    </row>
    <row customHeight="1" ht="35.699999999999996">
      <c r="T65" s="2309"/>
      <c r="U65" s="2309"/>
      <c r="V65" s="2309"/>
      <c r="W65" s="2309"/>
      <c r="X65" s="2309"/>
      <c r="Y65" s="2309"/>
      <c r="Z65" s="2309"/>
      <c r="AA65" s="2309"/>
      <c r="AB65" s="2309"/>
      <c r="AC65" s="2309"/>
      <c r="AD65" s="2309"/>
      <c r="AE65" s="2309"/>
      <c r="AF65" s="2309"/>
      <c r="AG65" s="2309"/>
      <c r="AH65" s="2309"/>
      <c r="AI65" s="2309"/>
      <c r="AJ65" s="2309"/>
      <c r="AK65" s="2309"/>
      <c r="AL65" s="2309"/>
      <c r="AM65" s="2309"/>
      <c r="AS65" s="1179">
        <v>34</v>
      </c>
    </row>
    <row customHeight="1" ht="22.5" hidden="1">
      <c r="A66" s="1184" t="s">
        <v>82</v>
      </c>
      <c r="B66" s="1184">
        <v>0</v>
      </c>
      <c r="C66" s="1184">
        <v>0</v>
      </c>
      <c r="D66" s="1184">
        <v>0</v>
      </c>
      <c r="E66" s="1184">
        <v>0</v>
      </c>
      <c r="F66" s="1184">
        <v>0</v>
      </c>
      <c r="G66" s="1184">
        <v>0</v>
      </c>
      <c r="H66" s="1184">
        <v>0</v>
      </c>
      <c r="I66" s="1184">
        <v>0</v>
      </c>
      <c r="J66" s="1184">
        <v>0</v>
      </c>
      <c r="K66" s="1184">
        <v>0</v>
      </c>
      <c r="L66" s="1353">
        <v>0</v>
      </c>
      <c r="M66" s="1386">
        <v>0</v>
      </c>
      <c r="N66" s="1386">
        <v>0</v>
      </c>
      <c r="O66" s="1386">
        <v>0</v>
      </c>
      <c r="P66" s="1352">
        <v>0</v>
      </c>
      <c r="Q66" s="368">
        <v>3</v>
      </c>
      <c r="R66" s="368">
        <v>3</v>
      </c>
      <c r="S66" s="605">
        <v>12</v>
      </c>
      <c r="T66" s="1179">
        <v>31</v>
      </c>
      <c r="U66" s="1179">
        <v>0</v>
      </c>
      <c r="V66" s="1179">
        <v>0</v>
      </c>
      <c r="W66" s="1179">
        <v>0</v>
      </c>
      <c r="X66" s="1179">
        <v>0</v>
      </c>
      <c r="Y66" s="1179">
        <v>0</v>
      </c>
      <c r="Z66" s="1179">
        <v>0</v>
      </c>
      <c r="AA66" s="1179">
        <v>0</v>
      </c>
      <c r="AB66" s="1179">
        <v>0</v>
      </c>
      <c r="AC66" s="1179">
        <v>0</v>
      </c>
      <c r="AD66" s="1179">
        <v>24</v>
      </c>
      <c r="AE66" s="1179">
        <v>0</v>
      </c>
      <c r="AF66" s="1179">
        <v>24</v>
      </c>
      <c r="AG66" s="1179">
        <v>24</v>
      </c>
      <c r="AH66" s="1179">
        <v>11</v>
      </c>
      <c r="AI66" s="1179">
        <v>3</v>
      </c>
      <c r="AJ66" s="1179">
        <v>11</v>
      </c>
      <c r="AK66" s="1179">
        <v>0</v>
      </c>
      <c r="AL66" s="1179">
        <v>4</v>
      </c>
      <c r="AM66" s="1179">
        <v>115</v>
      </c>
      <c r="AN66" s="535">
        <v>10</v>
      </c>
      <c r="AO66" s="535">
        <v>10</v>
      </c>
      <c r="AP66" s="535">
        <v>10</v>
      </c>
      <c r="AQ66" s="535">
        <v>10</v>
      </c>
      <c r="AR66" s="535">
        <v>10</v>
      </c>
      <c r="AS66" s="1179">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4F4D86-9915-527C-27C2-0.B81A385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2.00390625" hidden="1" customWidth="1"/>
    <col min="10" max="10" style="1390" width="9.8515625" hidden="1" customWidth="1"/>
    <col min="11" max="11" style="1390" width="11.421875" hidden="1" customWidth="1"/>
    <col min="12" max="12" style="2631" width="19.140625" hidden="1" customWidth="1"/>
    <col min="13" max="14" style="1800" width="12.28125" hidden="1" customWidth="1"/>
    <col min="15" max="15" style="1800" width="23.421875" hidden="1" customWidth="1"/>
    <col min="16" max="16" style="2421" width="3.7109375" hidden="1" customWidth="1"/>
    <col min="17" max="18" style="368" width="3.00390625" customWidth="1"/>
    <col min="19" max="19" style="2431" width="12.00390625" customWidth="1"/>
    <col min="20" max="20" style="1659" width="31.00390625" customWidth="1"/>
    <col min="21" max="21" style="1659" width="0.140625" customWidth="1"/>
    <col min="22" max="22" style="1659" width="24.7109375" hidden="1" customWidth="1"/>
    <col min="23" max="23" style="1659" width="0.140625" hidden="1" customWidth="1"/>
    <col min="24" max="25" style="1659" width="24.7109375" hidden="1" customWidth="1"/>
    <col min="26" max="26" style="1659" width="11.7109375" hidden="1" customWidth="1"/>
    <col min="27" max="27" style="1659" width="3.7109375" hidden="1" customWidth="1"/>
    <col min="28" max="28" style="1659" width="11.7109375" hidden="1" customWidth="1"/>
    <col min="29" max="29" style="1659" width="8.57421875" hidden="1" customWidth="1"/>
    <col min="30" max="30" style="1659" width="24.7109375" customWidth="1"/>
    <col min="31" max="31" style="1659" width="0.140625" customWidth="1"/>
    <col min="32" max="33" style="1659" width="24.00390625" customWidth="1"/>
    <col min="34" max="34" style="1659" width="11.00390625" customWidth="1"/>
    <col min="35" max="35" style="1659" width="3.7109375" customWidth="1"/>
    <col min="36" max="36" style="1659" width="11.00390625" customWidth="1"/>
    <col min="37" max="37" style="1659" width="8.57421875" hidden="1" customWidth="1"/>
    <col min="38" max="38" style="1659" width="4.00390625" customWidth="1"/>
    <col min="39" max="39" style="1659" width="115.00390625" customWidth="1"/>
    <col min="40" max="44" style="1666" width="10.00390625" customWidth="1"/>
    <col min="45" max="45" style="1659" width="10.57421875" hidden="1"/>
  </cols>
  <sheetData>
    <row customHeight="1" ht="22.5" hidden="1">
      <c r="Y1" s="351"/>
      <c r="Z1" s="351"/>
      <c r="AG1" s="351"/>
      <c r="AH1" s="351"/>
      <c r="AS1" s="1179" t="s">
        <v>14</v>
      </c>
    </row>
    <row customHeight="1" ht="21" hidden="1">
      <c r="A2" s="1387"/>
      <c r="B2" s="1387"/>
      <c r="C2" s="1387"/>
      <c r="D2" s="1387"/>
      <c r="E2" s="2282">
        <v>1</v>
      </c>
      <c r="F2" s="1387"/>
      <c r="G2" s="1387"/>
      <c r="H2" s="1387"/>
      <c r="I2" s="1387"/>
      <c r="J2" s="1387"/>
      <c r="K2" s="1387"/>
      <c r="L2" s="1388"/>
      <c r="M2" s="1389"/>
      <c r="N2" s="1389"/>
      <c r="O2" s="1389"/>
      <c r="P2" s="385"/>
      <c r="Q2" s="384"/>
      <c r="R2" s="379"/>
      <c r="S2" s="1360">
        <f>INDEX(PT_DIFFERENTIATION_NUM_NTAR,MATCH(A2,PT_DIFFERENTIATION_NTAR_ID,0))</f>
      </c>
      <c r="T2" s="322" t="s">
        <v>211</v>
      </c>
      <c r="U2" s="324"/>
      <c r="V2" s="2266"/>
      <c r="W2" s="2267"/>
      <c r="X2" s="2267"/>
      <c r="Y2" s="2267"/>
      <c r="Z2" s="2267"/>
      <c r="AA2" s="2267"/>
      <c r="AB2" s="2267"/>
      <c r="AC2" s="2268"/>
      <c r="AD2" s="2266">
        <f>INDEX(PT_DIFFERENTIATION_NTAR,MATCH(A2,PT_DIFFERENTIATION_NTAR_ID,0))</f>
      </c>
      <c r="AE2" s="2267"/>
      <c r="AF2" s="2267"/>
      <c r="AG2" s="2267"/>
      <c r="AH2" s="2267"/>
      <c r="AI2" s="2267"/>
      <c r="AJ2" s="2267"/>
      <c r="AK2" s="2267"/>
      <c r="AL2" s="2268"/>
      <c r="AM2" s="1282" t="s">
        <v>480</v>
      </c>
      <c r="AO2" s="524"/>
      <c r="AP2" s="524" t="str">
        <f>IF(T2="","",T2)</f>
        <v>Наименование тарифа</v>
      </c>
      <c r="AQ2" s="524"/>
      <c r="AR2" s="524"/>
      <c r="AS2" s="1179">
        <v>0</v>
      </c>
    </row>
    <row customHeight="1" ht="21" hidden="1">
      <c r="A3" s="1387"/>
      <c r="B3" s="1387"/>
      <c r="C3" s="1387"/>
      <c r="D3" s="1387"/>
      <c r="E3" s="2283"/>
      <c r="F3" s="2282">
        <v>1</v>
      </c>
      <c r="G3" s="1387"/>
      <c r="H3" s="1387"/>
      <c r="I3" s="1387"/>
      <c r="J3" s="1387"/>
      <c r="K3" s="1387"/>
      <c r="L3" s="1388"/>
      <c r="M3" s="1389"/>
      <c r="N3" s="1389"/>
      <c r="O3" s="1389"/>
      <c r="P3" s="1356"/>
      <c r="Q3" s="376"/>
      <c r="R3" s="377"/>
      <c r="S3" s="1360">
        <f>INDEX(PT_DIFFERENTIATION_NUM_TER,MATCH(B3,PT_DIFFERENTIATION_TER_ID,0))</f>
      </c>
      <c r="T3" s="332" t="s">
        <v>481</v>
      </c>
      <c r="U3" s="324"/>
      <c r="V3" s="2266"/>
      <c r="W3" s="2267"/>
      <c r="X3" s="2267"/>
      <c r="Y3" s="2267"/>
      <c r="Z3" s="2267"/>
      <c r="AA3" s="2267"/>
      <c r="AB3" s="2267"/>
      <c r="AC3" s="2268"/>
      <c r="AD3" s="2266">
        <f>INDEX(PT_DIFFERENTIATION_TER,MATCH(B3,PT_DIFFERENTIATION_TER_ID,0))</f>
      </c>
      <c r="AE3" s="2267"/>
      <c r="AF3" s="2267"/>
      <c r="AG3" s="2267"/>
      <c r="AH3" s="2267"/>
      <c r="AI3" s="2267"/>
      <c r="AJ3" s="2267"/>
      <c r="AK3" s="2267"/>
      <c r="AL3" s="2268"/>
      <c r="AM3" s="1282" t="s">
        <v>482</v>
      </c>
      <c r="AO3" s="524"/>
      <c r="AP3" s="524" t="str">
        <f>IF(T3="","",T3)</f>
        <v>Территория действия тарифа</v>
      </c>
      <c r="AQ3" s="524"/>
      <c r="AR3" s="524"/>
      <c r="AS3" s="1179">
        <v>0</v>
      </c>
    </row>
    <row customHeight="1" ht="23.25" hidden="1">
      <c r="A4" s="1387"/>
      <c r="B4" s="1387"/>
      <c r="C4" s="1387"/>
      <c r="D4" s="1387"/>
      <c r="E4" s="2283"/>
      <c r="F4" s="2283"/>
      <c r="G4" s="2282">
        <v>1</v>
      </c>
      <c r="H4" s="1387"/>
      <c r="I4" s="1387"/>
      <c r="J4" s="1387"/>
      <c r="K4" s="1387"/>
      <c r="L4" s="1388"/>
      <c r="M4" s="1389"/>
      <c r="N4" s="1389"/>
      <c r="O4" s="1389"/>
      <c r="P4" s="378"/>
      <c r="Q4" s="376"/>
      <c r="R4" s="377"/>
      <c r="S4" s="1360">
        <f>INDEX(PT_DIFFERENTIATION_NUM_CS,MATCH(C4,PT_DIFFERENTIATION_CS_ID,0))</f>
      </c>
      <c r="T4" s="333" t="s">
        <v>483</v>
      </c>
      <c r="U4" s="324"/>
      <c r="V4" s="2266"/>
      <c r="W4" s="2267"/>
      <c r="X4" s="2267"/>
      <c r="Y4" s="2267"/>
      <c r="Z4" s="2267"/>
      <c r="AA4" s="2267"/>
      <c r="AB4" s="2267"/>
      <c r="AC4" s="2268"/>
      <c r="AD4" s="2266">
        <f>INDEX(PT_DIFFERENTIATION_CS,MATCH(C4,PT_DIFFERENTIATION_CS_ID,0))</f>
      </c>
      <c r="AE4" s="2267"/>
      <c r="AF4" s="2267"/>
      <c r="AG4" s="2267"/>
      <c r="AH4" s="2267"/>
      <c r="AI4" s="2267"/>
      <c r="AJ4" s="2267"/>
      <c r="AK4" s="2267"/>
      <c r="AL4" s="2268"/>
      <c r="AM4" s="1282" t="s">
        <v>484</v>
      </c>
      <c r="AO4" s="524"/>
      <c r="AP4" s="524" t="str">
        <f>IF(T4="","",T4)</f>
        <v>Наименование системы теплоснабжения </v>
      </c>
      <c r="AQ4" s="524"/>
      <c r="AR4" s="524"/>
      <c r="AS4" s="1179">
        <v>0</v>
      </c>
    </row>
    <row customHeight="1" ht="21" hidden="1">
      <c r="A5" s="1387"/>
      <c r="B5" s="1387"/>
      <c r="C5" s="1387"/>
      <c r="D5" s="1387"/>
      <c r="E5" s="2283"/>
      <c r="F5" s="2283"/>
      <c r="G5" s="2283"/>
      <c r="H5" s="2282">
        <v>1</v>
      </c>
      <c r="I5" s="1387"/>
      <c r="J5" s="1387"/>
      <c r="K5" s="1387"/>
      <c r="L5" s="1388"/>
      <c r="M5" s="1389"/>
      <c r="N5" s="1389"/>
      <c r="O5" s="1389"/>
      <c r="P5" s="378"/>
      <c r="Q5" s="376"/>
      <c r="R5" s="377"/>
      <c r="S5" s="1360">
        <f>INDEX(PT_DIFFERENTIATION_NUM_IST_TE,MATCH(D5,PT_DIFFERENTIATION_IST_TE_ID,0))</f>
      </c>
      <c r="T5" s="334" t="s">
        <v>485</v>
      </c>
      <c r="U5" s="324"/>
      <c r="V5" s="2266"/>
      <c r="W5" s="2267"/>
      <c r="X5" s="2267"/>
      <c r="Y5" s="2267"/>
      <c r="Z5" s="2267"/>
      <c r="AA5" s="2267"/>
      <c r="AB5" s="2267"/>
      <c r="AC5" s="2268"/>
      <c r="AD5" s="2266">
        <f>INDEX(PT_DIFFERENTIATION_IST_TE,MATCH(D5,PT_DIFFERENTIATION_IST_TE_ID,0))</f>
      </c>
      <c r="AE5" s="2267"/>
      <c r="AF5" s="2267"/>
      <c r="AG5" s="2267"/>
      <c r="AH5" s="2267"/>
      <c r="AI5" s="2267"/>
      <c r="AJ5" s="2267"/>
      <c r="AK5" s="2267"/>
      <c r="AL5" s="2268"/>
      <c r="AM5" s="1282" t="s">
        <v>486</v>
      </c>
      <c r="AO5" s="524"/>
      <c r="AP5" s="524" t="str">
        <f>IF(T5="","",T5)</f>
        <v>Источник тепловой энергии  </v>
      </c>
      <c r="AQ5" s="524"/>
      <c r="AR5" s="524"/>
      <c r="AS5" s="1179">
        <v>0</v>
      </c>
    </row>
    <row customHeight="1" ht="14.25" hidden="1">
      <c r="A6" s="1387"/>
      <c r="B6" s="1387"/>
      <c r="C6" s="1387"/>
      <c r="D6" s="1387"/>
      <c r="E6" s="2283"/>
      <c r="F6" s="2283"/>
      <c r="G6" s="2283"/>
      <c r="H6" s="2283"/>
      <c r="I6" s="2280">
        <f>S5&amp;".1"</f>
      </c>
      <c r="J6" s="1387"/>
      <c r="K6" s="1387"/>
      <c r="L6" s="1388" t="s">
        <v>487</v>
      </c>
      <c r="M6" s="561"/>
      <c r="P6" s="2281">
        <v>1</v>
      </c>
      <c r="Q6" s="1355"/>
      <c r="R6" s="380"/>
      <c r="S6" s="1066"/>
      <c r="T6" s="1407"/>
      <c r="U6" s="1408"/>
      <c r="V6" s="2320"/>
      <c r="W6" s="2321"/>
      <c r="X6" s="2321"/>
      <c r="Y6" s="2321"/>
      <c r="Z6" s="2321"/>
      <c r="AA6" s="2321"/>
      <c r="AB6" s="2321"/>
      <c r="AC6" s="2322"/>
      <c r="AD6" s="2320"/>
      <c r="AE6" s="2321"/>
      <c r="AF6" s="2321"/>
      <c r="AG6" s="2321"/>
      <c r="AH6" s="2321"/>
      <c r="AI6" s="2321"/>
      <c r="AJ6" s="2321"/>
      <c r="AK6" s="2321"/>
      <c r="AL6" s="2322"/>
      <c r="AM6" s="1409"/>
      <c r="AO6" s="524"/>
      <c r="AP6" s="524" t="str">
        <f>IF(T6="","",T6)</f>
        <v/>
      </c>
      <c r="AQ6" s="524"/>
      <c r="AR6" s="524"/>
      <c r="AS6" s="1179">
        <v>0</v>
      </c>
    </row>
    <row customHeight="1" ht="21" hidden="1">
      <c r="A7" s="1387"/>
      <c r="B7" s="1387"/>
      <c r="C7" s="1387"/>
      <c r="D7" s="1387"/>
      <c r="E7" s="2283"/>
      <c r="F7" s="2283"/>
      <c r="G7" s="2283"/>
      <c r="H7" s="2283"/>
      <c r="I7" s="2310"/>
      <c r="J7" s="2280">
        <f>I6&amp;".1"</f>
      </c>
      <c r="K7" s="1387"/>
      <c r="L7" s="1388" t="s">
        <v>490</v>
      </c>
      <c r="M7" s="561"/>
      <c r="N7" s="1390"/>
      <c r="P7" s="2281"/>
      <c r="Q7" s="2281">
        <v>1</v>
      </c>
      <c r="R7" s="381"/>
      <c r="S7" s="1360">
        <f>$J7</f>
      </c>
      <c r="T7" s="310" t="s">
        <v>491</v>
      </c>
      <c r="U7" s="324"/>
      <c r="V7" s="2269"/>
      <c r="W7" s="2270"/>
      <c r="X7" s="2270"/>
      <c r="Y7" s="2270"/>
      <c r="Z7" s="2270"/>
      <c r="AA7" s="2270"/>
      <c r="AB7" s="2270"/>
      <c r="AC7" s="2271"/>
      <c r="AD7" s="2269"/>
      <c r="AE7" s="2270"/>
      <c r="AF7" s="2270"/>
      <c r="AG7" s="2270"/>
      <c r="AH7" s="2270"/>
      <c r="AI7" s="2270"/>
      <c r="AJ7" s="2270"/>
      <c r="AK7" s="2270"/>
      <c r="AL7" s="2271"/>
      <c r="AM7" s="1282" t="s">
        <v>492</v>
      </c>
      <c r="AO7" s="524"/>
      <c r="AP7" s="524" t="str">
        <f>IF(T7="","",T7)</f>
        <v>Группа потребителей</v>
      </c>
      <c r="AQ7" s="524"/>
      <c r="AR7" s="524"/>
      <c r="AS7" s="1179">
        <v>0</v>
      </c>
    </row>
    <row customHeight="1" ht="21" hidden="1">
      <c r="A8" s="1387"/>
      <c r="B8" s="1387"/>
      <c r="C8" s="1387"/>
      <c r="D8" s="1387"/>
      <c r="E8" s="2283"/>
      <c r="F8" s="2283"/>
      <c r="G8" s="2283"/>
      <c r="H8" s="2283"/>
      <c r="I8" s="2310"/>
      <c r="J8" s="2310"/>
      <c r="K8" s="2280">
        <f>J7&amp;".1"</f>
      </c>
      <c r="L8" s="1388" t="s">
        <v>493</v>
      </c>
      <c r="M8" s="561"/>
      <c r="N8" s="1390"/>
      <c r="O8" s="1390"/>
      <c r="P8" s="2281"/>
      <c r="Q8" s="2281"/>
      <c r="R8" s="381">
        <v>1</v>
      </c>
      <c r="S8" s="1360">
        <f>$K8</f>
      </c>
      <c r="T8" s="1371"/>
      <c r="U8" s="324"/>
      <c r="V8" s="775"/>
      <c r="W8" s="349"/>
      <c r="X8" s="775"/>
      <c r="Y8" s="1281"/>
      <c r="Z8" s="2289"/>
      <c r="AA8" s="2131" t="s">
        <v>66</v>
      </c>
      <c r="AB8" s="2289"/>
      <c r="AC8" s="2131" t="s">
        <v>66</v>
      </c>
      <c r="AD8" s="775"/>
      <c r="AE8" s="349"/>
      <c r="AF8" s="775"/>
      <c r="AG8" s="1281"/>
      <c r="AH8" s="2289"/>
      <c r="AI8" s="2131" t="s">
        <v>66</v>
      </c>
      <c r="AJ8" s="2289"/>
      <c r="AK8" s="2131" t="s">
        <v>66</v>
      </c>
      <c r="AL8" s="349"/>
      <c r="AM8" s="2277" t="s">
        <v>494</v>
      </c>
      <c r="AN8" s="535">
        <f>STRCHECKDATE(V9:AL9)</f>
      </c>
      <c r="AO8" s="524"/>
      <c r="AP8" s="524" t="str">
        <f>IF(T8="","",T8)</f>
        <v/>
      </c>
      <c r="AQ8" s="524"/>
      <c r="AR8" s="524"/>
      <c r="AS8" s="1179">
        <v>0</v>
      </c>
    </row>
    <row customHeight="1" ht="14.25" hidden="1">
      <c r="A9" s="1387"/>
      <c r="B9" s="1387"/>
      <c r="C9" s="1387"/>
      <c r="D9" s="1387"/>
      <c r="E9" s="2283"/>
      <c r="F9" s="2283"/>
      <c r="G9" s="2283"/>
      <c r="H9" s="2283"/>
      <c r="I9" s="2310"/>
      <c r="J9" s="2310"/>
      <c r="K9" s="2280"/>
      <c r="L9" s="1388"/>
      <c r="M9" s="561"/>
      <c r="N9" s="1390"/>
      <c r="O9" s="1390"/>
      <c r="P9" s="2281"/>
      <c r="Q9" s="2281"/>
      <c r="R9" s="381"/>
      <c r="S9" s="1366"/>
      <c r="T9" s="324"/>
      <c r="U9" s="324"/>
      <c r="V9" s="349"/>
      <c r="W9" s="349"/>
      <c r="X9" s="349"/>
      <c r="Y9" s="352" t="str">
        <f>Z8&amp;"-"&amp;AB8</f>
        <v>-</v>
      </c>
      <c r="Z9" s="2290"/>
      <c r="AA9" s="2131"/>
      <c r="AB9" s="2290"/>
      <c r="AC9" s="2131"/>
      <c r="AD9" s="349"/>
      <c r="AE9" s="349"/>
      <c r="AF9" s="349"/>
      <c r="AG9" s="352" t="str">
        <f>AH8&amp;"-"&amp;AJ8</f>
        <v>-</v>
      </c>
      <c r="AH9" s="2290"/>
      <c r="AI9" s="2131"/>
      <c r="AJ9" s="2290"/>
      <c r="AK9" s="2131"/>
      <c r="AL9" s="349"/>
      <c r="AM9" s="2278"/>
      <c r="AO9" s="524"/>
      <c r="AP9" s="524" t="str">
        <f>IF(T9="","",T9)</f>
        <v/>
      </c>
      <c r="AQ9" s="524"/>
      <c r="AR9" s="524"/>
      <c r="AS9" s="1179">
        <v>0</v>
      </c>
    </row>
    <row customHeight="1" ht="15" hidden="1">
      <c r="A10" s="1387"/>
      <c r="B10" s="1387"/>
      <c r="C10" s="1387"/>
      <c r="D10" s="1387"/>
      <c r="E10" s="2283"/>
      <c r="F10" s="2283"/>
      <c r="G10" s="2283"/>
      <c r="H10" s="2283"/>
      <c r="I10" s="2310"/>
      <c r="J10" s="2280"/>
      <c r="K10" s="1387"/>
      <c r="L10" s="1388"/>
      <c r="M10" s="561"/>
      <c r="N10" s="1390"/>
      <c r="P10" s="2281"/>
      <c r="Q10" s="2281"/>
      <c r="R10" s="380"/>
      <c r="S10" s="1302"/>
      <c r="T10" s="311" t="s">
        <v>495</v>
      </c>
      <c r="U10" s="391"/>
      <c r="V10" s="391"/>
      <c r="W10" s="391"/>
      <c r="X10" s="391"/>
      <c r="Y10" s="391"/>
      <c r="Z10" s="391"/>
      <c r="AA10" s="391"/>
      <c r="AB10" s="391"/>
      <c r="AC10" s="391"/>
      <c r="AD10" s="391"/>
      <c r="AE10" s="391"/>
      <c r="AF10" s="391"/>
      <c r="AG10" s="391"/>
      <c r="AH10" s="391"/>
      <c r="AI10" s="391"/>
      <c r="AJ10" s="391"/>
      <c r="AK10" s="391"/>
      <c r="AL10" s="348"/>
      <c r="AM10" s="2279"/>
      <c r="AO10" s="524"/>
      <c r="AP10" s="524" t="str">
        <f>IF(T10="","",T10)</f>
        <v>Добавить вид теплоносителя (параметры теплоносителя)</v>
      </c>
      <c r="AQ10" s="524"/>
      <c r="AR10" s="524"/>
      <c r="AS10" s="1179">
        <v>0</v>
      </c>
    </row>
    <row customHeight="1" ht="11.25" hidden="1">
      <c r="A11" s="1387"/>
      <c r="B11" s="1387"/>
      <c r="C11" s="1387"/>
      <c r="D11" s="1387"/>
      <c r="E11" s="2283"/>
      <c r="F11" s="2283"/>
      <c r="G11" s="2283"/>
      <c r="H11" s="2283"/>
      <c r="I11" s="2280"/>
      <c r="J11" s="1387"/>
      <c r="K11" s="1387"/>
      <c r="L11" s="1388"/>
      <c r="M11" s="561"/>
      <c r="P11" s="2281"/>
      <c r="Q11" s="1355"/>
      <c r="R11" s="380"/>
      <c r="S11" s="1302"/>
      <c r="T11" s="389" t="s">
        <v>496</v>
      </c>
      <c r="U11" s="391"/>
      <c r="V11" s="391"/>
      <c r="W11" s="391"/>
      <c r="X11" s="391"/>
      <c r="Y11" s="391"/>
      <c r="Z11" s="391"/>
      <c r="AA11" s="391"/>
      <c r="AB11" s="391"/>
      <c r="AC11" s="390"/>
      <c r="AD11" s="391"/>
      <c r="AE11" s="391"/>
      <c r="AF11" s="391"/>
      <c r="AG11" s="391"/>
      <c r="AH11" s="391"/>
      <c r="AI11" s="391"/>
      <c r="AJ11" s="391"/>
      <c r="AK11" s="390"/>
      <c r="AL11" s="391"/>
      <c r="AM11" s="327"/>
      <c r="AO11" s="524"/>
      <c r="AP11" s="524" t="str">
        <f>IF(T11="","",T11)</f>
        <v>Добавить группу потребителей</v>
      </c>
      <c r="AQ11" s="524"/>
      <c r="AR11" s="524"/>
      <c r="AS11" s="1179">
        <v>0</v>
      </c>
    </row>
    <row customHeight="1" ht="14.25" hidden="1">
      <c r="A12" s="1387"/>
      <c r="B12" s="1387"/>
      <c r="C12" s="1387"/>
      <c r="D12" s="1387"/>
      <c r="E12" s="2283"/>
      <c r="F12" s="2283"/>
      <c r="G12" s="2283"/>
      <c r="H12" s="2282"/>
      <c r="I12" s="1387"/>
      <c r="J12" s="1387"/>
      <c r="K12" s="1387"/>
      <c r="L12" s="1388"/>
      <c r="M12" s="1389"/>
      <c r="N12" s="1389"/>
      <c r="O12" s="561"/>
      <c r="P12" s="384"/>
      <c r="Q12" s="399"/>
      <c r="R12" s="379"/>
      <c r="S12" s="1410"/>
      <c r="T12" s="1411"/>
      <c r="U12" s="1412"/>
      <c r="V12" s="1412"/>
      <c r="W12" s="1412"/>
      <c r="X12" s="1412"/>
      <c r="Y12" s="1412"/>
      <c r="Z12" s="1412"/>
      <c r="AA12" s="1412"/>
      <c r="AB12" s="1412"/>
      <c r="AC12" s="1412"/>
      <c r="AD12" s="1412"/>
      <c r="AE12" s="1412"/>
      <c r="AF12" s="1412"/>
      <c r="AG12" s="1412"/>
      <c r="AH12" s="1412"/>
      <c r="AI12" s="1412"/>
      <c r="AJ12" s="1412"/>
      <c r="AK12" s="1412"/>
      <c r="AL12" s="1412"/>
      <c r="AM12" s="1413"/>
      <c r="AO12" s="524"/>
      <c r="AP12" s="524" t="str">
        <f>IF(T12="","",T12)</f>
        <v/>
      </c>
      <c r="AQ12" s="524"/>
      <c r="AR12" s="524"/>
      <c r="AS12" s="1179">
        <v>0</v>
      </c>
    </row>
    <row s="1666" customFormat="1" customHeight="1" ht="14.25" hidden="1">
      <c r="A13" s="1338"/>
      <c r="B13" s="1338"/>
      <c r="C13" s="1338"/>
      <c r="D13" s="1338"/>
      <c r="E13" s="2283"/>
      <c r="F13" s="2283"/>
      <c r="G13" s="2282"/>
      <c r="H13" s="1338"/>
      <c r="I13" s="1338"/>
      <c r="J13" s="1338"/>
      <c r="K13" s="1338"/>
      <c r="L13" s="1363"/>
      <c r="M13" s="1339"/>
      <c r="N13" s="1339"/>
      <c r="P13" s="1340"/>
      <c r="Q13" s="1341"/>
      <c r="R13" s="1340"/>
      <c r="S13" s="1342"/>
      <c r="T13" s="1343" t="s">
        <v>498</v>
      </c>
      <c r="U13" s="1344"/>
      <c r="V13" s="1344"/>
      <c r="W13" s="1344"/>
      <c r="X13" s="1344"/>
      <c r="Y13" s="1344"/>
      <c r="Z13" s="1344"/>
      <c r="AA13" s="1344"/>
      <c r="AB13" s="1344"/>
      <c r="AC13" s="1344"/>
      <c r="AD13" s="1344"/>
      <c r="AE13" s="1344"/>
      <c r="AF13" s="1344"/>
      <c r="AG13" s="1344"/>
      <c r="AH13" s="1344"/>
      <c r="AI13" s="1344"/>
      <c r="AJ13" s="1344"/>
      <c r="AK13" s="1344"/>
      <c r="AL13" s="1344"/>
      <c r="AM13" s="1344"/>
      <c r="AO13" s="813"/>
      <c r="AP13" s="813" t="str">
        <f>IF(T13="","",T13)</f>
        <v>Добавить источник для дифференциации</v>
      </c>
      <c r="AQ13" s="813"/>
      <c r="AR13" s="813"/>
      <c r="AS13" s="542">
        <v>0</v>
      </c>
    </row>
    <row s="1666" customFormat="1" customHeight="1" ht="14.25" hidden="1">
      <c r="A14" s="1338"/>
      <c r="B14" s="1338"/>
      <c r="C14" s="1338"/>
      <c r="D14" s="1338"/>
      <c r="E14" s="2283"/>
      <c r="F14" s="2282"/>
      <c r="G14" s="1338"/>
      <c r="H14" s="1338"/>
      <c r="I14" s="1338"/>
      <c r="J14" s="1338"/>
      <c r="K14" s="1338"/>
      <c r="L14" s="1363"/>
      <c r="M14" s="1345"/>
      <c r="N14" s="1345"/>
      <c r="P14" s="1340"/>
      <c r="Q14" s="1341"/>
      <c r="R14" s="1340"/>
      <c r="S14" s="1346"/>
      <c r="T14" s="1347" t="s">
        <v>499</v>
      </c>
      <c r="U14" s="1348"/>
      <c r="V14" s="1348"/>
      <c r="W14" s="1348"/>
      <c r="X14" s="1348"/>
      <c r="Y14" s="1348"/>
      <c r="Z14" s="1348"/>
      <c r="AA14" s="1348"/>
      <c r="AB14" s="1348"/>
      <c r="AC14" s="1348"/>
      <c r="AD14" s="1348"/>
      <c r="AE14" s="1348"/>
      <c r="AF14" s="1348"/>
      <c r="AG14" s="1348"/>
      <c r="AH14" s="1348"/>
      <c r="AI14" s="1348"/>
      <c r="AJ14" s="1348"/>
      <c r="AK14" s="1348"/>
      <c r="AL14" s="1348"/>
      <c r="AM14" s="1348"/>
      <c r="AO14" s="813"/>
      <c r="AP14" s="813" t="str">
        <f>IF(T14="","",T14)</f>
        <v>Добавить централизованную систему для дифференциации</v>
      </c>
      <c r="AQ14" s="813"/>
      <c r="AR14" s="813"/>
      <c r="AS14" s="542">
        <v>0</v>
      </c>
    </row>
    <row s="1666" customFormat="1" customHeight="1" ht="14.25" hidden="1">
      <c r="A15" s="1338"/>
      <c r="B15" s="1338"/>
      <c r="C15" s="1338"/>
      <c r="D15" s="1338"/>
      <c r="E15" s="2282"/>
      <c r="F15" s="1338"/>
      <c r="G15" s="1338"/>
      <c r="H15" s="1338"/>
      <c r="I15" s="1338"/>
      <c r="J15" s="1338"/>
      <c r="K15" s="1338"/>
      <c r="L15" s="1363"/>
      <c r="M15" s="1345"/>
      <c r="N15" s="1345"/>
      <c r="P15" s="1340"/>
      <c r="Q15" s="1341"/>
      <c r="R15" s="1340"/>
      <c r="S15" s="1346"/>
      <c r="T15" s="1349" t="s">
        <v>500</v>
      </c>
      <c r="U15" s="1348"/>
      <c r="V15" s="1348"/>
      <c r="W15" s="1348"/>
      <c r="X15" s="1348"/>
      <c r="Y15" s="1348"/>
      <c r="Z15" s="1348"/>
      <c r="AA15" s="1348"/>
      <c r="AB15" s="1348"/>
      <c r="AC15" s="1348"/>
      <c r="AD15" s="1348"/>
      <c r="AE15" s="1348"/>
      <c r="AF15" s="1348"/>
      <c r="AG15" s="1348"/>
      <c r="AH15" s="1348"/>
      <c r="AI15" s="1348"/>
      <c r="AJ15" s="1348"/>
      <c r="AK15" s="1348"/>
      <c r="AL15" s="1348"/>
      <c r="AM15" s="1348"/>
      <c r="AO15" s="813"/>
      <c r="AP15" s="813" t="str">
        <f>IF(T15="","",T15)</f>
        <v>Добавить территорию для дифференциации</v>
      </c>
      <c r="AQ15" s="813"/>
      <c r="AR15" s="813"/>
      <c r="AS15" s="542">
        <v>0</v>
      </c>
    </row>
    <row customHeight="1" ht="14.25" hidden="1">
      <c r="AC16" s="351"/>
      <c r="AK16" s="351"/>
      <c r="AS16" s="1179">
        <v>0</v>
      </c>
    </row>
    <row customHeight="1" ht="14.25" hidden="1">
      <c r="AD17" s="1384"/>
      <c r="AE17" s="1384"/>
      <c r="AF17" s="1384"/>
      <c r="AG17" s="1385"/>
      <c r="AH17" s="2291"/>
      <c r="AI17" s="2292" t="s">
        <v>66</v>
      </c>
      <c r="AJ17" s="2291"/>
      <c r="AK17" s="2292" t="s">
        <v>66</v>
      </c>
      <c r="AS17" s="1179">
        <v>0</v>
      </c>
    </row>
    <row customHeight="1" ht="14.25" hidden="1">
      <c r="AD18" s="1384"/>
      <c r="AE18" s="1384"/>
      <c r="AF18" s="1384"/>
      <c r="AG18" s="352" t="str">
        <f>AH17&amp;"-"&amp;AJ17</f>
        <v>-</v>
      </c>
      <c r="AH18" s="2292"/>
      <c r="AI18" s="2292"/>
      <c r="AJ18" s="2292"/>
      <c r="AK18" s="2292"/>
      <c r="AS18" s="1179">
        <v>0</v>
      </c>
    </row>
    <row customHeight="1" ht="14.25" hidden="1">
      <c r="AK19" s="351"/>
      <c r="AS19" s="1179">
        <v>0</v>
      </c>
    </row>
    <row s="1390" customFormat="1" customHeight="1" ht="22.5" hidden="1">
      <c r="L20" s="1353"/>
      <c r="M20" s="1386"/>
      <c r="N20" s="1386"/>
      <c r="O20" s="1391" t="s">
        <v>501</v>
      </c>
      <c r="P20" s="1386"/>
      <c r="Q20" s="1395"/>
      <c r="R20" s="1395"/>
      <c r="S20" s="753"/>
      <c r="Z20" s="1391"/>
      <c r="AB20" s="1391"/>
      <c r="AC20" s="1390"/>
      <c r="AH20" s="1391"/>
      <c r="AJ20" s="1391"/>
      <c r="AK20" s="1390"/>
      <c r="AN20" s="535"/>
      <c r="AO20" s="535"/>
      <c r="AP20" s="535"/>
      <c r="AQ20" s="535"/>
      <c r="AR20" s="535"/>
      <c r="AS20" s="1184">
        <v>0</v>
      </c>
    </row>
    <row s="1390" customFormat="1" customHeight="1" ht="14.25" hidden="1">
      <c r="L21" s="1353"/>
      <c r="M21" s="1386"/>
      <c r="N21" s="1386"/>
      <c r="O21" s="1386"/>
      <c r="P21" s="1386"/>
      <c r="Q21" s="1395"/>
      <c r="R21" s="1395"/>
      <c r="S21" s="753"/>
      <c r="AC21" s="1390"/>
      <c r="AK21" s="1390"/>
      <c r="AN21" s="535"/>
      <c r="AO21" s="535"/>
      <c r="AP21" s="535"/>
      <c r="AQ21" s="535"/>
      <c r="AR21" s="535"/>
      <c r="AS21" s="1184">
        <v>0</v>
      </c>
    </row>
    <row s="1390" customFormat="1" customHeight="1" ht="14.25" hidden="1">
      <c r="L22" s="1353"/>
      <c r="M22" s="1386"/>
      <c r="N22" s="1386"/>
      <c r="O22" s="1388" t="s">
        <v>502</v>
      </c>
      <c r="P22" s="1386"/>
      <c r="Q22" s="1395"/>
      <c r="R22" s="1395"/>
      <c r="S22" s="753"/>
      <c r="T22" s="1184" t="s">
        <v>503</v>
      </c>
      <c r="AA22" s="210" t="s">
        <v>504</v>
      </c>
      <c r="AC22" s="210" t="s">
        <v>505</v>
      </c>
      <c r="AD22" s="1184" t="s">
        <v>503</v>
      </c>
      <c r="AI22" s="210" t="s">
        <v>506</v>
      </c>
      <c r="AK22" s="210" t="s">
        <v>505</v>
      </c>
      <c r="AN22" s="535"/>
      <c r="AO22" s="535"/>
      <c r="AP22" s="535"/>
      <c r="AQ22" s="535"/>
      <c r="AR22" s="535"/>
      <c r="AS22" s="1184">
        <v>0</v>
      </c>
    </row>
    <row customHeight="1" ht="14.25" hidden="1">
      <c r="O23" s="1388"/>
      <c r="AS23" s="1179">
        <v>0</v>
      </c>
    </row>
    <row customHeight="1" ht="14.25" hidden="1">
      <c r="O24" s="1388"/>
      <c r="AS24" s="1179">
        <v>0</v>
      </c>
    </row>
    <row customHeight="1" ht="14.699999999999998">
      <c r="Q25" s="400"/>
      <c r="R25" s="400"/>
      <c r="S25" s="1299"/>
      <c r="T25" s="387"/>
      <c r="U25" s="387"/>
      <c r="V25" s="533"/>
      <c r="W25" s="533"/>
      <c r="X25" s="533"/>
      <c r="Y25" s="533"/>
      <c r="Z25" s="533"/>
      <c r="AA25" s="533"/>
      <c r="AB25" s="533"/>
      <c r="AC25" s="533"/>
      <c r="AD25" s="533"/>
      <c r="AE25" s="533"/>
      <c r="AF25" s="533"/>
      <c r="AG25" s="533"/>
      <c r="AH25" s="533"/>
      <c r="AI25" s="533"/>
      <c r="AJ25" s="533"/>
      <c r="AK25" s="533"/>
      <c r="AS25" s="1179">
        <v>14</v>
      </c>
    </row>
    <row customHeight="1" ht="53.54999999999999">
      <c r="Q26" s="400"/>
      <c r="R26" s="400"/>
      <c r="S26" s="227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72"/>
      <c r="U26" s="2272"/>
      <c r="V26" s="2272"/>
      <c r="W26" s="2272"/>
      <c r="X26" s="2272"/>
      <c r="Y26" s="2272"/>
      <c r="Z26" s="2272"/>
      <c r="AA26" s="2272"/>
      <c r="AB26" s="2272"/>
      <c r="AC26" s="2272"/>
      <c r="AD26" s="2272"/>
      <c r="AE26" s="2272"/>
      <c r="AF26" s="2272"/>
      <c r="AG26" s="2272"/>
      <c r="AH26" s="2272"/>
      <c r="AI26" s="2272"/>
      <c r="AJ26" s="2272"/>
      <c r="AK26" s="1267"/>
      <c r="AS26" s="1179">
        <v>51</v>
      </c>
    </row>
    <row customHeight="1" ht="14.699999999999998">
      <c r="Q27" s="400"/>
      <c r="R27" s="400"/>
      <c r="S27" s="2273" t="str">
        <f>IF(org=0,"Не определено",org)</f>
        <v>АО "ДГК"</v>
      </c>
      <c r="T27" s="2273"/>
      <c r="U27" s="2273"/>
      <c r="V27" s="2273"/>
      <c r="W27" s="2273"/>
      <c r="X27" s="2273"/>
      <c r="Y27" s="2273"/>
      <c r="Z27" s="2273"/>
      <c r="AA27" s="2273"/>
      <c r="AB27" s="2273"/>
      <c r="AC27" s="2273"/>
      <c r="AD27" s="2273"/>
      <c r="AE27" s="2273"/>
      <c r="AF27" s="2273"/>
      <c r="AG27" s="2273"/>
      <c r="AH27" s="2273"/>
      <c r="AI27" s="2273"/>
      <c r="AJ27" s="2273"/>
      <c r="AK27" s="1267"/>
      <c r="AS27" s="1179">
        <v>14</v>
      </c>
    </row>
    <row customHeight="1" ht="14.25" hidden="1">
      <c r="Q28" s="400"/>
      <c r="R28" s="400"/>
      <c r="S28" s="1299"/>
      <c r="T28" s="387"/>
      <c r="U28" s="387"/>
      <c r="V28" s="346"/>
      <c r="W28" s="346"/>
      <c r="X28" s="346"/>
      <c r="Y28" s="346"/>
      <c r="Z28" s="346"/>
      <c r="AA28" s="346"/>
      <c r="AB28" s="346"/>
      <c r="AC28" s="346"/>
      <c r="AD28" s="346"/>
      <c r="AE28" s="346"/>
      <c r="AF28" s="346"/>
      <c r="AG28" s="346"/>
      <c r="AH28" s="346"/>
      <c r="AI28" s="346"/>
      <c r="AJ28" s="346"/>
      <c r="AK28" s="346"/>
      <c r="AL28" s="533"/>
      <c r="AS28" s="1179">
        <v>0</v>
      </c>
    </row>
    <row s="1877" customFormat="1" customHeight="1" ht="25.5" hidden="1">
      <c r="A29" s="1392"/>
      <c r="B29" s="1392"/>
      <c r="C29" s="1392"/>
      <c r="D29" s="1392"/>
      <c r="E29" s="1392"/>
      <c r="F29" s="1392"/>
      <c r="G29" s="1392"/>
      <c r="H29" s="1392"/>
      <c r="I29" s="1392"/>
      <c r="J29" s="1392"/>
      <c r="K29" s="1392"/>
      <c r="L29" s="1393"/>
      <c r="M29" s="1392"/>
      <c r="N29" s="1392"/>
      <c r="O29" s="1392"/>
      <c r="S29" s="2274" t="s">
        <v>42</v>
      </c>
      <c r="T29" s="2274"/>
      <c r="U29" s="1396"/>
      <c r="V29" s="2275" t="str">
        <f>IF(TITLE_NAME_OR_PR_CHANGE="",IF(TITLE_NAME_OR_PR="","",TITLE_NAME_OR_PR),TITLE_NAME_OR_PR_CHANGE)</f>
        <v/>
      </c>
      <c r="W29" s="2275"/>
      <c r="X29" s="2275"/>
      <c r="Y29" s="2275"/>
      <c r="Z29" s="2275"/>
      <c r="AA29" s="2275"/>
      <c r="AB29" s="2275"/>
      <c r="AC29" s="350"/>
      <c r="AD29" s="2275" t="str">
        <f>IF(TITLE_NAME_OR_PR_CHANGE="",IF(TITLE_NAME_OR_PR="","",TITLE_NAME_OR_PR),TITLE_NAME_OR_PR_CHANGE)</f>
        <v/>
      </c>
      <c r="AE29" s="2275"/>
      <c r="AF29" s="2275"/>
      <c r="AG29" s="2275"/>
      <c r="AH29" s="2275"/>
      <c r="AI29" s="2275"/>
      <c r="AJ29" s="2275"/>
      <c r="AK29" s="350"/>
      <c r="AL29" s="350"/>
      <c r="AM29" s="304"/>
      <c r="AN29" s="392"/>
      <c r="AO29" s="392"/>
      <c r="AP29" s="392"/>
      <c r="AQ29" s="392"/>
      <c r="AR29" s="392"/>
      <c r="AS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507</v>
      </c>
      <c r="T30" s="2274"/>
      <c r="U30" s="1396"/>
      <c r="V30" s="2288" t="str">
        <f>IF(TITLE_DATE_PR_CHANGE="",IF(TITLE_DATE_PR="","",TITLE_DATE_PR),TITLE_DATE_PR_CHANGE)</f>
        <v/>
      </c>
      <c r="W30" s="2288"/>
      <c r="X30" s="2288"/>
      <c r="Y30" s="2288"/>
      <c r="Z30" s="2288"/>
      <c r="AA30" s="2288"/>
      <c r="AB30" s="2288"/>
      <c r="AC30" s="350"/>
      <c r="AD30" s="2288" t="str">
        <f>IF(TITLE_DATE_PR_CHANGE="",IF(TITLE_DATE_PR="","",TITLE_DATE_PR),TITLE_DATE_PR_CHANGE)</f>
        <v/>
      </c>
      <c r="AE30" s="2288"/>
      <c r="AF30" s="2288"/>
      <c r="AG30" s="2288"/>
      <c r="AH30" s="2288"/>
      <c r="AI30" s="2288"/>
      <c r="AJ30" s="2288"/>
      <c r="AK30" s="350"/>
      <c r="AL30" s="350"/>
      <c r="AM30" s="304"/>
      <c r="AN30" s="392"/>
      <c r="AO30" s="392"/>
      <c r="AP30" s="392"/>
      <c r="AQ30" s="392"/>
      <c r="AR30" s="392"/>
      <c r="AS30" s="442">
        <v>0</v>
      </c>
    </row>
    <row s="1877" customFormat="1" customHeight="1" ht="18.75" hidden="1">
      <c r="A31" s="1392"/>
      <c r="B31" s="1392"/>
      <c r="C31" s="1392"/>
      <c r="D31" s="1392"/>
      <c r="E31" s="1392"/>
      <c r="F31" s="1392"/>
      <c r="G31" s="1392"/>
      <c r="H31" s="1392"/>
      <c r="I31" s="1392"/>
      <c r="J31" s="1392"/>
      <c r="K31" s="1392"/>
      <c r="L31" s="1393"/>
      <c r="M31" s="1392"/>
      <c r="N31" s="1392"/>
      <c r="O31" s="1392"/>
      <c r="S31" s="2274" t="s">
        <v>508</v>
      </c>
      <c r="T31" s="2274"/>
      <c r="U31" s="1396"/>
      <c r="V31" s="2275" t="str">
        <f>IF(TITLE_NUMBER_PR_CHANGE="",IF(TITLE_NUMBER_PR="","",TITLE_NUMBER_PR),TITLE_NUMBER_PR_CHANGE)</f>
        <v/>
      </c>
      <c r="W31" s="2275"/>
      <c r="X31" s="2275"/>
      <c r="Y31" s="2275"/>
      <c r="Z31" s="2275"/>
      <c r="AA31" s="2275"/>
      <c r="AB31" s="2275"/>
      <c r="AC31" s="350"/>
      <c r="AD31" s="2275" t="str">
        <f>IF(TITLE_NUMBER_PR_CHANGE="",IF(TITLE_NUMBER_PR="","",TITLE_NUMBER_PR),TITLE_NUMBER_PR_CHANGE)</f>
        <v/>
      </c>
      <c r="AE31" s="2275"/>
      <c r="AF31" s="2275"/>
      <c r="AG31" s="2275"/>
      <c r="AH31" s="2275"/>
      <c r="AI31" s="2275"/>
      <c r="AJ31" s="2275"/>
      <c r="AK31" s="350"/>
      <c r="AL31" s="350"/>
      <c r="AM31" s="304"/>
      <c r="AN31" s="392"/>
      <c r="AO31" s="392"/>
      <c r="AP31" s="392"/>
      <c r="AQ31" s="392"/>
      <c r="AR31" s="392"/>
      <c r="AS31" s="442">
        <v>0</v>
      </c>
    </row>
    <row s="1877" customFormat="1" customHeight="1" ht="18.75" hidden="1">
      <c r="A32" s="1392"/>
      <c r="B32" s="1392"/>
      <c r="C32" s="1392"/>
      <c r="D32" s="1392"/>
      <c r="E32" s="1392"/>
      <c r="F32" s="1392"/>
      <c r="G32" s="1392"/>
      <c r="H32" s="1392"/>
      <c r="I32" s="1392"/>
      <c r="J32" s="1392"/>
      <c r="K32" s="1392"/>
      <c r="L32" s="1393"/>
      <c r="M32" s="1392"/>
      <c r="N32" s="1392"/>
      <c r="O32" s="1392"/>
      <c r="S32" s="2274" t="s">
        <v>43</v>
      </c>
      <c r="T32" s="2274"/>
      <c r="U32" s="1396"/>
      <c r="V32" s="2275" t="str">
        <f>IF(TITLE_IST_PUB_CHANGE="",IF(TITLE_IST_PUB="","",TITLE_IST_PUB),TITLE_IST_PUB_CHANGE)</f>
        <v/>
      </c>
      <c r="W32" s="2275"/>
      <c r="X32" s="2275"/>
      <c r="Y32" s="2275"/>
      <c r="Z32" s="2275"/>
      <c r="AA32" s="2275"/>
      <c r="AB32" s="2275"/>
      <c r="AC32" s="350"/>
      <c r="AD32" s="2275" t="str">
        <f>IF(TITLE_IST_PUB_CHANGE="",IF(TITLE_IST_PUB="","",TITLE_IST_PUB),TITLE_IST_PUB_CHANGE)</f>
        <v/>
      </c>
      <c r="AE32" s="2275"/>
      <c r="AF32" s="2275"/>
      <c r="AG32" s="2275"/>
      <c r="AH32" s="2275"/>
      <c r="AI32" s="2275"/>
      <c r="AJ32" s="2275"/>
      <c r="AK32" s="350"/>
      <c r="AL32" s="350"/>
      <c r="AM32" s="304"/>
      <c r="AN32" s="392"/>
      <c r="AO32" s="392"/>
      <c r="AP32" s="392"/>
      <c r="AQ32" s="392"/>
      <c r="AR32" s="392"/>
      <c r="AS32" s="442">
        <v>0</v>
      </c>
    </row>
    <row customHeight="1" ht="14.25" hidden="1">
      <c r="Q33" s="400"/>
      <c r="R33" s="400"/>
      <c r="S33" s="1299"/>
      <c r="T33" s="387"/>
      <c r="U33" s="387"/>
      <c r="V33" s="346"/>
      <c r="W33" s="346"/>
      <c r="X33" s="346"/>
      <c r="Y33" s="346"/>
      <c r="Z33" s="346"/>
      <c r="AA33" s="346"/>
      <c r="AB33" s="346"/>
      <c r="AC33" s="346"/>
      <c r="AD33" s="346"/>
      <c r="AE33" s="346"/>
      <c r="AF33" s="346"/>
      <c r="AG33" s="346"/>
      <c r="AH33" s="346"/>
      <c r="AI33" s="346"/>
      <c r="AJ33" s="346"/>
      <c r="AK33" s="346"/>
      <c r="AL33" s="533"/>
      <c r="AS33" s="1179">
        <v>0</v>
      </c>
    </row>
    <row s="1877" customFormat="1" customHeight="1" ht="18.75" hidden="1">
      <c r="A34" s="1392"/>
      <c r="B34" s="1392"/>
      <c r="C34" s="1392"/>
      <c r="D34" s="1392"/>
      <c r="E34" s="1392"/>
      <c r="F34" s="1392"/>
      <c r="G34" s="1392"/>
      <c r="H34" s="1392"/>
      <c r="I34" s="1392"/>
      <c r="J34" s="1392"/>
      <c r="K34" s="1392"/>
      <c r="L34" s="1393"/>
      <c r="M34" s="1392"/>
      <c r="N34" s="1392"/>
      <c r="O34" s="1392"/>
      <c r="S34" s="2274" t="s">
        <v>509</v>
      </c>
      <c r="T34" s="2274"/>
      <c r="U34" s="1396"/>
      <c r="V34" s="2288" t="str">
        <f>IF(TITLE_DATE_PR_CHANGE="",IF(TITLE_DATE_PR="","",TITLE_DATE_PR),TITLE_DATE_PR_CHANGE)</f>
        <v/>
      </c>
      <c r="W34" s="2288"/>
      <c r="X34" s="2288"/>
      <c r="Y34" s="2288"/>
      <c r="Z34" s="2288"/>
      <c r="AA34" s="2288"/>
      <c r="AB34" s="2288"/>
      <c r="AC34" s="350"/>
      <c r="AD34" s="2288" t="str">
        <f>IF(TITLE_DATE_PR_CHANGE="",IF(TITLE_DATE_PR="","",TITLE_DATE_PR),TITLE_DATE_PR_CHANGE)</f>
        <v/>
      </c>
      <c r="AE34" s="2288"/>
      <c r="AF34" s="2288"/>
      <c r="AG34" s="2288"/>
      <c r="AH34" s="2288"/>
      <c r="AI34" s="2288"/>
      <c r="AJ34" s="2288"/>
      <c r="AK34" s="350"/>
      <c r="AL34" s="350"/>
      <c r="AM34" s="304"/>
      <c r="AN34" s="392"/>
      <c r="AO34" s="392"/>
      <c r="AP34" s="392"/>
      <c r="AQ34" s="392"/>
      <c r="AR34" s="392"/>
      <c r="AS34" s="442">
        <v>0</v>
      </c>
    </row>
    <row s="1877" customFormat="1" customHeight="1" ht="25.5" hidden="1">
      <c r="A35" s="1392"/>
      <c r="B35" s="1392"/>
      <c r="C35" s="1392"/>
      <c r="D35" s="1392"/>
      <c r="E35" s="1392"/>
      <c r="F35" s="1392"/>
      <c r="G35" s="1392"/>
      <c r="H35" s="1392"/>
      <c r="I35" s="1392"/>
      <c r="J35" s="1392"/>
      <c r="K35" s="1392"/>
      <c r="L35" s="1393"/>
      <c r="M35" s="1392"/>
      <c r="N35" s="1392"/>
      <c r="O35" s="1392"/>
      <c r="S35" s="2274" t="s">
        <v>510</v>
      </c>
      <c r="T35" s="2274"/>
      <c r="U35" s="1396"/>
      <c r="V35" s="2275" t="str">
        <f>IF(TITLE_NUMBER_PR_CHANGE="",IF(TITLE_NUMBER_PR="","",TITLE_NUMBER_PR),TITLE_NUMBER_PR_CHANGE)</f>
        <v/>
      </c>
      <c r="W35" s="2275"/>
      <c r="X35" s="2275"/>
      <c r="Y35" s="2275"/>
      <c r="Z35" s="2275"/>
      <c r="AA35" s="2275"/>
      <c r="AB35" s="2275"/>
      <c r="AC35" s="350"/>
      <c r="AD35" s="2275" t="str">
        <f>IF(TITLE_NUMBER_PR_CHANGE="",IF(TITLE_NUMBER_PR="","",TITLE_NUMBER_PR),TITLE_NUMBER_PR_CHANGE)</f>
        <v/>
      </c>
      <c r="AE35" s="2275"/>
      <c r="AF35" s="2275"/>
      <c r="AG35" s="2275"/>
      <c r="AH35" s="2275"/>
      <c r="AI35" s="2275"/>
      <c r="AJ35" s="2275"/>
      <c r="AK35" s="350"/>
      <c r="AL35" s="350"/>
      <c r="AM35" s="304"/>
      <c r="AN35" s="392"/>
      <c r="AO35" s="392"/>
      <c r="AP35" s="392"/>
      <c r="AQ35" s="392"/>
      <c r="AR35" s="392"/>
      <c r="AS35" s="442">
        <v>0</v>
      </c>
    </row>
    <row s="1877" customFormat="1" customHeight="1" ht="0">
      <c r="A36" s="1392"/>
      <c r="B36" s="1392"/>
      <c r="C36" s="1392"/>
      <c r="D36" s="1392"/>
      <c r="E36" s="1392"/>
      <c r="F36" s="1392"/>
      <c r="G36" s="1392"/>
      <c r="H36" s="1392"/>
      <c r="I36" s="1392"/>
      <c r="J36" s="1392"/>
      <c r="K36" s="1392"/>
      <c r="L36" s="1393"/>
      <c r="M36" s="1392"/>
      <c r="N36" s="1392"/>
      <c r="O36" s="1392"/>
      <c r="S36" s="347"/>
      <c r="T36" s="347"/>
      <c r="U36" s="1364"/>
      <c r="V36" s="350"/>
      <c r="W36" s="350"/>
      <c r="X36" s="350"/>
      <c r="Y36" s="350"/>
      <c r="Z36" s="350"/>
      <c r="AA36" s="350"/>
      <c r="AB36" s="350"/>
      <c r="AC36" s="302" t="s">
        <v>511</v>
      </c>
      <c r="AD36" s="350"/>
      <c r="AE36" s="350"/>
      <c r="AF36" s="350"/>
      <c r="AG36" s="350"/>
      <c r="AH36" s="350"/>
      <c r="AI36" s="350"/>
      <c r="AJ36" s="350"/>
      <c r="AK36" s="302" t="s">
        <v>511</v>
      </c>
      <c r="AN36" s="392"/>
      <c r="AO36" s="392"/>
      <c r="AP36" s="392"/>
      <c r="AQ36" s="392"/>
      <c r="AR36" s="392"/>
      <c r="AS36" s="442">
        <v>0</v>
      </c>
    </row>
    <row customHeight="1" ht="14.699999999999998">
      <c r="Q37" s="400"/>
      <c r="R37" s="400"/>
      <c r="S37" s="1299"/>
      <c r="T37" s="387"/>
      <c r="U37" s="1268"/>
      <c r="V37" s="2276"/>
      <c r="W37" s="2276"/>
      <c r="X37" s="2276"/>
      <c r="Y37" s="2276"/>
      <c r="Z37" s="2276"/>
      <c r="AA37" s="2276"/>
      <c r="AB37" s="2276"/>
      <c r="AC37" s="2276"/>
      <c r="AD37" s="2276"/>
      <c r="AE37" s="2276"/>
      <c r="AF37" s="2276"/>
      <c r="AG37" s="2276"/>
      <c r="AH37" s="2276"/>
      <c r="AI37" s="2276"/>
      <c r="AJ37" s="2276"/>
      <c r="AK37" s="2276"/>
      <c r="AS37" s="1179">
        <v>14</v>
      </c>
    </row>
    <row customHeight="1" ht="14.699999999999998">
      <c r="Q38" s="400"/>
      <c r="R38" s="400"/>
      <c r="S38" s="2151" t="s">
        <v>384</v>
      </c>
      <c r="T38" s="2151"/>
      <c r="U38" s="2151"/>
      <c r="V38" s="2151"/>
      <c r="W38" s="2151"/>
      <c r="X38" s="2151"/>
      <c r="Y38" s="2151"/>
      <c r="Z38" s="2151"/>
      <c r="AA38" s="2151"/>
      <c r="AB38" s="2151"/>
      <c r="AC38" s="2151"/>
      <c r="AD38" s="2151"/>
      <c r="AE38" s="2151"/>
      <c r="AF38" s="2151"/>
      <c r="AG38" s="2151"/>
      <c r="AH38" s="2151"/>
      <c r="AI38" s="2151"/>
      <c r="AJ38" s="2151"/>
      <c r="AK38" s="2151"/>
      <c r="AL38" s="2151"/>
      <c r="AM38" s="2151" t="s">
        <v>385</v>
      </c>
      <c r="AS38" s="1179">
        <v>14</v>
      </c>
    </row>
    <row customHeight="1" ht="14.699999999999998">
      <c r="Q39" s="400"/>
      <c r="R39" s="400"/>
      <c r="S39" s="2297" t="s">
        <v>88</v>
      </c>
      <c r="T39" s="2233" t="s">
        <v>512</v>
      </c>
      <c r="U39" s="325"/>
      <c r="V39" s="2298" t="s">
        <v>513</v>
      </c>
      <c r="W39" s="2299"/>
      <c r="X39" s="2299"/>
      <c r="Y39" s="2299"/>
      <c r="Z39" s="2299"/>
      <c r="AA39" s="2299"/>
      <c r="AB39" s="2300"/>
      <c r="AC39" s="2301" t="s">
        <v>514</v>
      </c>
      <c r="AD39" s="2298" t="s">
        <v>513</v>
      </c>
      <c r="AE39" s="2299"/>
      <c r="AF39" s="2299"/>
      <c r="AG39" s="2299"/>
      <c r="AH39" s="2299"/>
      <c r="AI39" s="2299"/>
      <c r="AJ39" s="2300"/>
      <c r="AK39" s="2301" t="s">
        <v>515</v>
      </c>
      <c r="AL39" s="2304" t="s">
        <v>516</v>
      </c>
      <c r="AM39" s="2151"/>
      <c r="AS39" s="1179">
        <v>14</v>
      </c>
    </row>
    <row customHeight="1" ht="35.699999999999996">
      <c r="Q40" s="400"/>
      <c r="R40" s="400"/>
      <c r="S40" s="2297"/>
      <c r="T40" s="2233"/>
      <c r="U40" s="1055"/>
      <c r="V40" s="2284" t="s">
        <v>517</v>
      </c>
      <c r="W40" s="2307"/>
      <c r="X40" s="2286" t="s">
        <v>519</v>
      </c>
      <c r="Y40" s="2287"/>
      <c r="Z40" s="2286" t="s">
        <v>520</v>
      </c>
      <c r="AA40" s="2293"/>
      <c r="AB40" s="2287"/>
      <c r="AC40" s="2302"/>
      <c r="AD40" s="2284" t="s">
        <v>534</v>
      </c>
      <c r="AE40" s="2307"/>
      <c r="AF40" s="2286" t="s">
        <v>519</v>
      </c>
      <c r="AG40" s="2287"/>
      <c r="AH40" s="2286" t="s">
        <v>520</v>
      </c>
      <c r="AI40" s="2293"/>
      <c r="AJ40" s="2287"/>
      <c r="AK40" s="2302"/>
      <c r="AL40" s="2305"/>
      <c r="AM40" s="2151"/>
      <c r="AS40" s="1179">
        <v>34</v>
      </c>
    </row>
    <row customHeight="1" ht="35.699999999999996">
      <c r="A41" s="1394"/>
      <c r="B41" s="1394" t="s">
        <v>223</v>
      </c>
      <c r="C41" s="1394" t="s">
        <v>224</v>
      </c>
      <c r="D41" s="1394" t="s">
        <v>225</v>
      </c>
      <c r="E41" s="1388" t="s">
        <v>521</v>
      </c>
      <c r="F41" s="1388" t="s">
        <v>522</v>
      </c>
      <c r="G41" s="1388" t="s">
        <v>523</v>
      </c>
      <c r="H41" s="1388" t="s">
        <v>524</v>
      </c>
      <c r="I41" s="1388" t="s">
        <v>525</v>
      </c>
      <c r="J41" s="1388" t="s">
        <v>526</v>
      </c>
      <c r="K41" s="1388" t="s">
        <v>527</v>
      </c>
      <c r="L41" s="1388" t="s">
        <v>502</v>
      </c>
      <c r="Q41" s="400"/>
      <c r="R41" s="400"/>
      <c r="S41" s="2297"/>
      <c r="T41" s="2233"/>
      <c r="U41" s="326"/>
      <c r="V41" s="2285"/>
      <c r="W41" s="2308"/>
      <c r="X41" s="1246" t="s">
        <v>528</v>
      </c>
      <c r="Y41" s="1246" t="s">
        <v>529</v>
      </c>
      <c r="Z41" s="1362" t="s">
        <v>530</v>
      </c>
      <c r="AA41" s="2294" t="s">
        <v>531</v>
      </c>
      <c r="AB41" s="2295"/>
      <c r="AC41" s="2303"/>
      <c r="AD41" s="2285"/>
      <c r="AE41" s="2308"/>
      <c r="AF41" s="1246" t="s">
        <v>528</v>
      </c>
      <c r="AG41" s="1246" t="s">
        <v>529</v>
      </c>
      <c r="AH41" s="1362" t="s">
        <v>530</v>
      </c>
      <c r="AI41" s="2294" t="s">
        <v>531</v>
      </c>
      <c r="AJ41" s="2295"/>
      <c r="AK41" s="2303"/>
      <c r="AL41" s="2306"/>
      <c r="AM41" s="2151"/>
      <c r="AS41" s="1179">
        <v>34</v>
      </c>
    </row>
    <row s="1665" customFormat="1" customHeight="1" ht="11.25" hidden="1">
      <c r="A42" s="1394"/>
      <c r="B42" s="1394"/>
      <c r="C42" s="1394"/>
      <c r="D42" s="1394"/>
      <c r="E42" s="1394"/>
      <c r="F42" s="1394"/>
      <c r="G42" s="1394"/>
      <c r="H42" s="1394"/>
      <c r="I42" s="1394"/>
      <c r="J42" s="1394"/>
      <c r="K42" s="1394"/>
      <c r="L42" s="1388"/>
      <c r="M42" s="1386"/>
      <c r="N42" s="1386"/>
      <c r="O42" s="1386"/>
      <c r="P42" s="1270"/>
      <c r="Q42" s="1271"/>
      <c r="R42" s="1278">
        <v>1</v>
      </c>
      <c r="S42" s="1301" t="s">
        <v>170</v>
      </c>
      <c r="T42" s="1279" t="s">
        <v>103</v>
      </c>
      <c r="U42" s="1269" t="str">
        <f>OFFSET(U42,0,-1)</f>
        <v>2</v>
      </c>
      <c r="V42" s="1359">
        <f>OFFSET(V42,0,-1)+1</f>
        <v>3</v>
      </c>
      <c r="W42" s="1359"/>
      <c r="X42" s="1359">
        <f>OFFSET(X42,0,-1)+1</f>
        <v>1</v>
      </c>
      <c r="Y42" s="1359">
        <f>OFFSET(Y42,0,-1)+1</f>
        <v>2</v>
      </c>
      <c r="Z42" s="1359">
        <f>OFFSET(Z42,0,-1)+1</f>
        <v>3</v>
      </c>
      <c r="AA42" s="2296">
        <f>OFFSET(AA42,0,-1)+1</f>
        <v>4</v>
      </c>
      <c r="AB42" s="2296"/>
      <c r="AC42" s="1359">
        <f>OFFSET(AC42,0,-2)+1</f>
        <v>5</v>
      </c>
      <c r="AD42" s="1359">
        <f>OFFSET(AD42,0,-1)+1</f>
        <v>6</v>
      </c>
      <c r="AE42" s="1359"/>
      <c r="AF42" s="1359">
        <f>OFFSET(AF42,0,-1)+1</f>
        <v>1</v>
      </c>
      <c r="AG42" s="1359">
        <f>OFFSET(AG42,0,-1)+1</f>
        <v>2</v>
      </c>
      <c r="AH42" s="1359">
        <f>OFFSET(AH42,0,-1)+1</f>
        <v>3</v>
      </c>
      <c r="AI42" s="2296">
        <f>OFFSET(AI42,0,-1)+1</f>
        <v>4</v>
      </c>
      <c r="AJ42" s="2296"/>
      <c r="AK42" s="1359">
        <f>OFFSET(AK42,0,-2)+1</f>
        <v>5</v>
      </c>
      <c r="AL42" s="1269">
        <f>OFFSET(AL42,0,-1)</f>
        <v>5</v>
      </c>
      <c r="AM42" s="1359">
        <f>OFFSET(AM42,0,-1)+1</f>
        <v>6</v>
      </c>
      <c r="AN42" s="535"/>
      <c r="AO42" s="535"/>
      <c r="AP42" s="535"/>
      <c r="AQ42" s="535"/>
      <c r="AR42" s="535"/>
      <c r="AS42" s="520">
        <v>0</v>
      </c>
    </row>
    <row customHeight="1" ht="22.049999999999997">
      <c r="A43" s="1387" t="s">
        <v>272</v>
      </c>
      <c r="B43" s="1387"/>
      <c r="C43" s="1387"/>
      <c r="D43" s="1387"/>
      <c r="E43" s="2282">
        <v>1</v>
      </c>
      <c r="F43" s="1387"/>
      <c r="G43" s="1387"/>
      <c r="H43" s="1387"/>
      <c r="I43" s="1387"/>
      <c r="J43" s="1387"/>
      <c r="K43" s="1387"/>
      <c r="L43" s="1388"/>
      <c r="M43" s="1389"/>
      <c r="N43" s="1389"/>
      <c r="O43" s="1389"/>
      <c r="P43" s="385"/>
      <c r="Q43" s="384"/>
      <c r="R43" s="379"/>
      <c r="S43" s="1360">
        <f>INDEX(PT_DIFFERENTIATION_NUM_NTAR,MATCH(A43,PT_DIFFERENTIATION_NTAR_ID,0))</f>
        <v>0</v>
      </c>
      <c r="T43" s="322" t="s">
        <v>211</v>
      </c>
      <c r="U43" s="324"/>
      <c r="V43" s="2266"/>
      <c r="W43" s="2267"/>
      <c r="X43" s="2267"/>
      <c r="Y43" s="2267"/>
      <c r="Z43" s="2267"/>
      <c r="AA43" s="2267"/>
      <c r="AB43" s="2267"/>
      <c r="AC43" s="2268"/>
      <c r="AD43" s="2266" t="str">
        <f>INDEX(PT_DIFFERENTIATION_NTAR,MATCH(A43,PT_DIFFERENTIATION_NTAR_ID,0))</f>
        <v/>
      </c>
      <c r="AE43" s="2267"/>
      <c r="AF43" s="2267"/>
      <c r="AG43" s="2267"/>
      <c r="AH43" s="2267"/>
      <c r="AI43" s="2267"/>
      <c r="AJ43" s="2267"/>
      <c r="AK43" s="2267"/>
      <c r="AL43" s="2268"/>
      <c r="AM43" s="12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24"/>
      <c r="AP43" s="524" t="str">
        <f>IF(T43="","",T43)</f>
        <v>Наименование тарифа</v>
      </c>
      <c r="AQ43" s="524"/>
      <c r="AR43" s="524"/>
      <c r="AS43" s="1179">
        <v>21</v>
      </c>
    </row>
    <row customHeight="1" ht="22.049999999999997">
      <c r="A44" s="1387" t="s">
        <v>272</v>
      </c>
      <c r="B44" s="1387" t="s">
        <v>273</v>
      </c>
      <c r="C44" s="1387"/>
      <c r="D44" s="1387"/>
      <c r="E44" s="2283"/>
      <c r="F44" s="2282">
        <v>1</v>
      </c>
      <c r="G44" s="1387"/>
      <c r="H44" s="1387"/>
      <c r="I44" s="1387"/>
      <c r="J44" s="1387"/>
      <c r="K44" s="1387"/>
      <c r="L44" s="1388"/>
      <c r="M44" s="1389"/>
      <c r="N44" s="1389"/>
      <c r="O44" s="1389"/>
      <c r="P44" s="1356"/>
      <c r="Q44" s="376"/>
      <c r="R44" s="377"/>
      <c r="S44" s="1360" t="str">
        <f>INDEX(PT_DIFFERENTIATION_NUM_TER,MATCH(B44,PT_DIFFERENTIATION_TER_ID,0))</f>
        <v>.</v>
      </c>
      <c r="T44" s="332" t="s">
        <v>481</v>
      </c>
      <c r="U44" s="324"/>
      <c r="V44" s="2266"/>
      <c r="W44" s="2267"/>
      <c r="X44" s="2267"/>
      <c r="Y44" s="2267"/>
      <c r="Z44" s="2267"/>
      <c r="AA44" s="2267"/>
      <c r="AB44" s="2267"/>
      <c r="AC44" s="2268"/>
      <c r="AD44" s="2266" t="str">
        <f>INDEX(PT_DIFFERENTIATION_TER,MATCH(B44,PT_DIFFERENTIATION_TER_ID,0))</f>
        <v/>
      </c>
      <c r="AE44" s="2267"/>
      <c r="AF44" s="2267"/>
      <c r="AG44" s="2267"/>
      <c r="AH44" s="2267"/>
      <c r="AI44" s="2267"/>
      <c r="AJ44" s="2267"/>
      <c r="AK44" s="2267"/>
      <c r="AL44" s="2268"/>
      <c r="AM44" s="1282" t="s">
        <v>482</v>
      </c>
      <c r="AO44" s="524"/>
      <c r="AP44" s="524" t="str">
        <f>IF(T44="","",T44)</f>
        <v>Территория действия тарифа</v>
      </c>
      <c r="AQ44" s="524"/>
      <c r="AR44" s="524"/>
      <c r="AS44" s="1179">
        <v>21</v>
      </c>
    </row>
    <row customHeight="1" ht="24">
      <c r="A45" s="1387" t="s">
        <v>272</v>
      </c>
      <c r="B45" s="1387" t="s">
        <v>273</v>
      </c>
      <c r="C45" s="1387" t="s">
        <v>274</v>
      </c>
      <c r="D45" s="1387"/>
      <c r="E45" s="2283"/>
      <c r="F45" s="2283"/>
      <c r="G45" s="2282">
        <v>1</v>
      </c>
      <c r="H45" s="1387"/>
      <c r="I45" s="1387"/>
      <c r="J45" s="1387"/>
      <c r="K45" s="1387"/>
      <c r="L45" s="1388"/>
      <c r="M45" s="1389"/>
      <c r="N45" s="1389"/>
      <c r="O45" s="1389"/>
      <c r="P45" s="378"/>
      <c r="Q45" s="376"/>
      <c r="R45" s="377"/>
      <c r="S45" s="1360" t="str">
        <f>INDEX(PT_DIFFERENTIATION_NUM_CS,MATCH(C45,PT_DIFFERENTIATION_CS_ID,0))</f>
        <v>..</v>
      </c>
      <c r="T45" s="333" t="s">
        <v>483</v>
      </c>
      <c r="U45" s="324"/>
      <c r="V45" s="2266"/>
      <c r="W45" s="2267"/>
      <c r="X45" s="2267"/>
      <c r="Y45" s="2267"/>
      <c r="Z45" s="2267"/>
      <c r="AA45" s="2267"/>
      <c r="AB45" s="2267"/>
      <c r="AC45" s="2268"/>
      <c r="AD45" s="2266" t="str">
        <f>INDEX(PT_DIFFERENTIATION_CS,MATCH(C45,PT_DIFFERENTIATION_CS_ID,0))</f>
        <v/>
      </c>
      <c r="AE45" s="2267"/>
      <c r="AF45" s="2267"/>
      <c r="AG45" s="2267"/>
      <c r="AH45" s="2267"/>
      <c r="AI45" s="2267"/>
      <c r="AJ45" s="2267"/>
      <c r="AK45" s="2267"/>
      <c r="AL45" s="2268"/>
      <c r="AM45" s="1282" t="s">
        <v>484</v>
      </c>
      <c r="AO45" s="524"/>
      <c r="AP45" s="524" t="str">
        <f>IF(T45="","",T45)</f>
        <v>Наименование системы теплоснабжения </v>
      </c>
      <c r="AQ45" s="524"/>
      <c r="AR45" s="524"/>
      <c r="AS45" s="1179">
        <v>23</v>
      </c>
    </row>
    <row customHeight="1" ht="22.049999999999997">
      <c r="A46" s="1387" t="s">
        <v>272</v>
      </c>
      <c r="B46" s="1387" t="s">
        <v>273</v>
      </c>
      <c r="C46" s="1387" t="s">
        <v>274</v>
      </c>
      <c r="D46" s="1387" t="s">
        <v>275</v>
      </c>
      <c r="E46" s="2283"/>
      <c r="F46" s="2283"/>
      <c r="G46" s="2283"/>
      <c r="H46" s="2282">
        <v>1</v>
      </c>
      <c r="I46" s="1387"/>
      <c r="J46" s="1387"/>
      <c r="K46" s="1387"/>
      <c r="L46" s="1388"/>
      <c r="M46" s="1389"/>
      <c r="N46" s="1389"/>
      <c r="O46" s="1389"/>
      <c r="P46" s="378"/>
      <c r="Q46" s="376"/>
      <c r="R46" s="377"/>
      <c r="S46" s="1360" t="str">
        <f>INDEX(PT_DIFFERENTIATION_NUM_IST_TE,MATCH(D46,PT_DIFFERENTIATION_IST_TE_ID,0))</f>
        <v>...</v>
      </c>
      <c r="T46" s="334" t="s">
        <v>485</v>
      </c>
      <c r="U46" s="324"/>
      <c r="V46" s="2266"/>
      <c r="W46" s="2267"/>
      <c r="X46" s="2267"/>
      <c r="Y46" s="2267"/>
      <c r="Z46" s="2267"/>
      <c r="AA46" s="2267"/>
      <c r="AB46" s="2267"/>
      <c r="AC46" s="2268"/>
      <c r="AD46" s="2266" t="str">
        <f>INDEX(PT_DIFFERENTIATION_IST_TE,MATCH(D46,PT_DIFFERENTIATION_IST_TE_ID,0))</f>
        <v/>
      </c>
      <c r="AE46" s="2267"/>
      <c r="AF46" s="2267"/>
      <c r="AG46" s="2267"/>
      <c r="AH46" s="2267"/>
      <c r="AI46" s="2267"/>
      <c r="AJ46" s="2267"/>
      <c r="AK46" s="2267"/>
      <c r="AL46" s="2268"/>
      <c r="AM46" s="1282" t="s">
        <v>486</v>
      </c>
      <c r="AO46" s="524"/>
      <c r="AP46" s="524" t="str">
        <f>IF(T46="","",T46)</f>
        <v>Источник тепловой энергии  </v>
      </c>
      <c r="AQ46" s="524"/>
      <c r="AR46" s="524"/>
      <c r="AS46" s="1179">
        <v>21</v>
      </c>
    </row>
    <row s="1666" customFormat="1" customHeight="1" ht="0">
      <c r="A47" s="1367" t="s">
        <v>272</v>
      </c>
      <c r="B47" s="1367" t="s">
        <v>273</v>
      </c>
      <c r="C47" s="1367" t="s">
        <v>274</v>
      </c>
      <c r="D47" s="1367" t="s">
        <v>275</v>
      </c>
      <c r="E47" s="2283"/>
      <c r="F47" s="2283"/>
      <c r="G47" s="2283"/>
      <c r="H47" s="2283"/>
      <c r="I47" s="2280" t="str">
        <f>S46&amp;".1"</f>
        <v>....1</v>
      </c>
      <c r="J47" s="1367"/>
      <c r="K47" s="1367"/>
      <c r="L47" s="1370" t="s">
        <v>487</v>
      </c>
      <c r="M47" s="534"/>
      <c r="N47" s="534"/>
      <c r="O47" s="534"/>
      <c r="P47" s="2281">
        <v>1</v>
      </c>
      <c r="Q47" s="1355"/>
      <c r="R47" s="380"/>
      <c r="S47" s="1066"/>
      <c r="T47" s="1407"/>
      <c r="U47" s="1408"/>
      <c r="V47" s="2320"/>
      <c r="W47" s="2321"/>
      <c r="X47" s="2321"/>
      <c r="Y47" s="2321"/>
      <c r="Z47" s="2321"/>
      <c r="AA47" s="2321"/>
      <c r="AB47" s="2321"/>
      <c r="AC47" s="2322"/>
      <c r="AD47" s="2320"/>
      <c r="AE47" s="2321"/>
      <c r="AF47" s="2321"/>
      <c r="AG47" s="2321"/>
      <c r="AH47" s="2321"/>
      <c r="AI47" s="2321"/>
      <c r="AJ47" s="2321"/>
      <c r="AK47" s="2321"/>
      <c r="AL47" s="2322"/>
      <c r="AM47" s="1409"/>
      <c r="AO47" s="524"/>
      <c r="AP47" s="524" t="str">
        <f>IF(T47="","",T47)</f>
        <v/>
      </c>
      <c r="AQ47" s="524"/>
      <c r="AR47" s="524"/>
      <c r="AS47" s="535">
        <v>0</v>
      </c>
    </row>
    <row customHeight="1" ht="22.049999999999997">
      <c r="A48" s="1387" t="s">
        <v>272</v>
      </c>
      <c r="B48" s="1387" t="s">
        <v>273</v>
      </c>
      <c r="C48" s="1387" t="s">
        <v>274</v>
      </c>
      <c r="D48" s="1387" t="s">
        <v>275</v>
      </c>
      <c r="E48" s="2283"/>
      <c r="F48" s="2283"/>
      <c r="G48" s="2283"/>
      <c r="H48" s="2283"/>
      <c r="I48" s="2310"/>
      <c r="J48" s="2280" t="str">
        <f>S46&amp;".1"</f>
        <v>....1</v>
      </c>
      <c r="K48" s="1387"/>
      <c r="L48" s="1388" t="s">
        <v>490</v>
      </c>
      <c r="P48" s="2281"/>
      <c r="Q48" s="2281">
        <v>1</v>
      </c>
      <c r="R48" s="381"/>
      <c r="S48" s="1360" t="str">
        <f>$J48</f>
        <v>....1</v>
      </c>
      <c r="T48" s="310" t="s">
        <v>491</v>
      </c>
      <c r="U48" s="324"/>
      <c r="V48" s="2269"/>
      <c r="W48" s="2270"/>
      <c r="X48" s="2270"/>
      <c r="Y48" s="2270"/>
      <c r="Z48" s="2270"/>
      <c r="AA48" s="2270"/>
      <c r="AB48" s="2270"/>
      <c r="AC48" s="2271"/>
      <c r="AD48" s="2269"/>
      <c r="AE48" s="2270"/>
      <c r="AF48" s="2270"/>
      <c r="AG48" s="2270"/>
      <c r="AH48" s="2270"/>
      <c r="AI48" s="2270"/>
      <c r="AJ48" s="2270"/>
      <c r="AK48" s="2270"/>
      <c r="AL48" s="2271"/>
      <c r="AM48" s="1282" t="s">
        <v>492</v>
      </c>
      <c r="AO48" s="524"/>
      <c r="AP48" s="524" t="str">
        <f>IF(T48="","",T48)</f>
        <v>Группа потребителей</v>
      </c>
      <c r="AQ48" s="524"/>
      <c r="AR48" s="524"/>
      <c r="AS48" s="1179">
        <v>21</v>
      </c>
    </row>
    <row customHeight="1" ht="22.049999999999997">
      <c r="A49" s="1387" t="s">
        <v>272</v>
      </c>
      <c r="B49" s="1387" t="s">
        <v>273</v>
      </c>
      <c r="C49" s="1387" t="s">
        <v>274</v>
      </c>
      <c r="D49" s="1387" t="s">
        <v>275</v>
      </c>
      <c r="E49" s="2283"/>
      <c r="F49" s="2283"/>
      <c r="G49" s="2283"/>
      <c r="H49" s="2283"/>
      <c r="I49" s="2310"/>
      <c r="J49" s="2310"/>
      <c r="K49" s="2280" t="str">
        <f>J48&amp;".1"</f>
        <v>....1.1</v>
      </c>
      <c r="L49" s="1388" t="s">
        <v>493</v>
      </c>
      <c r="P49" s="2281"/>
      <c r="Q49" s="2281"/>
      <c r="R49" s="381">
        <v>1</v>
      </c>
      <c r="S49" s="1360" t="str">
        <f>$K49</f>
        <v>....1.1</v>
      </c>
      <c r="T49" s="1371"/>
      <c r="U49" s="324"/>
      <c r="V49" s="775"/>
      <c r="W49" s="349"/>
      <c r="X49" s="775"/>
      <c r="Y49" s="1281"/>
      <c r="Z49" s="2289"/>
      <c r="AA49" s="2131" t="s">
        <v>66</v>
      </c>
      <c r="AB49" s="2289"/>
      <c r="AC49" s="2131" t="s">
        <v>66</v>
      </c>
      <c r="AD49" s="775"/>
      <c r="AE49" s="349"/>
      <c r="AF49" s="775"/>
      <c r="AG49" s="1281"/>
      <c r="AH49" s="2289"/>
      <c r="AI49" s="2131" t="s">
        <v>66</v>
      </c>
      <c r="AJ49" s="2311"/>
      <c r="AK49" s="2131" t="s">
        <v>66</v>
      </c>
      <c r="AL49" s="1372"/>
      <c r="AM49" s="2277" t="s">
        <v>535</v>
      </c>
      <c r="AN49" s="535">
        <f>STRCHECKDATE(V50:AL50)</f>
      </c>
      <c r="AO49" s="524"/>
      <c r="AP49" s="524" t="str">
        <f>IF(T49="","",T49)</f>
        <v/>
      </c>
      <c r="AQ49" s="524"/>
      <c r="AR49" s="524"/>
      <c r="AS49" s="1179">
        <v>21</v>
      </c>
    </row>
    <row customHeight="1" ht="0">
      <c r="A50" s="1387" t="s">
        <v>272</v>
      </c>
      <c r="B50" s="1387" t="s">
        <v>273</v>
      </c>
      <c r="C50" s="1387" t="s">
        <v>274</v>
      </c>
      <c r="D50" s="1387" t="s">
        <v>275</v>
      </c>
      <c r="E50" s="2283"/>
      <c r="F50" s="2283"/>
      <c r="G50" s="2283"/>
      <c r="H50" s="2283"/>
      <c r="I50" s="2310"/>
      <c r="J50" s="2310"/>
      <c r="K50" s="2280"/>
      <c r="L50" s="1388"/>
      <c r="P50" s="2281"/>
      <c r="Q50" s="2281"/>
      <c r="R50" s="381"/>
      <c r="S50" s="1366"/>
      <c r="T50" s="324"/>
      <c r="U50" s="324"/>
      <c r="V50" s="349"/>
      <c r="W50" s="349"/>
      <c r="X50" s="349"/>
      <c r="Y50" s="352" t="str">
        <f>Z49&amp;"-"&amp;AB49</f>
        <v>-</v>
      </c>
      <c r="Z50" s="2290"/>
      <c r="AA50" s="2131"/>
      <c r="AB50" s="2290"/>
      <c r="AC50" s="2131"/>
      <c r="AD50" s="349"/>
      <c r="AE50" s="349"/>
      <c r="AF50" s="349"/>
      <c r="AG50" s="352" t="str">
        <f>AH49&amp;"-"&amp;AJ49</f>
        <v>-</v>
      </c>
      <c r="AH50" s="2290"/>
      <c r="AI50" s="2131"/>
      <c r="AJ50" s="2312"/>
      <c r="AK50" s="2131"/>
      <c r="AL50" s="1373"/>
      <c r="AM50" s="2278"/>
      <c r="AO50" s="524"/>
      <c r="AP50" s="524" t="str">
        <f>IF(T50="","",T50)</f>
        <v/>
      </c>
      <c r="AQ50" s="524"/>
      <c r="AR50" s="524"/>
      <c r="AS50" s="1179">
        <v>0</v>
      </c>
    </row>
    <row customHeight="1" ht="11.549999999999999">
      <c r="A51" s="1387" t="s">
        <v>272</v>
      </c>
      <c r="B51" s="1387" t="s">
        <v>273</v>
      </c>
      <c r="C51" s="1387" t="s">
        <v>274</v>
      </c>
      <c r="D51" s="1387" t="s">
        <v>275</v>
      </c>
      <c r="E51" s="2283"/>
      <c r="F51" s="2283"/>
      <c r="G51" s="2283"/>
      <c r="H51" s="2283"/>
      <c r="I51" s="2310"/>
      <c r="J51" s="2280"/>
      <c r="K51" s="1387"/>
      <c r="L51" s="1388"/>
      <c r="P51" s="2281"/>
      <c r="Q51" s="2281"/>
      <c r="R51" s="380"/>
      <c r="S51" s="1302"/>
      <c r="T51" s="311" t="s">
        <v>495</v>
      </c>
      <c r="U51" s="391"/>
      <c r="V51" s="391"/>
      <c r="W51" s="391"/>
      <c r="X51" s="391"/>
      <c r="Y51" s="391"/>
      <c r="Z51" s="391"/>
      <c r="AA51" s="391"/>
      <c r="AB51" s="391"/>
      <c r="AC51" s="391"/>
      <c r="AD51" s="391"/>
      <c r="AE51" s="391"/>
      <c r="AF51" s="391"/>
      <c r="AG51" s="391"/>
      <c r="AH51" s="391"/>
      <c r="AI51" s="391"/>
      <c r="AJ51" s="391"/>
      <c r="AK51" s="391"/>
      <c r="AL51" s="348"/>
      <c r="AM51" s="2279"/>
      <c r="AO51" s="524"/>
      <c r="AP51" s="524" t="str">
        <f>IF(T51="","",T51)</f>
        <v>Добавить вид теплоносителя (параметры теплоносителя)</v>
      </c>
      <c r="AQ51" s="524"/>
      <c r="AR51" s="524"/>
      <c r="AS51" s="1179">
        <v>11</v>
      </c>
    </row>
    <row customHeight="1" ht="11.549999999999999">
      <c r="A52" s="1387" t="s">
        <v>272</v>
      </c>
      <c r="B52" s="1387" t="s">
        <v>273</v>
      </c>
      <c r="C52" s="1387" t="s">
        <v>274</v>
      </c>
      <c r="D52" s="1387" t="s">
        <v>275</v>
      </c>
      <c r="E52" s="2283"/>
      <c r="F52" s="2283"/>
      <c r="G52" s="2283"/>
      <c r="H52" s="2283"/>
      <c r="I52" s="2280"/>
      <c r="J52" s="1387"/>
      <c r="K52" s="1387"/>
      <c r="L52" s="1388"/>
      <c r="P52" s="2281"/>
      <c r="Q52" s="1355"/>
      <c r="R52" s="380"/>
      <c r="S52" s="1302"/>
      <c r="T52" s="389" t="s">
        <v>496</v>
      </c>
      <c r="U52" s="391"/>
      <c r="V52" s="391"/>
      <c r="W52" s="391"/>
      <c r="X52" s="391"/>
      <c r="Y52" s="391"/>
      <c r="Z52" s="391"/>
      <c r="AA52" s="391"/>
      <c r="AB52" s="391"/>
      <c r="AC52" s="390"/>
      <c r="AD52" s="391"/>
      <c r="AE52" s="391"/>
      <c r="AF52" s="391"/>
      <c r="AG52" s="391"/>
      <c r="AH52" s="391"/>
      <c r="AI52" s="391"/>
      <c r="AJ52" s="391"/>
      <c r="AK52" s="390"/>
      <c r="AL52" s="391"/>
      <c r="AM52" s="327"/>
      <c r="AO52" s="524"/>
      <c r="AP52" s="524" t="str">
        <f>IF(T52="","",T52)</f>
        <v>Добавить группу потребителей</v>
      </c>
      <c r="AQ52" s="524"/>
      <c r="AR52" s="524"/>
      <c r="AS52" s="1179">
        <v>11</v>
      </c>
    </row>
    <row customHeight="1" ht="0">
      <c r="A53" s="1387" t="s">
        <v>272</v>
      </c>
      <c r="B53" s="1387" t="s">
        <v>273</v>
      </c>
      <c r="C53" s="1387" t="s">
        <v>274</v>
      </c>
      <c r="D53" s="1387" t="s">
        <v>275</v>
      </c>
      <c r="E53" s="2283"/>
      <c r="F53" s="2283"/>
      <c r="G53" s="2283"/>
      <c r="H53" s="2282"/>
      <c r="I53" s="1387"/>
      <c r="J53" s="1387"/>
      <c r="K53" s="1387"/>
      <c r="L53" s="1388"/>
      <c r="M53" s="1389"/>
      <c r="N53" s="1389"/>
      <c r="O53" s="561"/>
      <c r="P53" s="384"/>
      <c r="Q53" s="399"/>
      <c r="R53" s="379"/>
      <c r="S53" s="1410"/>
      <c r="T53" s="1411"/>
      <c r="U53" s="1412"/>
      <c r="V53" s="1412"/>
      <c r="W53" s="1412"/>
      <c r="X53" s="1412"/>
      <c r="Y53" s="1412"/>
      <c r="Z53" s="1412"/>
      <c r="AA53" s="1412"/>
      <c r="AB53" s="1412"/>
      <c r="AC53" s="1412"/>
      <c r="AD53" s="1412"/>
      <c r="AE53" s="1412"/>
      <c r="AF53" s="1412"/>
      <c r="AG53" s="1412"/>
      <c r="AH53" s="1412"/>
      <c r="AI53" s="1412"/>
      <c r="AJ53" s="1412"/>
      <c r="AK53" s="1412"/>
      <c r="AL53" s="1412"/>
      <c r="AM53" s="1413"/>
      <c r="AO53" s="524"/>
      <c r="AP53" s="524" t="str">
        <f>IF(T53="","",T53)</f>
        <v/>
      </c>
      <c r="AQ53" s="524"/>
      <c r="AR53" s="524"/>
      <c r="AS53" s="1179">
        <v>0</v>
      </c>
    </row>
    <row s="1666" customFormat="1" customHeight="1" ht="0">
      <c r="A54" s="1367" t="s">
        <v>272</v>
      </c>
      <c r="B54" s="1367" t="s">
        <v>273</v>
      </c>
      <c r="C54" s="1367" t="s">
        <v>274</v>
      </c>
      <c r="D54" s="1338"/>
      <c r="E54" s="2283"/>
      <c r="F54" s="2283"/>
      <c r="G54" s="2282"/>
      <c r="H54" s="1338"/>
      <c r="I54" s="1338"/>
      <c r="J54" s="1338"/>
      <c r="K54" s="1338"/>
      <c r="L54" s="1363"/>
      <c r="M54" s="1339"/>
      <c r="N54" s="1339"/>
      <c r="P54" s="1340"/>
      <c r="Q54" s="1341"/>
      <c r="R54" s="1340"/>
      <c r="S54" s="1346"/>
      <c r="T54" s="1349" t="s">
        <v>498</v>
      </c>
      <c r="U54" s="1348"/>
      <c r="V54" s="1348"/>
      <c r="W54" s="1348"/>
      <c r="X54" s="1348"/>
      <c r="Y54" s="1348"/>
      <c r="Z54" s="1348"/>
      <c r="AA54" s="1348"/>
      <c r="AB54" s="1348"/>
      <c r="AC54" s="1348"/>
      <c r="AD54" s="1348"/>
      <c r="AE54" s="1348"/>
      <c r="AF54" s="1348"/>
      <c r="AG54" s="1348"/>
      <c r="AH54" s="1348"/>
      <c r="AI54" s="1348"/>
      <c r="AJ54" s="1348"/>
      <c r="AK54" s="1348"/>
      <c r="AL54" s="1348"/>
      <c r="AM54" s="1348"/>
      <c r="AO54" s="813"/>
      <c r="AP54" s="813" t="str">
        <f>IF(T54="","",T54)</f>
        <v>Добавить источник для дифференциации</v>
      </c>
      <c r="AQ54" s="813"/>
      <c r="AR54" s="813"/>
      <c r="AS54" s="542">
        <v>0</v>
      </c>
    </row>
    <row s="1666" customFormat="1" customHeight="1" ht="0">
      <c r="A55" s="1367" t="s">
        <v>272</v>
      </c>
      <c r="B55" s="1367" t="s">
        <v>273</v>
      </c>
      <c r="C55" s="1338"/>
      <c r="D55" s="1338"/>
      <c r="E55" s="2283"/>
      <c r="F55" s="2282"/>
      <c r="G55" s="1338"/>
      <c r="H55" s="1338"/>
      <c r="I55" s="1338"/>
      <c r="J55" s="1338"/>
      <c r="K55" s="1338"/>
      <c r="L55" s="1363"/>
      <c r="M55" s="1345"/>
      <c r="N55" s="1345"/>
      <c r="P55" s="1340"/>
      <c r="Q55" s="1341"/>
      <c r="R55" s="1340"/>
      <c r="S55" s="1346"/>
      <c r="T55" s="1349" t="s">
        <v>499</v>
      </c>
      <c r="U55" s="1348"/>
      <c r="V55" s="1348"/>
      <c r="W55" s="1348"/>
      <c r="X55" s="1348"/>
      <c r="Y55" s="1348"/>
      <c r="Z55" s="1348"/>
      <c r="AA55" s="1348"/>
      <c r="AB55" s="1348"/>
      <c r="AC55" s="1348"/>
      <c r="AD55" s="1348"/>
      <c r="AE55" s="1348"/>
      <c r="AF55" s="1348"/>
      <c r="AG55" s="1348"/>
      <c r="AH55" s="1348"/>
      <c r="AI55" s="1348"/>
      <c r="AJ55" s="1348"/>
      <c r="AK55" s="1348"/>
      <c r="AL55" s="1348"/>
      <c r="AM55" s="1348"/>
      <c r="AO55" s="813"/>
      <c r="AP55" s="813" t="str">
        <f>IF(T55="","",T55)</f>
        <v>Добавить централизованную систему для дифференциации</v>
      </c>
      <c r="AQ55" s="813"/>
      <c r="AR55" s="813"/>
      <c r="AS55" s="542">
        <v>0</v>
      </c>
    </row>
    <row s="1666" customFormat="1" customHeight="1" ht="0">
      <c r="A56" s="1367" t="s">
        <v>272</v>
      </c>
      <c r="B56" s="1367"/>
      <c r="C56" s="1367"/>
      <c r="D56" s="1367"/>
      <c r="E56" s="2282"/>
      <c r="F56" s="1367"/>
      <c r="G56" s="1367"/>
      <c r="H56" s="1367"/>
      <c r="I56" s="1367"/>
      <c r="J56" s="1367"/>
      <c r="K56" s="1367"/>
      <c r="L56" s="1370"/>
      <c r="M56" s="1345"/>
      <c r="N56" s="1345"/>
      <c r="O56" s="542"/>
      <c r="P56" s="404"/>
      <c r="Q56" s="1368"/>
      <c r="R56" s="404"/>
      <c r="S56" s="1346"/>
      <c r="T56" s="1349" t="s">
        <v>500</v>
      </c>
      <c r="U56" s="1348"/>
      <c r="V56" s="1348"/>
      <c r="W56" s="1348"/>
      <c r="X56" s="1348"/>
      <c r="Y56" s="1348"/>
      <c r="Z56" s="1348"/>
      <c r="AA56" s="1348"/>
      <c r="AB56" s="1348"/>
      <c r="AC56" s="1348"/>
      <c r="AD56" s="1348"/>
      <c r="AE56" s="1348"/>
      <c r="AF56" s="1348"/>
      <c r="AG56" s="1348"/>
      <c r="AH56" s="1348"/>
      <c r="AI56" s="1348"/>
      <c r="AJ56" s="1348"/>
      <c r="AK56" s="1348"/>
      <c r="AL56" s="1348"/>
      <c r="AM56" s="1348"/>
      <c r="AO56" s="524"/>
      <c r="AP56" s="524" t="str">
        <f>IF(T56="","",T56)</f>
        <v>Добавить территорию для дифференциации</v>
      </c>
      <c r="AQ56" s="524"/>
      <c r="AR56" s="524"/>
      <c r="AS56" s="535">
        <v>0</v>
      </c>
    </row>
    <row s="1666" customFormat="1" customHeight="1" ht="4.2">
      <c r="A57" s="1338"/>
      <c r="B57" s="1338"/>
      <c r="C57" s="1338"/>
      <c r="D57" s="1338"/>
      <c r="E57" s="1367"/>
      <c r="F57" s="1338"/>
      <c r="G57" s="1338"/>
      <c r="H57" s="1338"/>
      <c r="I57" s="1338"/>
      <c r="J57" s="1338"/>
      <c r="K57" s="1338"/>
      <c r="L57" s="1363"/>
      <c r="M57" s="1345"/>
      <c r="N57" s="1345"/>
      <c r="P57" s="1340"/>
      <c r="Q57" s="1341"/>
      <c r="R57" s="1340"/>
      <c r="S57" s="1346"/>
      <c r="T57" s="1349" t="s">
        <v>532</v>
      </c>
      <c r="U57" s="1348"/>
      <c r="V57" s="1348"/>
      <c r="W57" s="1348"/>
      <c r="X57" s="1348"/>
      <c r="Y57" s="1348"/>
      <c r="Z57" s="1348"/>
      <c r="AA57" s="1348"/>
      <c r="AB57" s="1348"/>
      <c r="AC57" s="1348"/>
      <c r="AD57" s="1348"/>
      <c r="AE57" s="1348"/>
      <c r="AF57" s="1348"/>
      <c r="AG57" s="1348"/>
      <c r="AH57" s="1348"/>
      <c r="AI57" s="1348"/>
      <c r="AJ57" s="1348"/>
      <c r="AK57" s="1348"/>
      <c r="AL57" s="1348"/>
      <c r="AM57" s="1348"/>
      <c r="AO57" s="813"/>
      <c r="AP57" s="813" t="str">
        <f>IF(T57="","",T57)</f>
        <v>Добавить наименование тарифа</v>
      </c>
      <c r="AQ57" s="813"/>
      <c r="AR57" s="813"/>
      <c r="AS57" s="542">
        <v>4</v>
      </c>
    </row>
    <row customHeight="1" ht="11.549999999999999">
      <c r="M58" s="1184"/>
      <c r="N58" s="1184"/>
      <c r="O58" s="561"/>
      <c r="P58" s="1179"/>
      <c r="Q58" s="1179"/>
      <c r="R58" s="1179"/>
      <c r="S58" s="1179"/>
      <c r="AN58" s="1179"/>
      <c r="AO58" s="1179"/>
      <c r="AP58" s="1179"/>
      <c r="AQ58" s="1179"/>
      <c r="AR58" s="1179"/>
      <c r="AS58" s="1179">
        <v>11</v>
      </c>
    </row>
    <row customHeight="1" ht="14.699999999999998">
      <c r="O59" s="561"/>
      <c r="S59" s="1277"/>
      <c r="T59" s="2309"/>
      <c r="U59" s="2309"/>
      <c r="V59" s="2309"/>
      <c r="W59" s="2309"/>
      <c r="X59" s="2309"/>
      <c r="Y59" s="2309"/>
      <c r="Z59" s="2309"/>
      <c r="AA59" s="2309"/>
      <c r="AB59" s="2309"/>
      <c r="AC59" s="2309"/>
      <c r="AD59" s="2309"/>
      <c r="AE59" s="2309"/>
      <c r="AF59" s="2309"/>
      <c r="AG59" s="2309"/>
      <c r="AH59" s="2309"/>
      <c r="AI59" s="2309"/>
      <c r="AJ59" s="2309"/>
      <c r="AK59" s="2309"/>
      <c r="AL59" s="2309"/>
      <c r="AM59" s="2309"/>
      <c r="AS59" s="1179">
        <v>14</v>
      </c>
    </row>
    <row customHeight="1" ht="14.699999999999998">
      <c r="O60" s="561"/>
      <c r="T60" s="2309"/>
      <c r="U60" s="2309"/>
      <c r="V60" s="2309"/>
      <c r="W60" s="2309"/>
      <c r="X60" s="2309"/>
      <c r="Y60" s="2309"/>
      <c r="Z60" s="2309"/>
      <c r="AA60" s="2309"/>
      <c r="AB60" s="2309"/>
      <c r="AC60" s="2309"/>
      <c r="AD60" s="2309"/>
      <c r="AE60" s="2309"/>
      <c r="AF60" s="2309"/>
      <c r="AG60" s="2309"/>
      <c r="AH60" s="2309"/>
      <c r="AI60" s="2309"/>
      <c r="AJ60" s="2309"/>
      <c r="AK60" s="2309"/>
      <c r="AL60" s="2309"/>
      <c r="AM60" s="2309"/>
      <c r="AS60" s="1179">
        <v>14</v>
      </c>
    </row>
    <row customHeight="1" ht="14.699999999999998">
      <c r="O61" s="561"/>
      <c r="T61" s="2309"/>
      <c r="U61" s="2309"/>
      <c r="V61" s="2309"/>
      <c r="W61" s="2309"/>
      <c r="X61" s="2309"/>
      <c r="Y61" s="2309"/>
      <c r="Z61" s="2309"/>
      <c r="AA61" s="2309"/>
      <c r="AB61" s="2309"/>
      <c r="AC61" s="2309"/>
      <c r="AD61" s="2309"/>
      <c r="AE61" s="2309"/>
      <c r="AF61" s="2309"/>
      <c r="AG61" s="2309"/>
      <c r="AH61" s="2309"/>
      <c r="AI61" s="2309"/>
      <c r="AJ61" s="2309"/>
      <c r="AK61" s="2309"/>
      <c r="AL61" s="2309"/>
      <c r="AM61" s="2309"/>
      <c r="AS61" s="1179">
        <v>14</v>
      </c>
    </row>
    <row customHeight="1" ht="14.699999999999998">
      <c r="O62" s="561"/>
      <c r="AS62" s="1179">
        <v>14</v>
      </c>
    </row>
    <row customHeight="1" ht="14.699999999999998">
      <c r="O63" s="561"/>
      <c r="S63" s="1277"/>
      <c r="T63" s="2323"/>
      <c r="U63" s="2309"/>
      <c r="V63" s="2309"/>
      <c r="W63" s="2309"/>
      <c r="X63" s="2309"/>
      <c r="Y63" s="2309"/>
      <c r="Z63" s="2309"/>
      <c r="AA63" s="2309"/>
      <c r="AB63" s="2309"/>
      <c r="AC63" s="2309"/>
      <c r="AD63" s="2309"/>
      <c r="AE63" s="2309"/>
      <c r="AF63" s="2309"/>
      <c r="AG63" s="2309"/>
      <c r="AH63" s="2309"/>
      <c r="AI63" s="2309"/>
      <c r="AJ63" s="2309"/>
      <c r="AK63" s="2309"/>
      <c r="AL63" s="2309"/>
      <c r="AM63" s="2309"/>
      <c r="AS63" s="1179">
        <v>14</v>
      </c>
    </row>
    <row customHeight="1" ht="14.699999999999998">
      <c r="O64" s="561"/>
      <c r="T64" s="2309"/>
      <c r="U64" s="2309"/>
      <c r="V64" s="2309"/>
      <c r="W64" s="2309"/>
      <c r="X64" s="2309"/>
      <c r="Y64" s="2309"/>
      <c r="Z64" s="2309"/>
      <c r="AA64" s="2309"/>
      <c r="AB64" s="2309"/>
      <c r="AC64" s="2309"/>
      <c r="AD64" s="2309"/>
      <c r="AE64" s="2309"/>
      <c r="AF64" s="2309"/>
      <c r="AG64" s="2309"/>
      <c r="AH64" s="2309"/>
      <c r="AI64" s="2309"/>
      <c r="AJ64" s="2309"/>
      <c r="AK64" s="2309"/>
      <c r="AL64" s="2309"/>
      <c r="AM64" s="2309"/>
      <c r="AS64" s="1179">
        <v>14</v>
      </c>
    </row>
    <row customHeight="1" ht="14.699999999999998">
      <c r="T65" s="2309"/>
      <c r="U65" s="2309"/>
      <c r="V65" s="2309"/>
      <c r="W65" s="2309"/>
      <c r="X65" s="2309"/>
      <c r="Y65" s="2309"/>
      <c r="Z65" s="2309"/>
      <c r="AA65" s="2309"/>
      <c r="AB65" s="2309"/>
      <c r="AC65" s="2309"/>
      <c r="AD65" s="2309"/>
      <c r="AE65" s="2309"/>
      <c r="AF65" s="2309"/>
      <c r="AG65" s="2309"/>
      <c r="AH65" s="2309"/>
      <c r="AI65" s="2309"/>
      <c r="AJ65" s="2309"/>
      <c r="AK65" s="2309"/>
      <c r="AL65" s="2309"/>
      <c r="AM65" s="2309"/>
      <c r="AS65" s="1179">
        <v>14</v>
      </c>
    </row>
    <row customHeight="1" ht="22.5" hidden="1">
      <c r="A66" s="1184" t="s">
        <v>82</v>
      </c>
      <c r="B66" s="1184">
        <v>0</v>
      </c>
      <c r="C66" s="1184">
        <v>0</v>
      </c>
      <c r="D66" s="1184">
        <v>0</v>
      </c>
      <c r="E66" s="1184">
        <v>0</v>
      </c>
      <c r="F66" s="1184">
        <v>0</v>
      </c>
      <c r="G66" s="1184">
        <v>0</v>
      </c>
      <c r="H66" s="1184">
        <v>0</v>
      </c>
      <c r="I66" s="1184">
        <v>0</v>
      </c>
      <c r="J66" s="1184">
        <v>0</v>
      </c>
      <c r="K66" s="1184">
        <v>0</v>
      </c>
      <c r="L66" s="1353">
        <v>0</v>
      </c>
      <c r="M66" s="1386">
        <v>0</v>
      </c>
      <c r="N66" s="1386">
        <v>0</v>
      </c>
      <c r="O66" s="1386">
        <v>0</v>
      </c>
      <c r="P66" s="1352">
        <v>0</v>
      </c>
      <c r="Q66" s="368">
        <v>3</v>
      </c>
      <c r="R66" s="368">
        <v>3</v>
      </c>
      <c r="S66" s="605">
        <v>12</v>
      </c>
      <c r="T66" s="1179">
        <v>31</v>
      </c>
      <c r="U66" s="1179">
        <v>0</v>
      </c>
      <c r="V66" s="1179">
        <v>0</v>
      </c>
      <c r="W66" s="1179">
        <v>0</v>
      </c>
      <c r="X66" s="1179">
        <v>0</v>
      </c>
      <c r="Y66" s="1179">
        <v>0</v>
      </c>
      <c r="Z66" s="1179">
        <v>0</v>
      </c>
      <c r="AA66" s="1179">
        <v>0</v>
      </c>
      <c r="AB66" s="1179">
        <v>0</v>
      </c>
      <c r="AC66" s="1179">
        <v>0</v>
      </c>
      <c r="AD66" s="1179">
        <v>24</v>
      </c>
      <c r="AE66" s="1179">
        <v>0</v>
      </c>
      <c r="AF66" s="1179">
        <v>24</v>
      </c>
      <c r="AG66" s="1179">
        <v>24</v>
      </c>
      <c r="AH66" s="1179">
        <v>11</v>
      </c>
      <c r="AI66" s="1179">
        <v>3</v>
      </c>
      <c r="AJ66" s="1179">
        <v>11</v>
      </c>
      <c r="AK66" s="1179">
        <v>0</v>
      </c>
      <c r="AL66" s="1179">
        <v>4</v>
      </c>
      <c r="AM66" s="1179">
        <v>115</v>
      </c>
      <c r="AN66" s="535">
        <v>10</v>
      </c>
      <c r="AO66" s="535">
        <v>10</v>
      </c>
      <c r="AP66" s="535">
        <v>10</v>
      </c>
      <c r="AQ66" s="535">
        <v>10</v>
      </c>
      <c r="AR66" s="535">
        <v>10</v>
      </c>
      <c r="AS66" s="1179">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D64B65-7E6B-65A5-0B93-0.19859E41}"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59" width="10.57421875" hidden="1"/>
    <col min="2" max="2" style="1659" width="11.00390625" hidden="1" customWidth="1"/>
    <col min="3" max="3" style="1659" width="10.57421875" hidden="1"/>
    <col min="4" max="4" style="1659" width="11.8515625" hidden="1" customWidth="1"/>
    <col min="5" max="5" style="1659" width="10.00390625" hidden="1" customWidth="1"/>
    <col min="6" max="6" style="1659" width="8.7109375" hidden="1" customWidth="1"/>
    <col min="7" max="7" style="1659" width="7.57421875" hidden="1" customWidth="1"/>
    <col min="8" max="8" style="1659" width="11.421875" hidden="1" customWidth="1"/>
    <col min="9" max="9" style="1659" width="12.00390625" hidden="1" customWidth="1"/>
    <col min="10" max="10" style="1659" width="9.8515625" hidden="1" customWidth="1"/>
    <col min="11" max="12" style="1659" width="11.421875" hidden="1" customWidth="1"/>
    <col min="13" max="13" style="2149" width="19.140625" hidden="1" customWidth="1"/>
    <col min="14" max="15" style="2421" width="12.28125" hidden="1" customWidth="1"/>
    <col min="16" max="16" style="2421" width="23.421875" hidden="1" customWidth="1"/>
    <col min="17" max="17" style="2421" width="3.7109375" hidden="1" customWidth="1"/>
    <col min="18" max="20" style="368" width="3.00390625" customWidth="1"/>
    <col min="21" max="21" style="2431" width="12.00390625" customWidth="1"/>
    <col min="22" max="22" style="1659" width="31.00390625" customWidth="1"/>
    <col min="23" max="23" style="1659" width="0.140625" customWidth="1"/>
    <col min="24" max="28" style="1659" width="21.7109375" hidden="1" customWidth="1"/>
    <col min="29" max="29" style="1659" width="11.7109375" hidden="1" customWidth="1"/>
    <col min="30" max="30" style="1659" width="3.7109375" hidden="1" customWidth="1"/>
    <col min="31" max="31" style="1659" width="11.7109375" hidden="1" customWidth="1"/>
    <col min="32" max="32" style="1659" width="8.57421875" hidden="1" customWidth="1"/>
    <col min="33" max="33" style="1659" width="21.7109375" customWidth="1"/>
    <col min="34" max="37" style="1659" width="21.00390625" customWidth="1"/>
    <col min="38" max="38" style="1659" width="11.00390625" customWidth="1"/>
    <col min="39" max="39" style="1659" width="3.7109375" customWidth="1"/>
    <col min="40" max="40" style="1659" width="11.00390625" customWidth="1"/>
    <col min="41" max="41" style="1659" width="8.57421875" hidden="1" customWidth="1"/>
    <col min="42" max="42" style="1659" width="4.00390625" customWidth="1"/>
    <col min="43" max="43" style="1659" width="115.00390625" customWidth="1"/>
    <col min="44" max="48" style="1666" width="10.00390625" customWidth="1"/>
    <col min="49" max="49" style="1659" width="10.57421875" hidden="1"/>
  </cols>
  <sheetData>
    <row customHeight="1" ht="22.5" hidden="1">
      <c r="AB1" s="351"/>
      <c r="AC1" s="351"/>
      <c r="AK1" s="351"/>
      <c r="AL1" s="351"/>
      <c r="AW1" s="1179" t="s">
        <v>14</v>
      </c>
    </row>
    <row customHeight="1" ht="21" hidden="1">
      <c r="A2" s="1291"/>
      <c r="B2" s="1291"/>
      <c r="C2" s="1291"/>
      <c r="D2" s="1291"/>
      <c r="E2" s="2313">
        <v>1</v>
      </c>
      <c r="F2" s="1291"/>
      <c r="G2" s="1291"/>
      <c r="H2" s="1291"/>
      <c r="I2" s="1291"/>
      <c r="J2" s="1291"/>
      <c r="K2" s="1291"/>
      <c r="L2" s="1291"/>
      <c r="M2" s="1334"/>
      <c r="N2" s="712"/>
      <c r="O2" s="712"/>
      <c r="P2" s="712"/>
      <c r="Q2" s="385"/>
      <c r="R2" s="384"/>
      <c r="S2" s="384"/>
      <c r="T2" s="379"/>
      <c r="U2" s="1360">
        <f>INDEX(PT_DIFFERENTIATION_NUM_NTAR,MATCH(A2,PT_DIFFERENTIATION_NTAR_ID,0))</f>
      </c>
      <c r="V2" s="322" t="s">
        <v>211</v>
      </c>
      <c r="W2" s="324"/>
      <c r="X2" s="2266"/>
      <c r="Y2" s="2267"/>
      <c r="Z2" s="2267"/>
      <c r="AA2" s="2267"/>
      <c r="AB2" s="2267"/>
      <c r="AC2" s="2267"/>
      <c r="AD2" s="2267"/>
      <c r="AE2" s="2267"/>
      <c r="AF2" s="2268"/>
      <c r="AG2" s="2266">
        <f>INDEX(PT_DIFFERENTIATION_NTAR,MATCH(A2,PT_DIFFERENTIATION_NTAR_ID,0))</f>
      </c>
      <c r="AH2" s="2267"/>
      <c r="AI2" s="2267"/>
      <c r="AJ2" s="2267"/>
      <c r="AK2" s="2267"/>
      <c r="AL2" s="2267"/>
      <c r="AM2" s="2267"/>
      <c r="AN2" s="2267"/>
      <c r="AO2" s="2267"/>
      <c r="AP2" s="2268"/>
      <c r="AQ2" s="1282" t="s">
        <v>480</v>
      </c>
      <c r="AS2" s="524"/>
      <c r="AT2" s="524" t="str">
        <f>IF(V2="","",V2)</f>
        <v>Наименование тарифа</v>
      </c>
      <c r="AU2" s="524"/>
      <c r="AV2" s="524"/>
      <c r="AW2" s="1179">
        <v>0</v>
      </c>
    </row>
    <row customHeight="1" ht="21" hidden="1">
      <c r="A3" s="1291"/>
      <c r="B3" s="1291"/>
      <c r="C3" s="1291"/>
      <c r="D3" s="1291"/>
      <c r="E3" s="2314"/>
      <c r="F3" s="2313">
        <v>1</v>
      </c>
      <c r="G3" s="1291"/>
      <c r="H3" s="1291"/>
      <c r="I3" s="1291"/>
      <c r="J3" s="1291"/>
      <c r="K3" s="1291"/>
      <c r="L3" s="1291"/>
      <c r="M3" s="1334"/>
      <c r="N3" s="712"/>
      <c r="O3" s="712"/>
      <c r="P3" s="712"/>
      <c r="Q3" s="1356"/>
      <c r="R3" s="376"/>
      <c r="S3" s="533"/>
      <c r="T3" s="377"/>
      <c r="U3" s="1360">
        <f>INDEX(PT_DIFFERENTIATION_NUM_TER,MATCH(B3,PT_DIFFERENTIATION_TER_ID,0))</f>
      </c>
      <c r="V3" s="332" t="s">
        <v>481</v>
      </c>
      <c r="W3" s="324"/>
      <c r="X3" s="2266"/>
      <c r="Y3" s="2267"/>
      <c r="Z3" s="2267"/>
      <c r="AA3" s="2267"/>
      <c r="AB3" s="2267"/>
      <c r="AC3" s="2267"/>
      <c r="AD3" s="2267"/>
      <c r="AE3" s="2267"/>
      <c r="AF3" s="2268"/>
      <c r="AG3" s="2266">
        <f>INDEX(PT_DIFFERENTIATION_TER,MATCH(B3,PT_DIFFERENTIATION_TER_ID,0))</f>
      </c>
      <c r="AH3" s="2267"/>
      <c r="AI3" s="2267"/>
      <c r="AJ3" s="2267"/>
      <c r="AK3" s="2267"/>
      <c r="AL3" s="2267"/>
      <c r="AM3" s="2267"/>
      <c r="AN3" s="2267"/>
      <c r="AO3" s="2267"/>
      <c r="AP3" s="2268"/>
      <c r="AQ3" s="1282" t="s">
        <v>482</v>
      </c>
      <c r="AS3" s="524"/>
      <c r="AT3" s="524" t="str">
        <f>IF(V3="","",V3)</f>
        <v>Территория действия тарифа</v>
      </c>
      <c r="AU3" s="524"/>
      <c r="AV3" s="524"/>
      <c r="AW3" s="1179">
        <v>0</v>
      </c>
    </row>
    <row customHeight="1" ht="22.5" hidden="1">
      <c r="A4" s="1291"/>
      <c r="B4" s="1291"/>
      <c r="C4" s="1291"/>
      <c r="D4" s="1291"/>
      <c r="E4" s="2314"/>
      <c r="F4" s="2314"/>
      <c r="G4" s="2313">
        <v>1</v>
      </c>
      <c r="H4" s="1291"/>
      <c r="I4" s="1291"/>
      <c r="J4" s="1291"/>
      <c r="K4" s="1291"/>
      <c r="L4" s="1291"/>
      <c r="M4" s="1334"/>
      <c r="N4" s="712"/>
      <c r="O4" s="712"/>
      <c r="P4" s="712"/>
      <c r="Q4" s="378"/>
      <c r="R4" s="376"/>
      <c r="S4" s="533"/>
      <c r="T4" s="377"/>
      <c r="U4" s="1360">
        <f>INDEX(PT_DIFFERENTIATION_NUM_CS,MATCH(C4,PT_DIFFERENTIATION_CS_ID,0))</f>
      </c>
      <c r="V4" s="333" t="s">
        <v>483</v>
      </c>
      <c r="W4" s="324"/>
      <c r="X4" s="2266"/>
      <c r="Y4" s="2267"/>
      <c r="Z4" s="2267"/>
      <c r="AA4" s="2267"/>
      <c r="AB4" s="2267"/>
      <c r="AC4" s="2267"/>
      <c r="AD4" s="2267"/>
      <c r="AE4" s="2267"/>
      <c r="AF4" s="2268"/>
      <c r="AG4" s="2266">
        <f>INDEX(PT_DIFFERENTIATION_CS,MATCH(C4,PT_DIFFERENTIATION_CS_ID,0))</f>
      </c>
      <c r="AH4" s="2267"/>
      <c r="AI4" s="2267"/>
      <c r="AJ4" s="2267"/>
      <c r="AK4" s="2267"/>
      <c r="AL4" s="2267"/>
      <c r="AM4" s="2267"/>
      <c r="AN4" s="2267"/>
      <c r="AO4" s="2267"/>
      <c r="AP4" s="2268"/>
      <c r="AQ4" s="1282" t="s">
        <v>484</v>
      </c>
      <c r="AS4" s="524"/>
      <c r="AT4" s="524" t="str">
        <f>IF(V4="","",V4)</f>
        <v>Наименование системы теплоснабжения </v>
      </c>
      <c r="AU4" s="524"/>
      <c r="AV4" s="524"/>
      <c r="AW4" s="1179">
        <v>0</v>
      </c>
    </row>
    <row customHeight="1" ht="21" hidden="1">
      <c r="A5" s="1291"/>
      <c r="B5" s="1291"/>
      <c r="C5" s="1291"/>
      <c r="D5" s="1291"/>
      <c r="E5" s="2314"/>
      <c r="F5" s="2314"/>
      <c r="G5" s="2314"/>
      <c r="H5" s="2313">
        <v>1</v>
      </c>
      <c r="I5" s="1291"/>
      <c r="J5" s="1291"/>
      <c r="K5" s="1291"/>
      <c r="L5" s="1291"/>
      <c r="M5" s="1334"/>
      <c r="N5" s="712"/>
      <c r="O5" s="712"/>
      <c r="P5" s="712"/>
      <c r="Q5" s="378"/>
      <c r="R5" s="376"/>
      <c r="S5" s="533"/>
      <c r="T5" s="377"/>
      <c r="U5" s="1360">
        <f>INDEX(PT_DIFFERENTIATION_NUM_IST_TE,MATCH(D5,PT_DIFFERENTIATION_IST_TE_ID,0))</f>
      </c>
      <c r="V5" s="334" t="s">
        <v>485</v>
      </c>
      <c r="W5" s="324"/>
      <c r="X5" s="2266"/>
      <c r="Y5" s="2267"/>
      <c r="Z5" s="2267"/>
      <c r="AA5" s="2267"/>
      <c r="AB5" s="2267"/>
      <c r="AC5" s="2267"/>
      <c r="AD5" s="2267"/>
      <c r="AE5" s="2267"/>
      <c r="AF5" s="2268"/>
      <c r="AG5" s="2266">
        <f>INDEX(PT_DIFFERENTIATION_IST_TE,MATCH(D5,PT_DIFFERENTIATION_IST_TE_ID,0))</f>
      </c>
      <c r="AH5" s="2267"/>
      <c r="AI5" s="2267"/>
      <c r="AJ5" s="2267"/>
      <c r="AK5" s="2267"/>
      <c r="AL5" s="2267"/>
      <c r="AM5" s="2267"/>
      <c r="AN5" s="2267"/>
      <c r="AO5" s="2267"/>
      <c r="AP5" s="2268"/>
      <c r="AQ5" s="1282" t="s">
        <v>486</v>
      </c>
      <c r="AS5" s="524"/>
      <c r="AT5" s="524" t="str">
        <f>IF(V5="","",V5)</f>
        <v>Источник тепловой энергии  </v>
      </c>
      <c r="AU5" s="524"/>
      <c r="AV5" s="524"/>
      <c r="AW5" s="1179">
        <v>0</v>
      </c>
    </row>
    <row customHeight="1" ht="14.25" hidden="1">
      <c r="A6" s="1291"/>
      <c r="B6" s="1291"/>
      <c r="C6" s="1291"/>
      <c r="D6" s="1291"/>
      <c r="E6" s="2314"/>
      <c r="F6" s="2314"/>
      <c r="G6" s="2314"/>
      <c r="H6" s="2314"/>
      <c r="I6" s="2151">
        <f>U5&amp;".1"</f>
      </c>
      <c r="J6" s="1291"/>
      <c r="K6" s="1291"/>
      <c r="L6" s="1291"/>
      <c r="M6" s="1334" t="s">
        <v>487</v>
      </c>
      <c r="N6" s="533"/>
      <c r="Q6" s="2281">
        <v>1</v>
      </c>
      <c r="R6" s="1355"/>
      <c r="S6" s="1355"/>
      <c r="T6" s="380"/>
      <c r="U6" s="1066"/>
      <c r="V6" s="1407"/>
      <c r="W6" s="1408"/>
      <c r="X6" s="2320"/>
      <c r="Y6" s="2321"/>
      <c r="Z6" s="2321"/>
      <c r="AA6" s="2321"/>
      <c r="AB6" s="2321"/>
      <c r="AC6" s="2321"/>
      <c r="AD6" s="2321"/>
      <c r="AE6" s="2321"/>
      <c r="AF6" s="2322"/>
      <c r="AG6" s="2320"/>
      <c r="AH6" s="2321"/>
      <c r="AI6" s="2321"/>
      <c r="AJ6" s="2321"/>
      <c r="AK6" s="2321"/>
      <c r="AL6" s="2321"/>
      <c r="AM6" s="2321"/>
      <c r="AN6" s="2321"/>
      <c r="AO6" s="2321"/>
      <c r="AP6" s="2322"/>
      <c r="AQ6" s="1409"/>
      <c r="AS6" s="524"/>
      <c r="AT6" s="524" t="str">
        <f>IF(V6="","",V6)</f>
        <v/>
      </c>
      <c r="AU6" s="524"/>
      <c r="AV6" s="524"/>
      <c r="AW6" s="1179">
        <v>0</v>
      </c>
    </row>
    <row customHeight="1" ht="21" hidden="1">
      <c r="A7" s="1291"/>
      <c r="B7" s="1291"/>
      <c r="C7" s="1291"/>
      <c r="D7" s="1291"/>
      <c r="E7" s="2314"/>
      <c r="F7" s="2314"/>
      <c r="G7" s="2314"/>
      <c r="H7" s="2314"/>
      <c r="I7" s="2125"/>
      <c r="J7" s="2151">
        <f>I6&amp;".1"</f>
      </c>
      <c r="K7" s="1291"/>
      <c r="L7" s="1291"/>
      <c r="M7" s="1334" t="s">
        <v>490</v>
      </c>
      <c r="N7" s="533"/>
      <c r="O7" s="351"/>
      <c r="Q7" s="2281"/>
      <c r="R7" s="2281">
        <v>1</v>
      </c>
      <c r="S7" s="542"/>
      <c r="T7" s="381"/>
      <c r="U7" s="1360">
        <f>$J7</f>
      </c>
      <c r="V7" s="310" t="s">
        <v>491</v>
      </c>
      <c r="W7" s="324"/>
      <c r="X7" s="2269"/>
      <c r="Y7" s="2270"/>
      <c r="Z7" s="2270"/>
      <c r="AA7" s="2270"/>
      <c r="AB7" s="2270"/>
      <c r="AC7" s="2259"/>
      <c r="AD7" s="2259"/>
      <c r="AE7" s="2259"/>
      <c r="AF7" s="2332"/>
      <c r="AG7" s="2269"/>
      <c r="AH7" s="2270"/>
      <c r="AI7" s="2270"/>
      <c r="AJ7" s="2270"/>
      <c r="AK7" s="2270"/>
      <c r="AL7" s="2270"/>
      <c r="AM7" s="2270"/>
      <c r="AN7" s="2270"/>
      <c r="AO7" s="2270"/>
      <c r="AP7" s="2271"/>
      <c r="AQ7" s="1282" t="s">
        <v>492</v>
      </c>
      <c r="AS7" s="524"/>
      <c r="AT7" s="524" t="str">
        <f>IF(V7="","",V7)</f>
        <v>Группа потребителей</v>
      </c>
      <c r="AU7" s="524"/>
      <c r="AV7" s="524"/>
      <c r="AW7" s="1179">
        <v>0</v>
      </c>
    </row>
    <row customHeight="1" ht="21" hidden="1">
      <c r="A8" s="1291"/>
      <c r="B8" s="1291"/>
      <c r="C8" s="1291"/>
      <c r="D8" s="1291"/>
      <c r="E8" s="2314"/>
      <c r="F8" s="2314"/>
      <c r="G8" s="2314"/>
      <c r="H8" s="2314"/>
      <c r="I8" s="2125"/>
      <c r="J8" s="2125"/>
      <c r="K8" s="2151">
        <f>J7&amp;".1"</f>
      </c>
      <c r="L8" s="163"/>
      <c r="M8" s="1334" t="s">
        <v>493</v>
      </c>
      <c r="N8" s="533"/>
      <c r="O8" s="351"/>
      <c r="P8" s="351"/>
      <c r="Q8" s="2281"/>
      <c r="R8" s="2281"/>
      <c r="S8" s="2281">
        <v>1</v>
      </c>
      <c r="T8" s="381"/>
      <c r="U8" s="1360">
        <f>$K8</f>
      </c>
      <c r="V8" s="1371"/>
      <c r="W8" s="324"/>
      <c r="X8" s="775"/>
      <c r="Y8" s="775"/>
      <c r="Z8" s="775"/>
      <c r="AA8" s="775"/>
      <c r="AB8" s="1429"/>
      <c r="AC8" s="2289"/>
      <c r="AD8" s="2131" t="s">
        <v>66</v>
      </c>
      <c r="AE8" s="2289"/>
      <c r="AF8" s="2131" t="s">
        <v>66</v>
      </c>
      <c r="AG8" s="1431"/>
      <c r="AH8" s="775"/>
      <c r="AI8" s="775"/>
      <c r="AJ8" s="775"/>
      <c r="AK8" s="1281"/>
      <c r="AL8" s="2289"/>
      <c r="AM8" s="2131" t="s">
        <v>66</v>
      </c>
      <c r="AN8" s="2289"/>
      <c r="AO8" s="2131" t="s">
        <v>66</v>
      </c>
      <c r="AP8" s="349"/>
      <c r="AQ8" s="1331" t="s">
        <v>536</v>
      </c>
      <c r="AR8" s="535">
        <f>STRCHECKDATE(X10:AP10)</f>
      </c>
      <c r="AS8" s="524"/>
      <c r="AT8" s="524" t="str">
        <f>IF(V8="","",V8)</f>
        <v/>
      </c>
      <c r="AU8" s="524"/>
      <c r="AV8" s="524"/>
      <c r="AW8" s="1179">
        <v>0</v>
      </c>
    </row>
    <row customHeight="1" ht="21" hidden="1">
      <c r="A9" s="1291"/>
      <c r="B9" s="1291"/>
      <c r="C9" s="1291"/>
      <c r="D9" s="1291"/>
      <c r="E9" s="2314"/>
      <c r="F9" s="2314"/>
      <c r="G9" s="2314"/>
      <c r="H9" s="2314"/>
      <c r="I9" s="2125"/>
      <c r="J9" s="2125"/>
      <c r="K9" s="2125"/>
      <c r="L9" s="2151">
        <f>K8&amp;".1"</f>
      </c>
      <c r="M9" s="1334"/>
      <c r="N9" s="533"/>
      <c r="O9" s="351"/>
      <c r="P9" s="351"/>
      <c r="Q9" s="2281"/>
      <c r="R9" s="2281"/>
      <c r="S9" s="2281"/>
      <c r="T9" s="381"/>
      <c r="U9" s="1360">
        <f>$L9</f>
      </c>
      <c r="V9" s="1415"/>
      <c r="W9" s="324"/>
      <c r="X9" s="349"/>
      <c r="Y9" s="775"/>
      <c r="Z9" s="775"/>
      <c r="AA9" s="775"/>
      <c r="AB9" s="1429"/>
      <c r="AC9" s="2333"/>
      <c r="AD9" s="2131"/>
      <c r="AE9" s="2333"/>
      <c r="AF9" s="2131"/>
      <c r="AG9" s="1431"/>
      <c r="AH9" s="775"/>
      <c r="AI9" s="775"/>
      <c r="AJ9" s="775"/>
      <c r="AK9" s="1281"/>
      <c r="AL9" s="2333"/>
      <c r="AM9" s="2131"/>
      <c r="AN9" s="2333"/>
      <c r="AO9" s="2131"/>
      <c r="AP9" s="349"/>
      <c r="AQ9" s="2277" t="s">
        <v>537</v>
      </c>
      <c r="AS9" s="524"/>
      <c r="AT9" s="524"/>
      <c r="AU9" s="524"/>
      <c r="AV9" s="524"/>
      <c r="AW9" s="1179">
        <v>0</v>
      </c>
    </row>
    <row customHeight="1" ht="14.25" hidden="1">
      <c r="A10" s="1291"/>
      <c r="B10" s="1291"/>
      <c r="C10" s="1291"/>
      <c r="D10" s="1291"/>
      <c r="E10" s="2314"/>
      <c r="F10" s="2314"/>
      <c r="G10" s="2314"/>
      <c r="H10" s="2314"/>
      <c r="I10" s="2125"/>
      <c r="J10" s="2125"/>
      <c r="K10" s="2125"/>
      <c r="L10" s="2151"/>
      <c r="M10" s="1334"/>
      <c r="N10" s="533"/>
      <c r="O10" s="351"/>
      <c r="P10" s="351"/>
      <c r="Q10" s="2281"/>
      <c r="R10" s="2281"/>
      <c r="S10" s="2281"/>
      <c r="T10" s="381"/>
      <c r="U10" s="1366"/>
      <c r="V10" s="324"/>
      <c r="W10" s="324"/>
      <c r="X10" s="349"/>
      <c r="Y10" s="349"/>
      <c r="Z10" s="349"/>
      <c r="AA10" s="349"/>
      <c r="AB10" s="1430" t="str">
        <f>AC8&amp;"-"&amp;AE8</f>
        <v>-</v>
      </c>
      <c r="AC10" s="2333"/>
      <c r="AD10" s="2131"/>
      <c r="AE10" s="2333"/>
      <c r="AF10" s="2131"/>
      <c r="AG10" s="1406"/>
      <c r="AH10" s="349"/>
      <c r="AI10" s="349"/>
      <c r="AJ10" s="349"/>
      <c r="AK10" s="352" t="str">
        <f>AL8&amp;"-"&amp;AN8</f>
        <v>-</v>
      </c>
      <c r="AL10" s="2333"/>
      <c r="AM10" s="2131"/>
      <c r="AN10" s="2333"/>
      <c r="AO10" s="2131"/>
      <c r="AP10" s="349"/>
      <c r="AQ10" s="2278"/>
      <c r="AS10" s="524"/>
      <c r="AT10" s="524" t="str">
        <f>IF(V10="","",V10)</f>
        <v/>
      </c>
      <c r="AU10" s="524"/>
      <c r="AV10" s="524"/>
      <c r="AW10" s="1179">
        <v>0</v>
      </c>
    </row>
    <row customHeight="1" ht="11.25" hidden="1">
      <c r="A11" s="1291"/>
      <c r="B11" s="1291"/>
      <c r="C11" s="1291"/>
      <c r="D11" s="1291"/>
      <c r="E11" s="2314"/>
      <c r="F11" s="2314"/>
      <c r="G11" s="2314"/>
      <c r="H11" s="2314"/>
      <c r="I11" s="2125"/>
      <c r="J11" s="2125"/>
      <c r="K11" s="2151"/>
      <c r="L11" s="1291"/>
      <c r="M11" s="1334"/>
      <c r="N11" s="533"/>
      <c r="O11" s="351"/>
      <c r="P11" s="351"/>
      <c r="Q11" s="2281"/>
      <c r="R11" s="2281"/>
      <c r="S11" s="2281"/>
      <c r="T11" s="381"/>
      <c r="U11" s="1302"/>
      <c r="V11" s="312" t="s">
        <v>538</v>
      </c>
      <c r="W11" s="1416"/>
      <c r="X11" s="1417"/>
      <c r="Y11" s="1417"/>
      <c r="Z11" s="1417"/>
      <c r="AA11" s="1417"/>
      <c r="AB11" s="1418"/>
      <c r="AC11" s="2333"/>
      <c r="AD11" s="2131"/>
      <c r="AE11" s="2333"/>
      <c r="AF11" s="2131"/>
      <c r="AG11" s="1417"/>
      <c r="AH11" s="1417"/>
      <c r="AI11" s="1417"/>
      <c r="AJ11" s="1417"/>
      <c r="AK11" s="1418"/>
      <c r="AL11" s="2333"/>
      <c r="AM11" s="2131"/>
      <c r="AN11" s="2333"/>
      <c r="AO11" s="2131"/>
      <c r="AP11" s="1419"/>
      <c r="AQ11" s="2278"/>
      <c r="AS11" s="524"/>
      <c r="AT11" s="524"/>
      <c r="AU11" s="524"/>
      <c r="AV11" s="524"/>
      <c r="AW11" s="1179">
        <v>0</v>
      </c>
    </row>
    <row customHeight="1" ht="15" hidden="1">
      <c r="A12" s="1291"/>
      <c r="B12" s="1291"/>
      <c r="C12" s="1291"/>
      <c r="D12" s="1291"/>
      <c r="E12" s="2314"/>
      <c r="F12" s="2314"/>
      <c r="G12" s="2314"/>
      <c r="H12" s="2314"/>
      <c r="I12" s="2125"/>
      <c r="J12" s="2151"/>
      <c r="K12" s="1291"/>
      <c r="L12" s="1291"/>
      <c r="M12" s="1334"/>
      <c r="N12" s="533"/>
      <c r="O12" s="351"/>
      <c r="Q12" s="2281"/>
      <c r="R12" s="2281"/>
      <c r="S12" s="1355"/>
      <c r="T12" s="380"/>
      <c r="U12" s="1302"/>
      <c r="V12" s="311" t="s">
        <v>495</v>
      </c>
      <c r="W12" s="391"/>
      <c r="X12" s="391"/>
      <c r="Y12" s="391"/>
      <c r="Z12" s="391"/>
      <c r="AA12" s="391"/>
      <c r="AB12" s="391"/>
      <c r="AC12" s="1432"/>
      <c r="AD12" s="1432"/>
      <c r="AE12" s="1432"/>
      <c r="AF12" s="1432"/>
      <c r="AG12" s="391"/>
      <c r="AH12" s="391"/>
      <c r="AI12" s="391"/>
      <c r="AJ12" s="391"/>
      <c r="AK12" s="391"/>
      <c r="AL12" s="391"/>
      <c r="AM12" s="391"/>
      <c r="AN12" s="391"/>
      <c r="AO12" s="391"/>
      <c r="AP12" s="348"/>
      <c r="AQ12" s="2279"/>
      <c r="AS12" s="524"/>
      <c r="AT12" s="524" t="str">
        <f>IF(V12="","",V12)</f>
        <v>Добавить вид теплоносителя (параметры теплоносителя)</v>
      </c>
      <c r="AU12" s="524"/>
      <c r="AV12" s="524"/>
      <c r="AW12" s="1179">
        <v>0</v>
      </c>
    </row>
    <row customHeight="1" ht="11.25" hidden="1">
      <c r="A13" s="1291"/>
      <c r="B13" s="1291"/>
      <c r="C13" s="1291"/>
      <c r="D13" s="1291"/>
      <c r="E13" s="2314"/>
      <c r="F13" s="2314"/>
      <c r="G13" s="2314"/>
      <c r="H13" s="2314"/>
      <c r="I13" s="2151"/>
      <c r="J13" s="1291"/>
      <c r="K13" s="1291"/>
      <c r="L13" s="1291"/>
      <c r="M13" s="1334"/>
      <c r="N13" s="533"/>
      <c r="Q13" s="2281"/>
      <c r="R13" s="1355"/>
      <c r="S13" s="1355"/>
      <c r="T13" s="380"/>
      <c r="U13" s="1302"/>
      <c r="V13" s="389" t="s">
        <v>496</v>
      </c>
      <c r="W13" s="391"/>
      <c r="X13" s="391"/>
      <c r="Y13" s="391"/>
      <c r="Z13" s="391"/>
      <c r="AA13" s="391"/>
      <c r="AB13" s="391"/>
      <c r="AC13" s="391"/>
      <c r="AD13" s="391"/>
      <c r="AE13" s="391"/>
      <c r="AF13" s="390"/>
      <c r="AG13" s="391"/>
      <c r="AH13" s="391"/>
      <c r="AI13" s="391"/>
      <c r="AJ13" s="391"/>
      <c r="AK13" s="391"/>
      <c r="AL13" s="391"/>
      <c r="AM13" s="391"/>
      <c r="AN13" s="391"/>
      <c r="AO13" s="390"/>
      <c r="AP13" s="391"/>
      <c r="AQ13" s="327"/>
      <c r="AS13" s="524"/>
      <c r="AT13" s="524" t="str">
        <f>IF(V13="","",V13)</f>
        <v>Добавить группу потребителей</v>
      </c>
      <c r="AU13" s="524"/>
      <c r="AV13" s="524"/>
      <c r="AW13" s="1179">
        <v>0</v>
      </c>
    </row>
    <row customHeight="1" ht="14.25" hidden="1">
      <c r="A14" s="1291"/>
      <c r="B14" s="1291"/>
      <c r="C14" s="1291"/>
      <c r="D14" s="1291"/>
      <c r="E14" s="2314"/>
      <c r="F14" s="2314"/>
      <c r="G14" s="2314"/>
      <c r="H14" s="2313"/>
      <c r="I14" s="1291"/>
      <c r="J14" s="1291"/>
      <c r="K14" s="1291"/>
      <c r="L14" s="1291"/>
      <c r="M14" s="1334"/>
      <c r="N14" s="712"/>
      <c r="O14" s="712"/>
      <c r="P14" s="533"/>
      <c r="Q14" s="384"/>
      <c r="R14" s="399"/>
      <c r="S14" s="379"/>
      <c r="T14" s="384"/>
      <c r="U14" s="1410"/>
      <c r="V14" s="1411"/>
      <c r="W14" s="1412"/>
      <c r="X14" s="1412"/>
      <c r="Y14" s="1412"/>
      <c r="Z14" s="1412"/>
      <c r="AA14" s="1412"/>
      <c r="AB14" s="1412"/>
      <c r="AC14" s="1412"/>
      <c r="AD14" s="1412"/>
      <c r="AE14" s="1412"/>
      <c r="AF14" s="1412"/>
      <c r="AG14" s="1412"/>
      <c r="AH14" s="1412"/>
      <c r="AI14" s="1412"/>
      <c r="AJ14" s="1412"/>
      <c r="AK14" s="1412"/>
      <c r="AL14" s="1412"/>
      <c r="AM14" s="1412"/>
      <c r="AN14" s="1412"/>
      <c r="AO14" s="1412"/>
      <c r="AP14" s="1412"/>
      <c r="AQ14" s="1413"/>
      <c r="AS14" s="524"/>
      <c r="AT14" s="524" t="str">
        <f>IF(V14="","",V14)</f>
        <v/>
      </c>
      <c r="AU14" s="524"/>
      <c r="AV14" s="524"/>
      <c r="AW14" s="1179">
        <v>0</v>
      </c>
    </row>
    <row s="1666" customFormat="1" customHeight="1" ht="14.25" hidden="1">
      <c r="A15" s="1398"/>
      <c r="B15" s="1398"/>
      <c r="C15" s="1398"/>
      <c r="D15" s="1398"/>
      <c r="E15" s="2314"/>
      <c r="F15" s="2314"/>
      <c r="G15" s="2313"/>
      <c r="H15" s="1398"/>
      <c r="I15" s="1398"/>
      <c r="J15" s="1398"/>
      <c r="K15" s="1398"/>
      <c r="L15" s="1398"/>
      <c r="M15" s="1401"/>
      <c r="N15" s="1402"/>
      <c r="O15" s="1402"/>
      <c r="P15" s="375"/>
      <c r="Q15" s="1340"/>
      <c r="R15" s="1341"/>
      <c r="S15" s="1340"/>
      <c r="T15" s="1340"/>
      <c r="U15" s="1342"/>
      <c r="V15" s="1343" t="s">
        <v>498</v>
      </c>
      <c r="W15" s="1344"/>
      <c r="X15" s="1344"/>
      <c r="Y15" s="1344"/>
      <c r="Z15" s="1344"/>
      <c r="AA15" s="1344"/>
      <c r="AB15" s="1344"/>
      <c r="AC15" s="1344"/>
      <c r="AD15" s="1344"/>
      <c r="AE15" s="1344"/>
      <c r="AF15" s="1344"/>
      <c r="AG15" s="1344"/>
      <c r="AH15" s="1344"/>
      <c r="AI15" s="1344"/>
      <c r="AJ15" s="1344"/>
      <c r="AK15" s="1344"/>
      <c r="AL15" s="1344"/>
      <c r="AM15" s="1344"/>
      <c r="AN15" s="1344"/>
      <c r="AO15" s="1344"/>
      <c r="AP15" s="1344"/>
      <c r="AQ15" s="1344"/>
      <c r="AS15" s="813"/>
      <c r="AT15" s="813" t="str">
        <f>IF(V15="","",V15)</f>
        <v>Добавить источник для дифференциации</v>
      </c>
      <c r="AU15" s="813"/>
      <c r="AV15" s="813"/>
      <c r="AW15" s="542">
        <v>0</v>
      </c>
    </row>
    <row s="1666" customFormat="1" customHeight="1" ht="14.25" hidden="1">
      <c r="A16" s="1398"/>
      <c r="B16" s="1398"/>
      <c r="C16" s="1398"/>
      <c r="D16" s="1398"/>
      <c r="E16" s="2314"/>
      <c r="F16" s="2313"/>
      <c r="G16" s="1398"/>
      <c r="H16" s="1398"/>
      <c r="I16" s="1398"/>
      <c r="J16" s="1398"/>
      <c r="K16" s="1398"/>
      <c r="L16" s="1398"/>
      <c r="M16" s="1401"/>
      <c r="N16" s="1403"/>
      <c r="O16" s="1403"/>
      <c r="P16" s="375"/>
      <c r="Q16" s="1340"/>
      <c r="R16" s="1341"/>
      <c r="S16" s="1340"/>
      <c r="T16" s="1340"/>
      <c r="U16" s="1346"/>
      <c r="V16" s="1347" t="s">
        <v>499</v>
      </c>
      <c r="W16" s="1348"/>
      <c r="X16" s="1348"/>
      <c r="Y16" s="1348"/>
      <c r="Z16" s="1348"/>
      <c r="AA16" s="1348"/>
      <c r="AB16" s="1348"/>
      <c r="AC16" s="1348"/>
      <c r="AD16" s="1348"/>
      <c r="AE16" s="1348"/>
      <c r="AF16" s="1348"/>
      <c r="AG16" s="1348"/>
      <c r="AH16" s="1348"/>
      <c r="AI16" s="1348"/>
      <c r="AJ16" s="1348"/>
      <c r="AK16" s="1348"/>
      <c r="AL16" s="1348"/>
      <c r="AM16" s="1348"/>
      <c r="AN16" s="1348"/>
      <c r="AO16" s="1348"/>
      <c r="AP16" s="1348"/>
      <c r="AQ16" s="1348"/>
      <c r="AS16" s="813"/>
      <c r="AT16" s="813" t="str">
        <f>IF(V16="","",V16)</f>
        <v>Добавить централизованную систему для дифференциации</v>
      </c>
      <c r="AU16" s="813"/>
      <c r="AV16" s="813"/>
      <c r="AW16" s="542">
        <v>0</v>
      </c>
    </row>
    <row s="1666" customFormat="1" customHeight="1" ht="14.25" hidden="1">
      <c r="A17" s="1398"/>
      <c r="B17" s="1398"/>
      <c r="C17" s="1398"/>
      <c r="D17" s="1398"/>
      <c r="E17" s="2313"/>
      <c r="F17" s="1398"/>
      <c r="G17" s="1398"/>
      <c r="H17" s="1398"/>
      <c r="I17" s="1398"/>
      <c r="J17" s="1398"/>
      <c r="K17" s="1398"/>
      <c r="L17" s="1398"/>
      <c r="M17" s="1401"/>
      <c r="N17" s="1403"/>
      <c r="O17" s="1403"/>
      <c r="P17" s="375"/>
      <c r="Q17" s="1340"/>
      <c r="R17" s="1341"/>
      <c r="S17" s="1340"/>
      <c r="T17" s="1340"/>
      <c r="U17" s="1346"/>
      <c r="V17" s="1349" t="s">
        <v>500</v>
      </c>
      <c r="W17" s="1348"/>
      <c r="X17" s="1348"/>
      <c r="Y17" s="1348"/>
      <c r="Z17" s="1348"/>
      <c r="AA17" s="1348"/>
      <c r="AB17" s="1348"/>
      <c r="AC17" s="1348"/>
      <c r="AD17" s="1348"/>
      <c r="AE17" s="1348"/>
      <c r="AF17" s="1348"/>
      <c r="AG17" s="1348"/>
      <c r="AH17" s="1348"/>
      <c r="AI17" s="1348"/>
      <c r="AJ17" s="1348"/>
      <c r="AK17" s="1348"/>
      <c r="AL17" s="1348"/>
      <c r="AM17" s="1348"/>
      <c r="AN17" s="1348"/>
      <c r="AO17" s="1348"/>
      <c r="AP17" s="1348"/>
      <c r="AQ17" s="1348"/>
      <c r="AS17" s="813"/>
      <c r="AT17" s="813" t="str">
        <f>IF(V17="","",V17)</f>
        <v>Добавить территорию для дифференциации</v>
      </c>
      <c r="AU17" s="813"/>
      <c r="AV17" s="813"/>
      <c r="AW17" s="542">
        <v>0</v>
      </c>
    </row>
    <row customHeight="1" ht="14.25" hidden="1">
      <c r="AF18" s="351"/>
      <c r="AO18" s="351"/>
      <c r="AW18" s="1179">
        <v>0</v>
      </c>
    </row>
    <row customHeight="1" ht="14.25" hidden="1">
      <c r="AG19" s="1384"/>
      <c r="AH19" s="1384"/>
      <c r="AI19" s="1384"/>
      <c r="AJ19" s="1384"/>
      <c r="AK19" s="1385"/>
      <c r="AL19" s="2291"/>
      <c r="AM19" s="2292" t="s">
        <v>66</v>
      </c>
      <c r="AN19" s="2291"/>
      <c r="AO19" s="2292" t="s">
        <v>66</v>
      </c>
      <c r="AW19" s="1179">
        <v>0</v>
      </c>
    </row>
    <row customHeight="1" ht="14.25" hidden="1">
      <c r="AG20" s="1384"/>
      <c r="AH20" s="1384"/>
      <c r="AI20" s="1384"/>
      <c r="AJ20" s="1384"/>
      <c r="AK20" s="1385"/>
      <c r="AL20" s="2291"/>
      <c r="AM20" s="2292"/>
      <c r="AN20" s="2291"/>
      <c r="AO20" s="2292"/>
      <c r="AW20" s="1179">
        <v>0</v>
      </c>
    </row>
    <row customHeight="1" ht="14.25" hidden="1">
      <c r="AG21" s="1384"/>
      <c r="AH21" s="1384"/>
      <c r="AI21" s="1384"/>
      <c r="AJ21" s="1384"/>
      <c r="AK21" s="1385"/>
      <c r="AL21" s="2291"/>
      <c r="AM21" s="2292"/>
      <c r="AN21" s="2291"/>
      <c r="AO21" s="2292"/>
      <c r="AW21" s="1179">
        <v>0</v>
      </c>
    </row>
    <row customHeight="1" ht="14.25" hidden="1">
      <c r="AG22" s="1384"/>
      <c r="AH22" s="1384"/>
      <c r="AI22" s="1384"/>
      <c r="AJ22" s="1384"/>
      <c r="AK22" s="352" t="str">
        <f>AL19&amp;"-"&amp;AN19</f>
        <v>-</v>
      </c>
      <c r="AL22" s="2292"/>
      <c r="AM22" s="2292"/>
      <c r="AN22" s="2292"/>
      <c r="AO22" s="2292"/>
      <c r="AW22" s="1179">
        <v>0</v>
      </c>
    </row>
    <row customHeight="1" ht="14.25" hidden="1">
      <c r="AO23" s="351"/>
      <c r="AW23" s="1179">
        <v>0</v>
      </c>
    </row>
    <row s="1390" customFormat="1" customHeight="1" ht="22.5" hidden="1">
      <c r="A24" s="1179"/>
      <c r="B24" s="1179"/>
      <c r="C24" s="1179"/>
      <c r="D24" s="1179"/>
      <c r="E24" s="1179"/>
      <c r="F24" s="1179"/>
      <c r="G24" s="1179"/>
      <c r="H24" s="1179"/>
      <c r="I24" s="1179"/>
      <c r="J24" s="1179"/>
      <c r="K24" s="1179"/>
      <c r="L24" s="1179"/>
      <c r="M24" s="1351"/>
      <c r="N24" s="1352"/>
      <c r="O24" s="1352"/>
      <c r="P24" s="1369" t="s">
        <v>501</v>
      </c>
      <c r="Q24" s="1386"/>
      <c r="R24" s="1395"/>
      <c r="S24" s="1395"/>
      <c r="T24" s="1395"/>
      <c r="U24" s="753"/>
      <c r="AC24" s="1391"/>
      <c r="AE24" s="1391"/>
      <c r="AF24" s="1390"/>
      <c r="AL24" s="1391"/>
      <c r="AN24" s="1391"/>
      <c r="AO24" s="1390"/>
      <c r="AR24" s="535"/>
      <c r="AS24" s="535"/>
      <c r="AT24" s="535"/>
      <c r="AU24" s="535"/>
      <c r="AV24" s="535"/>
      <c r="AW24" s="1184">
        <v>0</v>
      </c>
    </row>
    <row s="1390" customFormat="1" customHeight="1" ht="14.25" hidden="1">
      <c r="A25" s="1179"/>
      <c r="B25" s="1179"/>
      <c r="C25" s="1179"/>
      <c r="D25" s="1179"/>
      <c r="E25" s="1179"/>
      <c r="F25" s="1179"/>
      <c r="G25" s="1179"/>
      <c r="H25" s="1179"/>
      <c r="I25" s="1179"/>
      <c r="J25" s="1179"/>
      <c r="K25" s="1179"/>
      <c r="L25" s="1179"/>
      <c r="M25" s="1351"/>
      <c r="N25" s="1352"/>
      <c r="O25" s="1352"/>
      <c r="P25" s="1352"/>
      <c r="Q25" s="1386"/>
      <c r="R25" s="1395"/>
      <c r="S25" s="1395"/>
      <c r="T25" s="1395"/>
      <c r="U25" s="753"/>
      <c r="AF25" s="1390"/>
      <c r="AO25" s="1390"/>
      <c r="AR25" s="535"/>
      <c r="AS25" s="535"/>
      <c r="AT25" s="535"/>
      <c r="AU25" s="535"/>
      <c r="AV25" s="535"/>
      <c r="AW25" s="1184">
        <v>0</v>
      </c>
    </row>
    <row s="1390" customFormat="1" customHeight="1" ht="14.25" hidden="1">
      <c r="A26" s="1179"/>
      <c r="B26" s="1179"/>
      <c r="C26" s="1179"/>
      <c r="D26" s="1179"/>
      <c r="E26" s="1179"/>
      <c r="F26" s="1179"/>
      <c r="G26" s="1179"/>
      <c r="H26" s="1179"/>
      <c r="I26" s="1179"/>
      <c r="J26" s="1179"/>
      <c r="K26" s="1179"/>
      <c r="L26" s="1179"/>
      <c r="M26" s="1351"/>
      <c r="N26" s="1352"/>
      <c r="O26" s="1352"/>
      <c r="P26" s="1334" t="s">
        <v>502</v>
      </c>
      <c r="Q26" s="1386"/>
      <c r="R26" s="1395"/>
      <c r="S26" s="1395"/>
      <c r="T26" s="1395"/>
      <c r="U26" s="753"/>
      <c r="V26" s="1184" t="s">
        <v>503</v>
      </c>
      <c r="AD26" s="210" t="s">
        <v>504</v>
      </c>
      <c r="AF26" s="210" t="s">
        <v>505</v>
      </c>
      <c r="AG26" s="1184" t="s">
        <v>503</v>
      </c>
      <c r="AM26" s="210" t="s">
        <v>506</v>
      </c>
      <c r="AO26" s="210" t="s">
        <v>505</v>
      </c>
      <c r="AR26" s="535"/>
      <c r="AS26" s="535"/>
      <c r="AT26" s="535"/>
      <c r="AU26" s="535"/>
      <c r="AV26" s="535"/>
      <c r="AW26" s="1184">
        <v>0</v>
      </c>
    </row>
    <row customHeight="1" ht="14.25" hidden="1">
      <c r="P27" s="1334"/>
      <c r="AW27" s="1179">
        <v>0</v>
      </c>
    </row>
    <row customHeight="1" ht="14.25" hidden="1">
      <c r="P28" s="1334"/>
      <c r="AW28" s="1179">
        <v>0</v>
      </c>
    </row>
    <row customHeight="1" ht="14.699999999999998">
      <c r="R29" s="400"/>
      <c r="S29" s="400"/>
      <c r="T29" s="400"/>
      <c r="U29" s="1299"/>
      <c r="V29" s="387"/>
      <c r="W29" s="387"/>
      <c r="X29" s="533"/>
      <c r="Y29" s="533"/>
      <c r="Z29" s="533"/>
      <c r="AA29" s="533"/>
      <c r="AB29" s="533"/>
      <c r="AC29" s="533"/>
      <c r="AD29" s="533"/>
      <c r="AE29" s="533"/>
      <c r="AF29" s="533"/>
      <c r="AG29" s="533"/>
      <c r="AH29" s="533"/>
      <c r="AI29" s="533"/>
      <c r="AJ29" s="533"/>
      <c r="AK29" s="533"/>
      <c r="AL29" s="533"/>
      <c r="AM29" s="533"/>
      <c r="AN29" s="533"/>
      <c r="AO29" s="533"/>
      <c r="AW29" s="1179">
        <v>14</v>
      </c>
    </row>
    <row customHeight="1" ht="56.699999999999996">
      <c r="R30" s="400"/>
      <c r="S30" s="400"/>
      <c r="T30" s="400"/>
      <c r="U30" s="227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72"/>
      <c r="W30" s="2272"/>
      <c r="X30" s="2272"/>
      <c r="Y30" s="2272"/>
      <c r="Z30" s="2272"/>
      <c r="AA30" s="2272"/>
      <c r="AB30" s="2272"/>
      <c r="AC30" s="2272"/>
      <c r="AD30" s="2272"/>
      <c r="AE30" s="2272"/>
      <c r="AF30" s="2272"/>
      <c r="AG30" s="2272"/>
      <c r="AH30" s="2272"/>
      <c r="AI30" s="2272"/>
      <c r="AJ30" s="2272"/>
      <c r="AK30" s="2272"/>
      <c r="AL30" s="2272"/>
      <c r="AM30" s="2272"/>
      <c r="AN30" s="2272"/>
      <c r="AO30" s="1267"/>
      <c r="AW30" s="1179">
        <v>54</v>
      </c>
    </row>
    <row customHeight="1" ht="14.699999999999998">
      <c r="R31" s="400"/>
      <c r="S31" s="400"/>
      <c r="T31" s="400"/>
      <c r="U31" s="2273" t="str">
        <f>IF(org=0,"Не определено",org)</f>
        <v>АО "ДГК"</v>
      </c>
      <c r="V31" s="2273"/>
      <c r="W31" s="2273"/>
      <c r="X31" s="2273"/>
      <c r="Y31" s="2273"/>
      <c r="Z31" s="2273"/>
      <c r="AA31" s="2273"/>
      <c r="AB31" s="2273"/>
      <c r="AC31" s="2273"/>
      <c r="AD31" s="2273"/>
      <c r="AE31" s="2273"/>
      <c r="AF31" s="2273"/>
      <c r="AG31" s="2273"/>
      <c r="AH31" s="2273"/>
      <c r="AI31" s="2273"/>
      <c r="AJ31" s="2273"/>
      <c r="AK31" s="2273"/>
      <c r="AL31" s="2273"/>
      <c r="AM31" s="2273"/>
      <c r="AN31" s="2273"/>
      <c r="AO31" s="1267"/>
      <c r="AW31" s="1179">
        <v>14</v>
      </c>
    </row>
    <row customHeight="1" ht="14.25" hidden="1">
      <c r="R32" s="400"/>
      <c r="S32" s="400"/>
      <c r="T32" s="400"/>
      <c r="U32" s="1299"/>
      <c r="V32" s="387"/>
      <c r="W32" s="387"/>
      <c r="X32" s="346"/>
      <c r="Y32" s="346"/>
      <c r="Z32" s="346"/>
      <c r="AA32" s="346"/>
      <c r="AB32" s="346"/>
      <c r="AC32" s="346"/>
      <c r="AD32" s="346"/>
      <c r="AE32" s="346"/>
      <c r="AF32" s="346"/>
      <c r="AG32" s="346"/>
      <c r="AH32" s="346"/>
      <c r="AI32" s="346"/>
      <c r="AJ32" s="346"/>
      <c r="AK32" s="346"/>
      <c r="AL32" s="346"/>
      <c r="AM32" s="346"/>
      <c r="AN32" s="346"/>
      <c r="AO32" s="346"/>
      <c r="AP32" s="533"/>
      <c r="AW32" s="1179">
        <v>0</v>
      </c>
    </row>
    <row s="1877" customFormat="1" customHeight="1" ht="25.5" hidden="1">
      <c r="A33" s="1272"/>
      <c r="B33" s="1272"/>
      <c r="C33" s="1272"/>
      <c r="D33" s="1272"/>
      <c r="E33" s="1272"/>
      <c r="F33" s="1272"/>
      <c r="G33" s="1272"/>
      <c r="H33" s="1272"/>
      <c r="I33" s="1272"/>
      <c r="J33" s="1272"/>
      <c r="K33" s="1272"/>
      <c r="L33" s="1272"/>
      <c r="M33" s="1404"/>
      <c r="N33" s="1272"/>
      <c r="O33" s="1272"/>
      <c r="P33" s="1272"/>
      <c r="U33" s="2274" t="s">
        <v>42</v>
      </c>
      <c r="V33" s="2274"/>
      <c r="W33" s="1396"/>
      <c r="X33" s="2275" t="str">
        <f>IF(TITLE_NAME_OR_PR_CHANGE="",IF(TITLE_NAME_OR_PR="","",TITLE_NAME_OR_PR),TITLE_NAME_OR_PR_CHANGE)</f>
        <v/>
      </c>
      <c r="Y33" s="2275"/>
      <c r="Z33" s="2275"/>
      <c r="AA33" s="2275"/>
      <c r="AB33" s="2275"/>
      <c r="AC33" s="2275"/>
      <c r="AD33" s="2275"/>
      <c r="AE33" s="2275"/>
      <c r="AF33" s="350"/>
      <c r="AG33" s="2275" t="str">
        <f>IF(TITLE_NAME_OR_PR_CHANGE="",IF(TITLE_NAME_OR_PR="","",TITLE_NAME_OR_PR),TITLE_NAME_OR_PR_CHANGE)</f>
        <v/>
      </c>
      <c r="AH33" s="2275"/>
      <c r="AI33" s="2275"/>
      <c r="AJ33" s="2275"/>
      <c r="AK33" s="2275"/>
      <c r="AL33" s="2275"/>
      <c r="AM33" s="2275"/>
      <c r="AN33" s="2275"/>
      <c r="AO33" s="350"/>
      <c r="AP33" s="350"/>
      <c r="AQ33" s="304"/>
      <c r="AR33" s="392"/>
      <c r="AS33" s="392"/>
      <c r="AT33" s="392"/>
      <c r="AU33" s="392"/>
      <c r="AV33" s="392"/>
      <c r="AW33" s="442">
        <v>0</v>
      </c>
    </row>
    <row s="1877" customFormat="1" customHeight="1" ht="18.75" hidden="1">
      <c r="A34" s="1272"/>
      <c r="B34" s="1272"/>
      <c r="C34" s="1272"/>
      <c r="D34" s="1272"/>
      <c r="E34" s="1272"/>
      <c r="F34" s="1272"/>
      <c r="G34" s="1272"/>
      <c r="H34" s="1272"/>
      <c r="I34" s="1272"/>
      <c r="J34" s="1272"/>
      <c r="K34" s="1272"/>
      <c r="L34" s="1272"/>
      <c r="M34" s="1404"/>
      <c r="N34" s="1272"/>
      <c r="O34" s="1272"/>
      <c r="P34" s="1272"/>
      <c r="U34" s="2274" t="s">
        <v>507</v>
      </c>
      <c r="V34" s="2274"/>
      <c r="W34" s="1396"/>
      <c r="X34" s="2288" t="str">
        <f>IF(TITLE_DATE_PR_CHANGE="",IF(TITLE_DATE_PR="","",TITLE_DATE_PR),TITLE_DATE_PR_CHANGE)</f>
        <v/>
      </c>
      <c r="Y34" s="2288"/>
      <c r="Z34" s="2288"/>
      <c r="AA34" s="2288"/>
      <c r="AB34" s="2288"/>
      <c r="AC34" s="2288"/>
      <c r="AD34" s="2288"/>
      <c r="AE34" s="2288"/>
      <c r="AF34" s="350"/>
      <c r="AG34" s="2288" t="str">
        <f>IF(TITLE_DATE_PR_CHANGE="",IF(TITLE_DATE_PR="","",TITLE_DATE_PR),TITLE_DATE_PR_CHANGE)</f>
        <v/>
      </c>
      <c r="AH34" s="2288"/>
      <c r="AI34" s="2288"/>
      <c r="AJ34" s="2288"/>
      <c r="AK34" s="2288"/>
      <c r="AL34" s="2288"/>
      <c r="AM34" s="2288"/>
      <c r="AN34" s="2288"/>
      <c r="AO34" s="350"/>
      <c r="AP34" s="350"/>
      <c r="AQ34" s="304"/>
      <c r="AR34" s="392"/>
      <c r="AS34" s="392"/>
      <c r="AT34" s="392"/>
      <c r="AU34" s="392"/>
      <c r="AV34" s="392"/>
      <c r="AW34" s="442">
        <v>0</v>
      </c>
    </row>
    <row s="1877" customFormat="1" customHeight="1" ht="18.75" hidden="1">
      <c r="A35" s="1272"/>
      <c r="B35" s="1272"/>
      <c r="C35" s="1272"/>
      <c r="D35" s="1272"/>
      <c r="E35" s="1272"/>
      <c r="F35" s="1272"/>
      <c r="G35" s="1272"/>
      <c r="H35" s="1272"/>
      <c r="I35" s="1272"/>
      <c r="J35" s="1272"/>
      <c r="K35" s="1272"/>
      <c r="L35" s="1272"/>
      <c r="M35" s="1404"/>
      <c r="N35" s="1272"/>
      <c r="O35" s="1272"/>
      <c r="P35" s="1272"/>
      <c r="U35" s="2274" t="s">
        <v>508</v>
      </c>
      <c r="V35" s="2274"/>
      <c r="W35" s="1396"/>
      <c r="X35" s="2275" t="str">
        <f>IF(TITLE_NUMBER_PR_CHANGE="",IF(TITLE_NUMBER_PR="","",TITLE_NUMBER_PR),TITLE_NUMBER_PR_CHANGE)</f>
        <v/>
      </c>
      <c r="Y35" s="2275"/>
      <c r="Z35" s="2275"/>
      <c r="AA35" s="2275"/>
      <c r="AB35" s="2275"/>
      <c r="AC35" s="2275"/>
      <c r="AD35" s="2275"/>
      <c r="AE35" s="2275"/>
      <c r="AF35" s="350"/>
      <c r="AG35" s="2275" t="str">
        <f>IF(TITLE_NUMBER_PR_CHANGE="",IF(TITLE_NUMBER_PR="","",TITLE_NUMBER_PR),TITLE_NUMBER_PR_CHANGE)</f>
        <v/>
      </c>
      <c r="AH35" s="2275"/>
      <c r="AI35" s="2275"/>
      <c r="AJ35" s="2275"/>
      <c r="AK35" s="2275"/>
      <c r="AL35" s="2275"/>
      <c r="AM35" s="2275"/>
      <c r="AN35" s="2275"/>
      <c r="AO35" s="350"/>
      <c r="AP35" s="350"/>
      <c r="AQ35" s="304"/>
      <c r="AR35" s="392"/>
      <c r="AS35" s="392"/>
      <c r="AT35" s="392"/>
      <c r="AU35" s="392"/>
      <c r="AV35" s="392"/>
      <c r="AW35" s="442">
        <v>0</v>
      </c>
    </row>
    <row s="1877" customFormat="1" customHeight="1" ht="18.75" hidden="1">
      <c r="A36" s="1272"/>
      <c r="B36" s="1272"/>
      <c r="C36" s="1272"/>
      <c r="D36" s="1272"/>
      <c r="E36" s="1272"/>
      <c r="F36" s="1272"/>
      <c r="G36" s="1272"/>
      <c r="H36" s="1272"/>
      <c r="I36" s="1272"/>
      <c r="J36" s="1272"/>
      <c r="K36" s="1272"/>
      <c r="L36" s="1272"/>
      <c r="M36" s="1404"/>
      <c r="N36" s="1272"/>
      <c r="O36" s="1272"/>
      <c r="P36" s="1272"/>
      <c r="U36" s="2274" t="s">
        <v>43</v>
      </c>
      <c r="V36" s="2274"/>
      <c r="W36" s="1396"/>
      <c r="X36" s="2275" t="str">
        <f>IF(TITLE_IST_PUB_CHANGE="",IF(TITLE_IST_PUB="","",TITLE_IST_PUB),TITLE_IST_PUB_CHANGE)</f>
        <v/>
      </c>
      <c r="Y36" s="2275"/>
      <c r="Z36" s="2275"/>
      <c r="AA36" s="2275"/>
      <c r="AB36" s="2275"/>
      <c r="AC36" s="2275"/>
      <c r="AD36" s="2275"/>
      <c r="AE36" s="2275"/>
      <c r="AF36" s="350"/>
      <c r="AG36" s="2275" t="str">
        <f>IF(TITLE_IST_PUB_CHANGE="",IF(TITLE_IST_PUB="","",TITLE_IST_PUB),TITLE_IST_PUB_CHANGE)</f>
        <v/>
      </c>
      <c r="AH36" s="2275"/>
      <c r="AI36" s="2275"/>
      <c r="AJ36" s="2275"/>
      <c r="AK36" s="2275"/>
      <c r="AL36" s="2275"/>
      <c r="AM36" s="2275"/>
      <c r="AN36" s="2275"/>
      <c r="AO36" s="350"/>
      <c r="AP36" s="350"/>
      <c r="AQ36" s="304"/>
      <c r="AR36" s="392"/>
      <c r="AS36" s="392"/>
      <c r="AT36" s="392"/>
      <c r="AU36" s="392"/>
      <c r="AV36" s="392"/>
      <c r="AW36" s="442">
        <v>0</v>
      </c>
    </row>
    <row customHeight="1" ht="14.25" hidden="1">
      <c r="R37" s="400"/>
      <c r="S37" s="400"/>
      <c r="T37" s="400"/>
      <c r="U37" s="1299"/>
      <c r="V37" s="387"/>
      <c r="W37" s="387"/>
      <c r="X37" s="346"/>
      <c r="Y37" s="346"/>
      <c r="Z37" s="346"/>
      <c r="AA37" s="346"/>
      <c r="AB37" s="346"/>
      <c r="AC37" s="346"/>
      <c r="AD37" s="346"/>
      <c r="AE37" s="346"/>
      <c r="AF37" s="346"/>
      <c r="AG37" s="346"/>
      <c r="AH37" s="346"/>
      <c r="AI37" s="346"/>
      <c r="AJ37" s="346"/>
      <c r="AK37" s="346"/>
      <c r="AL37" s="346"/>
      <c r="AM37" s="346"/>
      <c r="AN37" s="346"/>
      <c r="AO37" s="346"/>
      <c r="AP37" s="533"/>
      <c r="AW37" s="1179">
        <v>0</v>
      </c>
    </row>
    <row s="1877" customFormat="1" customHeight="1" ht="18.75" hidden="1">
      <c r="A38" s="1272"/>
      <c r="B38" s="1272"/>
      <c r="C38" s="1272"/>
      <c r="D38" s="1272"/>
      <c r="E38" s="1272"/>
      <c r="F38" s="1272"/>
      <c r="G38" s="1272"/>
      <c r="H38" s="1272"/>
      <c r="I38" s="1272"/>
      <c r="J38" s="1272"/>
      <c r="K38" s="1272"/>
      <c r="L38" s="1272"/>
      <c r="M38" s="1404"/>
      <c r="N38" s="1272"/>
      <c r="O38" s="1272"/>
      <c r="P38" s="1272"/>
      <c r="U38" s="2274" t="s">
        <v>509</v>
      </c>
      <c r="V38" s="2274"/>
      <c r="W38" s="1396"/>
      <c r="X38" s="2288" t="str">
        <f>IF(TITLE_DATE_PR_CHANGE="",IF(TITLE_DATE_PR="","",TITLE_DATE_PR),TITLE_DATE_PR_CHANGE)</f>
        <v/>
      </c>
      <c r="Y38" s="2288"/>
      <c r="Z38" s="2288"/>
      <c r="AA38" s="2288"/>
      <c r="AB38" s="2288"/>
      <c r="AC38" s="2288"/>
      <c r="AD38" s="2288"/>
      <c r="AE38" s="2288"/>
      <c r="AF38" s="350"/>
      <c r="AG38" s="2288" t="str">
        <f>IF(TITLE_DATE_PR_CHANGE="",IF(TITLE_DATE_PR="","",TITLE_DATE_PR),TITLE_DATE_PR_CHANGE)</f>
        <v/>
      </c>
      <c r="AH38" s="2288"/>
      <c r="AI38" s="2288"/>
      <c r="AJ38" s="2288"/>
      <c r="AK38" s="2288"/>
      <c r="AL38" s="2288"/>
      <c r="AM38" s="2288"/>
      <c r="AN38" s="2288"/>
      <c r="AO38" s="350"/>
      <c r="AP38" s="350"/>
      <c r="AQ38" s="304"/>
      <c r="AR38" s="392"/>
      <c r="AS38" s="392"/>
      <c r="AT38" s="392"/>
      <c r="AU38" s="392"/>
      <c r="AV38" s="392"/>
      <c r="AW38" s="442">
        <v>0</v>
      </c>
    </row>
    <row s="1877" customFormat="1" customHeight="1" ht="18.75" hidden="1">
      <c r="A39" s="1272"/>
      <c r="B39" s="1272"/>
      <c r="C39" s="1272"/>
      <c r="D39" s="1272"/>
      <c r="E39" s="1272"/>
      <c r="F39" s="1272"/>
      <c r="G39" s="1272"/>
      <c r="H39" s="1272"/>
      <c r="I39" s="1272"/>
      <c r="J39" s="1272"/>
      <c r="K39" s="1272"/>
      <c r="L39" s="1272"/>
      <c r="M39" s="1404"/>
      <c r="N39" s="1272"/>
      <c r="O39" s="1272"/>
      <c r="P39" s="1272"/>
      <c r="U39" s="2274" t="s">
        <v>510</v>
      </c>
      <c r="V39" s="2274"/>
      <c r="W39" s="1396"/>
      <c r="X39" s="2275" t="str">
        <f>IF(TITLE_NUMBER_PR_CHANGE="",IF(TITLE_NUMBER_PR="","",TITLE_NUMBER_PR),TITLE_NUMBER_PR_CHANGE)</f>
        <v/>
      </c>
      <c r="Y39" s="2275"/>
      <c r="Z39" s="2275"/>
      <c r="AA39" s="2275"/>
      <c r="AB39" s="2275"/>
      <c r="AC39" s="2275"/>
      <c r="AD39" s="2275"/>
      <c r="AE39" s="2275"/>
      <c r="AF39" s="350"/>
      <c r="AG39" s="2275" t="str">
        <f>IF(TITLE_NUMBER_PR_CHANGE="",IF(TITLE_NUMBER_PR="","",TITLE_NUMBER_PR),TITLE_NUMBER_PR_CHANGE)</f>
        <v/>
      </c>
      <c r="AH39" s="2275"/>
      <c r="AI39" s="2275"/>
      <c r="AJ39" s="2275"/>
      <c r="AK39" s="2275"/>
      <c r="AL39" s="2275"/>
      <c r="AM39" s="2275"/>
      <c r="AN39" s="2275"/>
      <c r="AO39" s="350"/>
      <c r="AP39" s="350"/>
      <c r="AQ39" s="304"/>
      <c r="AR39" s="392"/>
      <c r="AS39" s="392"/>
      <c r="AT39" s="392"/>
      <c r="AU39" s="392"/>
      <c r="AV39" s="392"/>
      <c r="AW39" s="442">
        <v>0</v>
      </c>
    </row>
    <row s="1877" customFormat="1" customHeight="1" ht="0">
      <c r="A40" s="1272"/>
      <c r="B40" s="1272"/>
      <c r="C40" s="1272"/>
      <c r="D40" s="1272"/>
      <c r="E40" s="1272"/>
      <c r="F40" s="1272"/>
      <c r="G40" s="1272"/>
      <c r="H40" s="1272"/>
      <c r="I40" s="1272"/>
      <c r="J40" s="1272"/>
      <c r="K40" s="1272"/>
      <c r="L40" s="1272"/>
      <c r="M40" s="1404"/>
      <c r="N40" s="1272"/>
      <c r="O40" s="1272"/>
      <c r="P40" s="1272"/>
      <c r="U40" s="347"/>
      <c r="V40" s="347"/>
      <c r="W40" s="1364"/>
      <c r="X40" s="350"/>
      <c r="Y40" s="350"/>
      <c r="Z40" s="350"/>
      <c r="AA40" s="350"/>
      <c r="AB40" s="350"/>
      <c r="AC40" s="350"/>
      <c r="AD40" s="350"/>
      <c r="AE40" s="350"/>
      <c r="AF40" s="302" t="s">
        <v>511</v>
      </c>
      <c r="AG40" s="350"/>
      <c r="AH40" s="350"/>
      <c r="AI40" s="350"/>
      <c r="AJ40" s="350"/>
      <c r="AK40" s="350"/>
      <c r="AL40" s="350"/>
      <c r="AM40" s="350"/>
      <c r="AN40" s="350"/>
      <c r="AO40" s="302" t="s">
        <v>511</v>
      </c>
      <c r="AR40" s="392"/>
      <c r="AS40" s="392"/>
      <c r="AT40" s="392"/>
      <c r="AU40" s="392"/>
      <c r="AV40" s="392"/>
      <c r="AW40" s="442">
        <v>0</v>
      </c>
    </row>
    <row customHeight="1" ht="14.699999999999998">
      <c r="R41" s="400"/>
      <c r="S41" s="400"/>
      <c r="T41" s="400"/>
      <c r="U41" s="1299"/>
      <c r="V41" s="387"/>
      <c r="W41" s="1268"/>
      <c r="X41" s="2276"/>
      <c r="Y41" s="2276"/>
      <c r="Z41" s="2276"/>
      <c r="AA41" s="2276"/>
      <c r="AB41" s="2276"/>
      <c r="AC41" s="2276"/>
      <c r="AD41" s="2276"/>
      <c r="AE41" s="2276"/>
      <c r="AF41" s="2276"/>
      <c r="AG41" s="2276"/>
      <c r="AH41" s="2276"/>
      <c r="AI41" s="2276"/>
      <c r="AJ41" s="2276"/>
      <c r="AK41" s="2276"/>
      <c r="AL41" s="2276"/>
      <c r="AM41" s="2276"/>
      <c r="AN41" s="2276"/>
      <c r="AO41" s="2276"/>
      <c r="AW41" s="1179">
        <v>14</v>
      </c>
    </row>
    <row customHeight="1" ht="14.699999999999998">
      <c r="R42" s="400"/>
      <c r="S42" s="400"/>
      <c r="T42" s="400"/>
      <c r="U42" s="2151" t="s">
        <v>384</v>
      </c>
      <c r="V42" s="2151"/>
      <c r="W42" s="2151"/>
      <c r="X42" s="2151"/>
      <c r="Y42" s="2151"/>
      <c r="Z42" s="2151"/>
      <c r="AA42" s="2151"/>
      <c r="AB42" s="2151"/>
      <c r="AC42" s="2151"/>
      <c r="AD42" s="2151"/>
      <c r="AE42" s="2151"/>
      <c r="AF42" s="2151"/>
      <c r="AG42" s="2151"/>
      <c r="AH42" s="2151"/>
      <c r="AI42" s="2151"/>
      <c r="AJ42" s="2151"/>
      <c r="AK42" s="2151"/>
      <c r="AL42" s="2151"/>
      <c r="AM42" s="2151"/>
      <c r="AN42" s="2151"/>
      <c r="AO42" s="2151"/>
      <c r="AP42" s="2151"/>
      <c r="AQ42" s="2151" t="s">
        <v>385</v>
      </c>
      <c r="AW42" s="1179">
        <v>14</v>
      </c>
    </row>
    <row customHeight="1" ht="14.699999999999998">
      <c r="R43" s="400"/>
      <c r="S43" s="400"/>
      <c r="T43" s="400"/>
      <c r="U43" s="2297" t="s">
        <v>88</v>
      </c>
      <c r="V43" s="2233" t="s">
        <v>512</v>
      </c>
      <c r="W43" s="325"/>
      <c r="X43" s="2298" t="s">
        <v>513</v>
      </c>
      <c r="Y43" s="2315"/>
      <c r="Z43" s="2315"/>
      <c r="AA43" s="2315"/>
      <c r="AB43" s="2315"/>
      <c r="AC43" s="2299"/>
      <c r="AD43" s="2299"/>
      <c r="AE43" s="2300"/>
      <c r="AF43" s="2301" t="s">
        <v>514</v>
      </c>
      <c r="AG43" s="2298" t="s">
        <v>513</v>
      </c>
      <c r="AH43" s="2315"/>
      <c r="AI43" s="2315"/>
      <c r="AJ43" s="2315"/>
      <c r="AK43" s="2315"/>
      <c r="AL43" s="2299"/>
      <c r="AM43" s="2299"/>
      <c r="AN43" s="2300"/>
      <c r="AO43" s="2301" t="s">
        <v>515</v>
      </c>
      <c r="AP43" s="2304" t="s">
        <v>516</v>
      </c>
      <c r="AQ43" s="2151"/>
      <c r="AW43" s="1179">
        <v>14</v>
      </c>
    </row>
    <row customHeight="1" ht="35.699999999999996">
      <c r="R44" s="400"/>
      <c r="S44" s="400"/>
      <c r="T44" s="400"/>
      <c r="U44" s="2297"/>
      <c r="V44" s="2233"/>
      <c r="W44" s="1055"/>
      <c r="X44" s="2318" t="s">
        <v>539</v>
      </c>
      <c r="Y44" s="2336" t="s">
        <v>540</v>
      </c>
      <c r="Z44" s="2336"/>
      <c r="AA44" s="2336"/>
      <c r="AB44" s="2336"/>
      <c r="AC44" s="2318" t="s">
        <v>520</v>
      </c>
      <c r="AD44" s="2635"/>
      <c r="AE44" s="2338"/>
      <c r="AF44" s="2302"/>
      <c r="AG44" s="2318" t="s">
        <v>539</v>
      </c>
      <c r="AH44" s="2336" t="s">
        <v>540</v>
      </c>
      <c r="AI44" s="2336"/>
      <c r="AJ44" s="2336"/>
      <c r="AK44" s="2336"/>
      <c r="AL44" s="2318" t="s">
        <v>520</v>
      </c>
      <c r="AM44" s="2635"/>
      <c r="AN44" s="2338"/>
      <c r="AO44" s="2302"/>
      <c r="AP44" s="2305"/>
      <c r="AQ44" s="2151"/>
      <c r="AW44" s="1179">
        <v>34</v>
      </c>
    </row>
    <row customHeight="1" ht="14.699999999999998">
      <c r="R45" s="400"/>
      <c r="S45" s="400"/>
      <c r="T45" s="400"/>
      <c r="U45" s="2297"/>
      <c r="V45" s="2233"/>
      <c r="W45" s="1055"/>
      <c r="X45" s="2349"/>
      <c r="Y45" s="2341" t="s">
        <v>541</v>
      </c>
      <c r="Z45" s="2294" t="s">
        <v>542</v>
      </c>
      <c r="AA45" s="2344"/>
      <c r="AB45" s="2295"/>
      <c r="AC45" s="2319"/>
      <c r="AD45" s="2636"/>
      <c r="AE45" s="2340"/>
      <c r="AF45" s="2302"/>
      <c r="AG45" s="2349"/>
      <c r="AH45" s="2341" t="s">
        <v>541</v>
      </c>
      <c r="AI45" s="2294" t="s">
        <v>542</v>
      </c>
      <c r="AJ45" s="2344"/>
      <c r="AK45" s="2295"/>
      <c r="AL45" s="2319"/>
      <c r="AM45" s="2636"/>
      <c r="AN45" s="2340"/>
      <c r="AO45" s="2302"/>
      <c r="AP45" s="2305"/>
      <c r="AQ45" s="2151"/>
      <c r="AW45" s="1179">
        <v>14</v>
      </c>
    </row>
    <row customHeight="1" ht="27.299999999999997">
      <c r="R46" s="400"/>
      <c r="S46" s="400"/>
      <c r="T46" s="400"/>
      <c r="U46" s="2297"/>
      <c r="V46" s="2233"/>
      <c r="W46" s="1055"/>
      <c r="X46" s="2349"/>
      <c r="Y46" s="2342"/>
      <c r="Z46" s="2341" t="s">
        <v>543</v>
      </c>
      <c r="AA46" s="2294" t="s">
        <v>544</v>
      </c>
      <c r="AB46" s="2295"/>
      <c r="AC46" s="2341" t="s">
        <v>530</v>
      </c>
      <c r="AD46" s="2345" t="s">
        <v>531</v>
      </c>
      <c r="AE46" s="2346"/>
      <c r="AF46" s="2302"/>
      <c r="AG46" s="2349"/>
      <c r="AH46" s="2342"/>
      <c r="AI46" s="2341" t="s">
        <v>543</v>
      </c>
      <c r="AJ46" s="2294" t="s">
        <v>544</v>
      </c>
      <c r="AK46" s="2295"/>
      <c r="AL46" s="2341" t="s">
        <v>530</v>
      </c>
      <c r="AM46" s="2345" t="s">
        <v>531</v>
      </c>
      <c r="AN46" s="2346"/>
      <c r="AO46" s="2302"/>
      <c r="AP46" s="2305"/>
      <c r="AQ46" s="2151"/>
      <c r="AW46" s="1179">
        <v>26</v>
      </c>
    </row>
    <row customHeight="1" ht="65.25">
      <c r="A47" s="1283"/>
      <c r="B47" s="1283" t="s">
        <v>223</v>
      </c>
      <c r="C47" s="1283" t="s">
        <v>224</v>
      </c>
      <c r="D47" s="1283" t="s">
        <v>225</v>
      </c>
      <c r="E47" s="1334" t="s">
        <v>521</v>
      </c>
      <c r="F47" s="1334" t="s">
        <v>522</v>
      </c>
      <c r="G47" s="1334" t="s">
        <v>523</v>
      </c>
      <c r="H47" s="1334" t="s">
        <v>524</v>
      </c>
      <c r="I47" s="1334" t="s">
        <v>525</v>
      </c>
      <c r="J47" s="1334" t="s">
        <v>526</v>
      </c>
      <c r="K47" s="1334" t="s">
        <v>527</v>
      </c>
      <c r="L47" s="1334" t="s">
        <v>545</v>
      </c>
      <c r="M47" s="1334" t="s">
        <v>502</v>
      </c>
      <c r="R47" s="400"/>
      <c r="S47" s="400"/>
      <c r="T47" s="400"/>
      <c r="U47" s="2297"/>
      <c r="V47" s="2233"/>
      <c r="W47" s="326"/>
      <c r="X47" s="2319"/>
      <c r="Y47" s="2343"/>
      <c r="Z47" s="2343"/>
      <c r="AA47" s="1246" t="s">
        <v>546</v>
      </c>
      <c r="AB47" s="1246" t="s">
        <v>547</v>
      </c>
      <c r="AC47" s="2343"/>
      <c r="AD47" s="2347"/>
      <c r="AE47" s="2348"/>
      <c r="AF47" s="2303"/>
      <c r="AG47" s="2319"/>
      <c r="AH47" s="2343"/>
      <c r="AI47" s="2343"/>
      <c r="AJ47" s="1246" t="s">
        <v>546</v>
      </c>
      <c r="AK47" s="1246" t="s">
        <v>547</v>
      </c>
      <c r="AL47" s="2343"/>
      <c r="AM47" s="2347"/>
      <c r="AN47" s="2348"/>
      <c r="AO47" s="2303"/>
      <c r="AP47" s="2306"/>
      <c r="AQ47" s="2151"/>
      <c r="AW47" s="1179">
        <v>62</v>
      </c>
    </row>
    <row s="1665" customFormat="1" customHeight="1" ht="11.25" hidden="1">
      <c r="A48" s="1283"/>
      <c r="B48" s="1283"/>
      <c r="C48" s="1283"/>
      <c r="D48" s="1283"/>
      <c r="E48" s="1283"/>
      <c r="F48" s="1283"/>
      <c r="G48" s="1283"/>
      <c r="H48" s="1283"/>
      <c r="I48" s="1283"/>
      <c r="J48" s="1283"/>
      <c r="K48" s="1283"/>
      <c r="L48" s="1283"/>
      <c r="M48" s="1334"/>
      <c r="N48" s="1352"/>
      <c r="O48" s="1352"/>
      <c r="P48" s="1352"/>
      <c r="Q48" s="1270"/>
      <c r="R48" s="1271"/>
      <c r="S48" s="1278">
        <v>1</v>
      </c>
      <c r="T48" s="1278"/>
      <c r="U48" s="1301" t="s">
        <v>170</v>
      </c>
      <c r="V48" s="1279" t="s">
        <v>103</v>
      </c>
      <c r="W48" s="1269" t="str">
        <f>OFFSET(W48,0,-1)</f>
        <v>2</v>
      </c>
      <c r="X48" s="1359">
        <f>OFFSET(X48,0,-1)+1</f>
        <v>3</v>
      </c>
      <c r="Y48" s="1365"/>
      <c r="Z48" s="1365"/>
      <c r="AA48" s="1365">
        <f>OFFSET(AA48,0,-1)+1</f>
        <v>1</v>
      </c>
      <c r="AB48" s="1365">
        <f>OFFSET(AB48,0,-1)+1</f>
        <v>2</v>
      </c>
      <c r="AC48" s="1359">
        <f>OFFSET(AC48,0,-1)+1</f>
        <v>3</v>
      </c>
      <c r="AD48" s="2296">
        <f>OFFSET(AD48,0,-1)+1</f>
        <v>4</v>
      </c>
      <c r="AE48" s="2296"/>
      <c r="AF48" s="1359">
        <f>OFFSET(AF48,0,-2)+1</f>
        <v>5</v>
      </c>
      <c r="AG48" s="1359">
        <f>OFFSET(AG48,0,-1)+1</f>
        <v>6</v>
      </c>
      <c r="AH48" s="1359"/>
      <c r="AI48" s="1359"/>
      <c r="AJ48" s="1359">
        <f>OFFSET(AJ48,0,-1)+1</f>
        <v>1</v>
      </c>
      <c r="AK48" s="1359">
        <f>OFFSET(AK48,0,-1)+1</f>
        <v>2</v>
      </c>
      <c r="AL48" s="1359">
        <f>OFFSET(AL48,0,-1)+1</f>
        <v>3</v>
      </c>
      <c r="AM48" s="2296">
        <f>OFFSET(AM48,0,-1)+1</f>
        <v>4</v>
      </c>
      <c r="AN48" s="2296"/>
      <c r="AO48" s="1359">
        <f>OFFSET(AO48,0,-2)+1</f>
        <v>5</v>
      </c>
      <c r="AP48" s="1269">
        <f>OFFSET(AP48,0,-1)</f>
        <v>5</v>
      </c>
      <c r="AQ48" s="1359">
        <f>OFFSET(AQ48,0,-1)+1</f>
        <v>6</v>
      </c>
      <c r="AR48" s="535"/>
      <c r="AS48" s="535"/>
      <c r="AT48" s="535"/>
      <c r="AU48" s="535"/>
      <c r="AV48" s="535"/>
      <c r="AW48" s="520">
        <v>0</v>
      </c>
    </row>
    <row customHeight="1" ht="22.049999999999997">
      <c r="A49" s="1291" t="s">
        <v>260</v>
      </c>
      <c r="B49" s="1291"/>
      <c r="C49" s="1291"/>
      <c r="D49" s="1291"/>
      <c r="E49" s="2313">
        <v>1</v>
      </c>
      <c r="F49" s="1291"/>
      <c r="G49" s="1291"/>
      <c r="H49" s="1291"/>
      <c r="I49" s="1291"/>
      <c r="J49" s="1291"/>
      <c r="K49" s="1291"/>
      <c r="L49" s="1291"/>
      <c r="M49" s="1334"/>
      <c r="N49" s="712"/>
      <c r="O49" s="712"/>
      <c r="P49" s="712"/>
      <c r="Q49" s="385"/>
      <c r="R49" s="384"/>
      <c r="S49" s="384"/>
      <c r="T49" s="379"/>
      <c r="U49" s="1360">
        <f>INDEX(PT_DIFFERENTIATION_NUM_NTAR,MATCH(A49,PT_DIFFERENTIATION_NTAR_ID,0))</f>
        <v>0</v>
      </c>
      <c r="V49" s="322" t="s">
        <v>211</v>
      </c>
      <c r="W49" s="324"/>
      <c r="X49" s="2266"/>
      <c r="Y49" s="2267"/>
      <c r="Z49" s="2267"/>
      <c r="AA49" s="2267"/>
      <c r="AB49" s="2267"/>
      <c r="AC49" s="2267"/>
      <c r="AD49" s="2267"/>
      <c r="AE49" s="2267"/>
      <c r="AF49" s="2268"/>
      <c r="AG49" s="2266" t="str">
        <f>INDEX(PT_DIFFERENTIATION_NTAR,MATCH(A49,PT_DIFFERENTIATION_NTAR_ID,0))</f>
        <v/>
      </c>
      <c r="AH49" s="2267"/>
      <c r="AI49" s="2267"/>
      <c r="AJ49" s="2267"/>
      <c r="AK49" s="2267"/>
      <c r="AL49" s="2267"/>
      <c r="AM49" s="2267"/>
      <c r="AN49" s="2267"/>
      <c r="AO49" s="2267"/>
      <c r="AP49" s="2268"/>
      <c r="AQ49" s="12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24"/>
      <c r="AT49" s="524" t="str">
        <f>IF(V49="","",V49)</f>
        <v>Наименование тарифа</v>
      </c>
      <c r="AU49" s="524"/>
      <c r="AV49" s="524"/>
      <c r="AW49" s="1179">
        <v>21</v>
      </c>
    </row>
    <row customHeight="1" ht="22.049999999999997">
      <c r="A50" s="1291" t="s">
        <v>260</v>
      </c>
      <c r="B50" s="1291" t="s">
        <v>261</v>
      </c>
      <c r="C50" s="1291"/>
      <c r="D50" s="1291"/>
      <c r="E50" s="2314"/>
      <c r="F50" s="2313">
        <v>1</v>
      </c>
      <c r="G50" s="1291"/>
      <c r="H50" s="1291"/>
      <c r="I50" s="1291"/>
      <c r="J50" s="1291"/>
      <c r="K50" s="1291"/>
      <c r="L50" s="1291"/>
      <c r="M50" s="1334"/>
      <c r="N50" s="712"/>
      <c r="O50" s="712"/>
      <c r="P50" s="712"/>
      <c r="Q50" s="1356"/>
      <c r="R50" s="376"/>
      <c r="S50" s="533"/>
      <c r="T50" s="377"/>
      <c r="U50" s="1360" t="str">
        <f>INDEX(PT_DIFFERENTIATION_NUM_TER,MATCH(B50,PT_DIFFERENTIATION_TER_ID,0))</f>
        <v>.</v>
      </c>
      <c r="V50" s="332" t="s">
        <v>481</v>
      </c>
      <c r="W50" s="324"/>
      <c r="X50" s="2266"/>
      <c r="Y50" s="2267"/>
      <c r="Z50" s="2267"/>
      <c r="AA50" s="2267"/>
      <c r="AB50" s="2267"/>
      <c r="AC50" s="2267"/>
      <c r="AD50" s="2267"/>
      <c r="AE50" s="2267"/>
      <c r="AF50" s="2268"/>
      <c r="AG50" s="2266" t="str">
        <f>INDEX(PT_DIFFERENTIATION_TER,MATCH(B50,PT_DIFFERENTIATION_TER_ID,0))</f>
        <v/>
      </c>
      <c r="AH50" s="2267"/>
      <c r="AI50" s="2267"/>
      <c r="AJ50" s="2267"/>
      <c r="AK50" s="2267"/>
      <c r="AL50" s="2267"/>
      <c r="AM50" s="2267"/>
      <c r="AN50" s="2267"/>
      <c r="AO50" s="2267"/>
      <c r="AP50" s="2268"/>
      <c r="AQ50" s="1282" t="s">
        <v>482</v>
      </c>
      <c r="AS50" s="524"/>
      <c r="AT50" s="524" t="str">
        <f>IF(V50="","",V50)</f>
        <v>Территория действия тарифа</v>
      </c>
      <c r="AU50" s="524"/>
      <c r="AV50" s="524"/>
      <c r="AW50" s="1179">
        <v>21</v>
      </c>
    </row>
    <row customHeight="1" ht="24">
      <c r="A51" s="1291" t="s">
        <v>260</v>
      </c>
      <c r="B51" s="1291" t="s">
        <v>261</v>
      </c>
      <c r="C51" s="1291" t="s">
        <v>262</v>
      </c>
      <c r="D51" s="1291"/>
      <c r="E51" s="2314"/>
      <c r="F51" s="2314"/>
      <c r="G51" s="2313">
        <v>1</v>
      </c>
      <c r="H51" s="1291"/>
      <c r="I51" s="1291"/>
      <c r="J51" s="1291"/>
      <c r="K51" s="1291"/>
      <c r="L51" s="1291"/>
      <c r="M51" s="1334"/>
      <c r="N51" s="712"/>
      <c r="O51" s="712"/>
      <c r="P51" s="712"/>
      <c r="Q51" s="378"/>
      <c r="R51" s="376"/>
      <c r="S51" s="533"/>
      <c r="T51" s="377"/>
      <c r="U51" s="1360" t="str">
        <f>INDEX(PT_DIFFERENTIATION_NUM_CS,MATCH(C51,PT_DIFFERENTIATION_CS_ID,0))</f>
        <v>..</v>
      </c>
      <c r="V51" s="333" t="s">
        <v>483</v>
      </c>
      <c r="W51" s="324"/>
      <c r="X51" s="2266"/>
      <c r="Y51" s="2267"/>
      <c r="Z51" s="2267"/>
      <c r="AA51" s="2267"/>
      <c r="AB51" s="2267"/>
      <c r="AC51" s="2267"/>
      <c r="AD51" s="2267"/>
      <c r="AE51" s="2267"/>
      <c r="AF51" s="2268"/>
      <c r="AG51" s="2266" t="str">
        <f>INDEX(PT_DIFFERENTIATION_CS,MATCH(C51,PT_DIFFERENTIATION_CS_ID,0))</f>
        <v/>
      </c>
      <c r="AH51" s="2267"/>
      <c r="AI51" s="2267"/>
      <c r="AJ51" s="2267"/>
      <c r="AK51" s="2267"/>
      <c r="AL51" s="2267"/>
      <c r="AM51" s="2267"/>
      <c r="AN51" s="2267"/>
      <c r="AO51" s="2267"/>
      <c r="AP51" s="2268"/>
      <c r="AQ51" s="1282" t="s">
        <v>484</v>
      </c>
      <c r="AS51" s="524"/>
      <c r="AT51" s="524" t="str">
        <f>IF(V51="","",V51)</f>
        <v>Наименование системы теплоснабжения </v>
      </c>
      <c r="AU51" s="524"/>
      <c r="AV51" s="524"/>
      <c r="AW51" s="1179">
        <v>23</v>
      </c>
    </row>
    <row customHeight="1" ht="22.049999999999997">
      <c r="A52" s="1291" t="s">
        <v>260</v>
      </c>
      <c r="B52" s="1291" t="s">
        <v>261</v>
      </c>
      <c r="C52" s="1291" t="s">
        <v>262</v>
      </c>
      <c r="D52" s="1291" t="s">
        <v>263</v>
      </c>
      <c r="E52" s="2314"/>
      <c r="F52" s="2314"/>
      <c r="G52" s="2314"/>
      <c r="H52" s="2334">
        <v>1</v>
      </c>
      <c r="I52" s="1291"/>
      <c r="J52" s="1291"/>
      <c r="K52" s="1291"/>
      <c r="L52" s="1291"/>
      <c r="M52" s="1334"/>
      <c r="N52" s="712"/>
      <c r="O52" s="712"/>
      <c r="P52" s="712"/>
      <c r="Q52" s="378"/>
      <c r="R52" s="376"/>
      <c r="S52" s="533"/>
      <c r="T52" s="377"/>
      <c r="U52" s="1360" t="str">
        <f>INDEX(PT_DIFFERENTIATION_NUM_IST_TE,MATCH(D52,PT_DIFFERENTIATION_IST_TE_ID,0))</f>
        <v>...</v>
      </c>
      <c r="V52" s="334" t="s">
        <v>485</v>
      </c>
      <c r="W52" s="324"/>
      <c r="X52" s="2266"/>
      <c r="Y52" s="2267"/>
      <c r="Z52" s="2267"/>
      <c r="AA52" s="2267"/>
      <c r="AB52" s="2267"/>
      <c r="AC52" s="2267"/>
      <c r="AD52" s="2267"/>
      <c r="AE52" s="2267"/>
      <c r="AF52" s="2268"/>
      <c r="AG52" s="2266" t="str">
        <f>INDEX(PT_DIFFERENTIATION_IST_TE,MATCH(D52,PT_DIFFERENTIATION_IST_TE_ID,0))</f>
        <v/>
      </c>
      <c r="AH52" s="2267"/>
      <c r="AI52" s="2267"/>
      <c r="AJ52" s="2267"/>
      <c r="AK52" s="2267"/>
      <c r="AL52" s="2267"/>
      <c r="AM52" s="2267"/>
      <c r="AN52" s="2267"/>
      <c r="AO52" s="2267"/>
      <c r="AP52" s="2268"/>
      <c r="AQ52" s="1282" t="s">
        <v>486</v>
      </c>
      <c r="AS52" s="524"/>
      <c r="AT52" s="524" t="str">
        <f>IF(V52="","",V52)</f>
        <v>Источник тепловой энергии  </v>
      </c>
      <c r="AU52" s="524"/>
      <c r="AV52" s="524"/>
      <c r="AW52" s="1179">
        <v>21</v>
      </c>
    </row>
    <row s="1666" customFormat="1" customHeight="1" ht="0">
      <c r="A53" s="1399" t="s">
        <v>260</v>
      </c>
      <c r="B53" s="1399" t="s">
        <v>261</v>
      </c>
      <c r="C53" s="1399" t="s">
        <v>262</v>
      </c>
      <c r="D53" s="1399" t="s">
        <v>263</v>
      </c>
      <c r="E53" s="2314"/>
      <c r="F53" s="2314"/>
      <c r="G53" s="2314"/>
      <c r="H53" s="2335"/>
      <c r="I53" s="2151" t="str">
        <f>U52&amp;".1"</f>
        <v>....1</v>
      </c>
      <c r="J53" s="1399"/>
      <c r="K53" s="1399"/>
      <c r="L53" s="1399"/>
      <c r="M53" s="1405" t="s">
        <v>487</v>
      </c>
      <c r="N53" s="1270"/>
      <c r="O53" s="1270"/>
      <c r="P53" s="1270"/>
      <c r="Q53" s="2281">
        <v>1</v>
      </c>
      <c r="R53" s="1355"/>
      <c r="S53" s="1355"/>
      <c r="T53" s="380"/>
      <c r="U53" s="1066"/>
      <c r="V53" s="1407"/>
      <c r="W53" s="1408"/>
      <c r="X53" s="2320"/>
      <c r="Y53" s="2321"/>
      <c r="Z53" s="2321"/>
      <c r="AA53" s="2321"/>
      <c r="AB53" s="2321"/>
      <c r="AC53" s="2321"/>
      <c r="AD53" s="2321"/>
      <c r="AE53" s="2321"/>
      <c r="AF53" s="2322"/>
      <c r="AG53" s="2320"/>
      <c r="AH53" s="2321"/>
      <c r="AI53" s="2321"/>
      <c r="AJ53" s="2321"/>
      <c r="AK53" s="2321"/>
      <c r="AL53" s="2321"/>
      <c r="AM53" s="2321"/>
      <c r="AN53" s="2321"/>
      <c r="AO53" s="2321"/>
      <c r="AP53" s="2322"/>
      <c r="AQ53" s="1409"/>
      <c r="AS53" s="524"/>
      <c r="AT53" s="524" t="str">
        <f>IF(V53="","",V53)</f>
        <v/>
      </c>
      <c r="AU53" s="524"/>
      <c r="AV53" s="524"/>
      <c r="AW53" s="535">
        <v>0</v>
      </c>
    </row>
    <row customHeight="1" ht="22.049999999999997">
      <c r="A54" s="1291" t="s">
        <v>260</v>
      </c>
      <c r="B54" s="1291" t="s">
        <v>261</v>
      </c>
      <c r="C54" s="1291" t="s">
        <v>262</v>
      </c>
      <c r="D54" s="1291" t="s">
        <v>263</v>
      </c>
      <c r="E54" s="2314"/>
      <c r="F54" s="2314"/>
      <c r="G54" s="2314"/>
      <c r="H54" s="2335"/>
      <c r="I54" s="2125"/>
      <c r="J54" s="2151" t="str">
        <f>I53&amp;".1"</f>
        <v>....1.1</v>
      </c>
      <c r="K54" s="1291"/>
      <c r="L54" s="1291"/>
      <c r="M54" s="1334" t="s">
        <v>490</v>
      </c>
      <c r="Q54" s="2281"/>
      <c r="R54" s="2281">
        <v>1</v>
      </c>
      <c r="S54" s="542"/>
      <c r="T54" s="381"/>
      <c r="U54" s="1360" t="str">
        <f>$J54</f>
        <v>....1.1</v>
      </c>
      <c r="V54" s="310" t="s">
        <v>491</v>
      </c>
      <c r="W54" s="324"/>
      <c r="X54" s="2269"/>
      <c r="Y54" s="2270"/>
      <c r="Z54" s="2270"/>
      <c r="AA54" s="2270"/>
      <c r="AB54" s="2270"/>
      <c r="AC54" s="2259"/>
      <c r="AD54" s="2259"/>
      <c r="AE54" s="2259"/>
      <c r="AF54" s="2332"/>
      <c r="AG54" s="2269"/>
      <c r="AH54" s="2270"/>
      <c r="AI54" s="2270"/>
      <c r="AJ54" s="2270"/>
      <c r="AK54" s="2270"/>
      <c r="AL54" s="2270"/>
      <c r="AM54" s="2270"/>
      <c r="AN54" s="2270"/>
      <c r="AO54" s="2270"/>
      <c r="AP54" s="2271"/>
      <c r="AQ54" s="1282" t="s">
        <v>492</v>
      </c>
      <c r="AS54" s="524"/>
      <c r="AT54" s="524" t="str">
        <f>IF(V54="","",V54)</f>
        <v>Группа потребителей</v>
      </c>
      <c r="AU54" s="524"/>
      <c r="AV54" s="524"/>
      <c r="AW54" s="1179">
        <v>21</v>
      </c>
    </row>
    <row customHeight="1" ht="22.049999999999997">
      <c r="A55" s="1291" t="s">
        <v>260</v>
      </c>
      <c r="B55" s="1291" t="s">
        <v>261</v>
      </c>
      <c r="C55" s="1291" t="s">
        <v>262</v>
      </c>
      <c r="D55" s="1291" t="s">
        <v>263</v>
      </c>
      <c r="E55" s="2314"/>
      <c r="F55" s="2314"/>
      <c r="G55" s="2314"/>
      <c r="H55" s="2335"/>
      <c r="I55" s="2125"/>
      <c r="J55" s="2125"/>
      <c r="K55" s="2151" t="str">
        <f>J54&amp;".1"</f>
        <v>....1.1.1</v>
      </c>
      <c r="L55" s="163"/>
      <c r="M55" s="1334" t="s">
        <v>493</v>
      </c>
      <c r="Q55" s="2281"/>
      <c r="R55" s="2281"/>
      <c r="S55" s="542">
        <v>1</v>
      </c>
      <c r="T55" s="381"/>
      <c r="U55" s="1360" t="str">
        <f>$K55</f>
        <v>....1.1.1</v>
      </c>
      <c r="V55" s="1371"/>
      <c r="W55" s="324"/>
      <c r="X55" s="775"/>
      <c r="Y55" s="775"/>
      <c r="Z55" s="775"/>
      <c r="AA55" s="775"/>
      <c r="AB55" s="1429"/>
      <c r="AC55" s="2289"/>
      <c r="AD55" s="2131" t="s">
        <v>66</v>
      </c>
      <c r="AE55" s="2289"/>
      <c r="AF55" s="2131" t="s">
        <v>66</v>
      </c>
      <c r="AG55" s="1431"/>
      <c r="AH55" s="775"/>
      <c r="AI55" s="775"/>
      <c r="AJ55" s="775"/>
      <c r="AK55" s="1281"/>
      <c r="AL55" s="2289"/>
      <c r="AM55" s="2131" t="s">
        <v>66</v>
      </c>
      <c r="AN55" s="2289"/>
      <c r="AO55" s="2131" t="s">
        <v>66</v>
      </c>
      <c r="AP55" s="1372"/>
      <c r="AQ55" s="1331" t="s">
        <v>536</v>
      </c>
      <c r="AR55" s="535">
        <f>STRCHECKDATE(X57:AP57)</f>
      </c>
      <c r="AS55" s="524"/>
      <c r="AT55" s="524" t="str">
        <f>IF(V55="","",V55)</f>
        <v/>
      </c>
      <c r="AU55" s="524"/>
      <c r="AV55" s="524"/>
      <c r="AW55" s="1179">
        <v>21</v>
      </c>
    </row>
    <row customHeight="1" ht="11.549999999999999">
      <c r="A56" s="1291" t="s">
        <v>260</v>
      </c>
      <c r="B56" s="1291" t="s">
        <v>261</v>
      </c>
      <c r="C56" s="1291" t="s">
        <v>262</v>
      </c>
      <c r="D56" s="1291" t="s">
        <v>263</v>
      </c>
      <c r="E56" s="2314"/>
      <c r="F56" s="2314"/>
      <c r="G56" s="2314"/>
      <c r="H56" s="2335"/>
      <c r="I56" s="2125"/>
      <c r="J56" s="2125"/>
      <c r="K56" s="2125"/>
      <c r="L56" s="2151" t="str">
        <f>K55&amp;".1"</f>
        <v>....1.1.1.1</v>
      </c>
      <c r="M56" s="1334"/>
      <c r="Q56" s="2281"/>
      <c r="R56" s="2281"/>
      <c r="S56" s="542">
        <v>1</v>
      </c>
      <c r="T56" s="381"/>
      <c r="U56" s="1360" t="str">
        <f>$L56</f>
        <v>....1.1.1.1</v>
      </c>
      <c r="V56" s="1415"/>
      <c r="W56" s="324"/>
      <c r="X56" s="349"/>
      <c r="Y56" s="775"/>
      <c r="Z56" s="775"/>
      <c r="AA56" s="775"/>
      <c r="AB56" s="1429"/>
      <c r="AC56" s="2333"/>
      <c r="AD56" s="2131"/>
      <c r="AE56" s="2333"/>
      <c r="AF56" s="2131"/>
      <c r="AG56" s="1431"/>
      <c r="AH56" s="775"/>
      <c r="AI56" s="775"/>
      <c r="AJ56" s="775"/>
      <c r="AK56" s="1281"/>
      <c r="AL56" s="2333"/>
      <c r="AM56" s="2131"/>
      <c r="AN56" s="2333"/>
      <c r="AO56" s="2131"/>
      <c r="AP56" s="1372"/>
      <c r="AQ56" s="2277" t="s">
        <v>537</v>
      </c>
      <c r="AR56" s="535">
        <f>STRCHECKDATE(X58:AP58)</f>
      </c>
      <c r="AS56" s="524"/>
      <c r="AT56" s="524" t="str">
        <f>IF(V56="","",V56)</f>
        <v/>
      </c>
      <c r="AU56" s="524"/>
      <c r="AV56" s="524"/>
      <c r="AW56" s="1179">
        <v>11</v>
      </c>
    </row>
    <row customHeight="1" ht="0">
      <c r="A57" s="1291" t="s">
        <v>260</v>
      </c>
      <c r="B57" s="1291" t="s">
        <v>261</v>
      </c>
      <c r="C57" s="1291" t="s">
        <v>262</v>
      </c>
      <c r="D57" s="1291" t="s">
        <v>263</v>
      </c>
      <c r="E57" s="2314"/>
      <c r="F57" s="2314"/>
      <c r="G57" s="2314"/>
      <c r="H57" s="2335"/>
      <c r="I57" s="2125"/>
      <c r="J57" s="2125"/>
      <c r="K57" s="2125"/>
      <c r="L57" s="2151"/>
      <c r="M57" s="1334"/>
      <c r="Q57" s="2281"/>
      <c r="R57" s="2281"/>
      <c r="S57" s="542"/>
      <c r="T57" s="381"/>
      <c r="U57" s="1366"/>
      <c r="V57" s="324"/>
      <c r="W57" s="324"/>
      <c r="X57" s="349"/>
      <c r="Y57" s="349"/>
      <c r="Z57" s="349"/>
      <c r="AA57" s="349"/>
      <c r="AB57" s="1430" t="str">
        <f>AC55&amp;"-"&amp;AE55</f>
        <v>-</v>
      </c>
      <c r="AC57" s="2333"/>
      <c r="AD57" s="2131"/>
      <c r="AE57" s="2333"/>
      <c r="AF57" s="2131"/>
      <c r="AG57" s="1406"/>
      <c r="AH57" s="349"/>
      <c r="AI57" s="349"/>
      <c r="AJ57" s="349"/>
      <c r="AK57" s="352" t="str">
        <f>AL55&amp;"-"&amp;AN55</f>
        <v>-</v>
      </c>
      <c r="AL57" s="2333"/>
      <c r="AM57" s="2131"/>
      <c r="AN57" s="2333"/>
      <c r="AO57" s="2131"/>
      <c r="AP57" s="1373"/>
      <c r="AQ57" s="2278"/>
      <c r="AS57" s="524"/>
      <c r="AT57" s="524" t="str">
        <f>IF(V57="","",V57)</f>
        <v/>
      </c>
      <c r="AU57" s="524"/>
      <c r="AV57" s="524"/>
      <c r="AW57" s="1179">
        <v>0</v>
      </c>
    </row>
    <row customHeight="1" ht="11.549999999999999">
      <c r="A58" s="1291" t="s">
        <v>260</v>
      </c>
      <c r="B58" s="1291" t="s">
        <v>261</v>
      </c>
      <c r="C58" s="1291" t="s">
        <v>262</v>
      </c>
      <c r="D58" s="1291" t="s">
        <v>263</v>
      </c>
      <c r="E58" s="2314"/>
      <c r="F58" s="2314"/>
      <c r="G58" s="2314"/>
      <c r="H58" s="2335"/>
      <c r="I58" s="2125"/>
      <c r="J58" s="2125"/>
      <c r="K58" s="2151"/>
      <c r="L58" s="1291"/>
      <c r="M58" s="1334"/>
      <c r="Q58" s="2281"/>
      <c r="R58" s="2281"/>
      <c r="S58" s="1355"/>
      <c r="T58" s="380"/>
      <c r="U58" s="1302"/>
      <c r="V58" s="312" t="s">
        <v>538</v>
      </c>
      <c r="W58" s="391"/>
      <c r="X58" s="391"/>
      <c r="Y58" s="391"/>
      <c r="Z58" s="391"/>
      <c r="AA58" s="391"/>
      <c r="AB58" s="391"/>
      <c r="AC58" s="2333"/>
      <c r="AD58" s="2131"/>
      <c r="AE58" s="2333"/>
      <c r="AF58" s="2131"/>
      <c r="AG58" s="391"/>
      <c r="AH58" s="391"/>
      <c r="AI58" s="391"/>
      <c r="AJ58" s="391"/>
      <c r="AK58" s="391"/>
      <c r="AL58" s="2333"/>
      <c r="AM58" s="2131"/>
      <c r="AN58" s="2333"/>
      <c r="AO58" s="2131"/>
      <c r="AP58" s="348"/>
      <c r="AQ58" s="2278"/>
      <c r="AS58" s="524"/>
      <c r="AT58" s="524" t="str">
        <f>IF(V58="","",V58)</f>
        <v>Добавить наименование поставщика</v>
      </c>
      <c r="AU58" s="524"/>
      <c r="AV58" s="524"/>
      <c r="AW58" s="1179">
        <v>11</v>
      </c>
    </row>
    <row customHeight="1" ht="11.549999999999999">
      <c r="A59" s="1291" t="s">
        <v>260</v>
      </c>
      <c r="B59" s="1291" t="s">
        <v>261</v>
      </c>
      <c r="C59" s="1291" t="s">
        <v>262</v>
      </c>
      <c r="D59" s="1291" t="s">
        <v>263</v>
      </c>
      <c r="E59" s="2314"/>
      <c r="F59" s="2314"/>
      <c r="G59" s="2314"/>
      <c r="H59" s="2335"/>
      <c r="I59" s="2125"/>
      <c r="J59" s="2151"/>
      <c r="K59" s="1291"/>
      <c r="L59" s="1291"/>
      <c r="M59" s="1334"/>
      <c r="Q59" s="2281"/>
      <c r="R59" s="2281"/>
      <c r="S59" s="1355"/>
      <c r="T59" s="380"/>
      <c r="U59" s="1302"/>
      <c r="V59" s="311" t="s">
        <v>495</v>
      </c>
      <c r="W59" s="391"/>
      <c r="X59" s="391"/>
      <c r="Y59" s="391"/>
      <c r="Z59" s="391"/>
      <c r="AA59" s="391"/>
      <c r="AB59" s="391"/>
      <c r="AC59" s="1432"/>
      <c r="AD59" s="1432"/>
      <c r="AE59" s="1432"/>
      <c r="AF59" s="1432"/>
      <c r="AG59" s="391"/>
      <c r="AH59" s="391"/>
      <c r="AI59" s="391"/>
      <c r="AJ59" s="391"/>
      <c r="AK59" s="391"/>
      <c r="AL59" s="391"/>
      <c r="AM59" s="391"/>
      <c r="AN59" s="391"/>
      <c r="AO59" s="391"/>
      <c r="AP59" s="348"/>
      <c r="AQ59" s="2279"/>
      <c r="AS59" s="524"/>
      <c r="AT59" s="524" t="str">
        <f>IF(V59="","",V59)</f>
        <v>Добавить вид теплоносителя (параметры теплоносителя)</v>
      </c>
      <c r="AU59" s="524"/>
      <c r="AV59" s="524"/>
      <c r="AW59" s="1179">
        <v>11</v>
      </c>
    </row>
    <row customHeight="1" ht="11.549999999999999">
      <c r="A60" s="1291" t="s">
        <v>260</v>
      </c>
      <c r="B60" s="1291" t="s">
        <v>261</v>
      </c>
      <c r="C60" s="1291" t="s">
        <v>262</v>
      </c>
      <c r="D60" s="1291" t="s">
        <v>263</v>
      </c>
      <c r="E60" s="2314"/>
      <c r="F60" s="2314"/>
      <c r="G60" s="2314"/>
      <c r="H60" s="2335"/>
      <c r="I60" s="2151"/>
      <c r="J60" s="1291"/>
      <c r="K60" s="1291"/>
      <c r="L60" s="1291"/>
      <c r="M60" s="1334"/>
      <c r="Q60" s="2281"/>
      <c r="R60" s="1355"/>
      <c r="S60" s="1355"/>
      <c r="T60" s="380"/>
      <c r="U60" s="1302"/>
      <c r="V60" s="389" t="s">
        <v>496</v>
      </c>
      <c r="W60" s="391"/>
      <c r="X60" s="391"/>
      <c r="Y60" s="391"/>
      <c r="Z60" s="391"/>
      <c r="AA60" s="391"/>
      <c r="AB60" s="391"/>
      <c r="AC60" s="391"/>
      <c r="AD60" s="391"/>
      <c r="AE60" s="391"/>
      <c r="AF60" s="390"/>
      <c r="AG60" s="391"/>
      <c r="AH60" s="391"/>
      <c r="AI60" s="391"/>
      <c r="AJ60" s="391"/>
      <c r="AK60" s="391"/>
      <c r="AL60" s="391"/>
      <c r="AM60" s="391"/>
      <c r="AN60" s="391"/>
      <c r="AO60" s="390"/>
      <c r="AP60" s="391"/>
      <c r="AQ60" s="327"/>
      <c r="AS60" s="524"/>
      <c r="AT60" s="524" t="str">
        <f>IF(V60="","",V60)</f>
        <v>Добавить группу потребителей</v>
      </c>
      <c r="AU60" s="524"/>
      <c r="AV60" s="524"/>
      <c r="AW60" s="1179">
        <v>11</v>
      </c>
    </row>
    <row customHeight="1" ht="0">
      <c r="A61" s="1291" t="s">
        <v>260</v>
      </c>
      <c r="B61" s="1291" t="s">
        <v>261</v>
      </c>
      <c r="C61" s="1291" t="s">
        <v>262</v>
      </c>
      <c r="D61" s="1291" t="s">
        <v>263</v>
      </c>
      <c r="E61" s="2314"/>
      <c r="F61" s="2314"/>
      <c r="G61" s="2314"/>
      <c r="H61" s="2334"/>
      <c r="I61" s="1291"/>
      <c r="J61" s="1291"/>
      <c r="K61" s="1291"/>
      <c r="L61" s="1291"/>
      <c r="M61" s="1334"/>
      <c r="N61" s="712"/>
      <c r="O61" s="712"/>
      <c r="P61" s="533"/>
      <c r="Q61" s="384"/>
      <c r="R61" s="399"/>
      <c r="S61" s="379"/>
      <c r="T61" s="384"/>
      <c r="U61" s="1410"/>
      <c r="V61" s="1411"/>
      <c r="W61" s="1412"/>
      <c r="X61" s="1412"/>
      <c r="Y61" s="1412"/>
      <c r="Z61" s="1412"/>
      <c r="AA61" s="1412"/>
      <c r="AB61" s="1412"/>
      <c r="AC61" s="1412"/>
      <c r="AD61" s="1412"/>
      <c r="AE61" s="1412"/>
      <c r="AF61" s="1412"/>
      <c r="AG61" s="1412"/>
      <c r="AH61" s="1412"/>
      <c r="AI61" s="1412"/>
      <c r="AJ61" s="1412"/>
      <c r="AK61" s="1412"/>
      <c r="AL61" s="1412"/>
      <c r="AM61" s="1412"/>
      <c r="AN61" s="1412"/>
      <c r="AO61" s="1412"/>
      <c r="AP61" s="1412"/>
      <c r="AQ61" s="1413"/>
      <c r="AS61" s="524"/>
      <c r="AT61" s="524" t="str">
        <f>IF(V61="","",V61)</f>
        <v/>
      </c>
      <c r="AU61" s="524"/>
      <c r="AV61" s="524"/>
      <c r="AW61" s="1179">
        <v>0</v>
      </c>
    </row>
    <row s="1666" customFormat="1" customHeight="1" ht="0">
      <c r="A62" s="1399" t="s">
        <v>260</v>
      </c>
      <c r="B62" s="1399" t="s">
        <v>261</v>
      </c>
      <c r="C62" s="1399" t="s">
        <v>262</v>
      </c>
      <c r="D62" s="1398"/>
      <c r="E62" s="2314"/>
      <c r="F62" s="2314"/>
      <c r="G62" s="2313"/>
      <c r="H62" s="1398"/>
      <c r="I62" s="1398"/>
      <c r="J62" s="1398"/>
      <c r="K62" s="1398"/>
      <c r="L62" s="1398"/>
      <c r="M62" s="1401"/>
      <c r="N62" s="1402"/>
      <c r="O62" s="1402"/>
      <c r="P62" s="375"/>
      <c r="Q62" s="1340"/>
      <c r="R62" s="1341"/>
      <c r="S62" s="1340"/>
      <c r="T62" s="1340"/>
      <c r="U62" s="1346"/>
      <c r="V62" s="1349" t="s">
        <v>498</v>
      </c>
      <c r="W62" s="1348"/>
      <c r="X62" s="1348"/>
      <c r="Y62" s="1348"/>
      <c r="Z62" s="1348"/>
      <c r="AA62" s="1348"/>
      <c r="AB62" s="1348"/>
      <c r="AC62" s="1348"/>
      <c r="AD62" s="1348"/>
      <c r="AE62" s="1348"/>
      <c r="AF62" s="1348"/>
      <c r="AG62" s="1348"/>
      <c r="AH62" s="1348"/>
      <c r="AI62" s="1348"/>
      <c r="AJ62" s="1348"/>
      <c r="AK62" s="1348"/>
      <c r="AL62" s="1348"/>
      <c r="AM62" s="1348"/>
      <c r="AN62" s="1348"/>
      <c r="AO62" s="1348"/>
      <c r="AP62" s="1348"/>
      <c r="AQ62" s="1348"/>
      <c r="AS62" s="813"/>
      <c r="AT62" s="813" t="str">
        <f>IF(V62="","",V62)</f>
        <v>Добавить источник для дифференциации</v>
      </c>
      <c r="AU62" s="813"/>
      <c r="AV62" s="813"/>
      <c r="AW62" s="542">
        <v>0</v>
      </c>
    </row>
    <row s="1666" customFormat="1" customHeight="1" ht="0">
      <c r="A63" s="1399" t="s">
        <v>260</v>
      </c>
      <c r="B63" s="1399" t="s">
        <v>261</v>
      </c>
      <c r="C63" s="1398"/>
      <c r="D63" s="1398"/>
      <c r="E63" s="2314"/>
      <c r="F63" s="2313"/>
      <c r="G63" s="1398"/>
      <c r="H63" s="1398"/>
      <c r="I63" s="1398"/>
      <c r="J63" s="1398"/>
      <c r="K63" s="1398"/>
      <c r="L63" s="1398"/>
      <c r="M63" s="1401"/>
      <c r="N63" s="1403"/>
      <c r="O63" s="1403"/>
      <c r="P63" s="375"/>
      <c r="Q63" s="1340"/>
      <c r="R63" s="1341"/>
      <c r="S63" s="1340"/>
      <c r="T63" s="1340"/>
      <c r="U63" s="1346"/>
      <c r="V63" s="1349" t="s">
        <v>499</v>
      </c>
      <c r="W63" s="1348"/>
      <c r="X63" s="1348"/>
      <c r="Y63" s="1348"/>
      <c r="Z63" s="1348"/>
      <c r="AA63" s="1348"/>
      <c r="AB63" s="1348"/>
      <c r="AC63" s="1348"/>
      <c r="AD63" s="1348"/>
      <c r="AE63" s="1348"/>
      <c r="AF63" s="1348"/>
      <c r="AG63" s="1348"/>
      <c r="AH63" s="1348"/>
      <c r="AI63" s="1348"/>
      <c r="AJ63" s="1348"/>
      <c r="AK63" s="1348"/>
      <c r="AL63" s="1348"/>
      <c r="AM63" s="1348"/>
      <c r="AN63" s="1348"/>
      <c r="AO63" s="1348"/>
      <c r="AP63" s="1348"/>
      <c r="AQ63" s="1348"/>
      <c r="AS63" s="813"/>
      <c r="AT63" s="813" t="str">
        <f>IF(V63="","",V63)</f>
        <v>Добавить централизованную систему для дифференциации</v>
      </c>
      <c r="AU63" s="813"/>
      <c r="AV63" s="813"/>
      <c r="AW63" s="542">
        <v>0</v>
      </c>
    </row>
    <row s="1666" customFormat="1" customHeight="1" ht="0">
      <c r="A64" s="1399" t="s">
        <v>260</v>
      </c>
      <c r="B64" s="1399"/>
      <c r="C64" s="1399"/>
      <c r="D64" s="1399"/>
      <c r="E64" s="2313"/>
      <c r="F64" s="1399"/>
      <c r="G64" s="1399"/>
      <c r="H64" s="1399"/>
      <c r="I64" s="1399"/>
      <c r="J64" s="1399"/>
      <c r="K64" s="1399"/>
      <c r="L64" s="1399"/>
      <c r="M64" s="1405"/>
      <c r="N64" s="1403"/>
      <c r="O64" s="1403"/>
      <c r="P64" s="375"/>
      <c r="Q64" s="404"/>
      <c r="R64" s="1368"/>
      <c r="S64" s="404"/>
      <c r="T64" s="404"/>
      <c r="U64" s="1346"/>
      <c r="V64" s="1349" t="s">
        <v>500</v>
      </c>
      <c r="W64" s="1348"/>
      <c r="X64" s="1348"/>
      <c r="Y64" s="1348"/>
      <c r="Z64" s="1348"/>
      <c r="AA64" s="1348"/>
      <c r="AB64" s="1348"/>
      <c r="AC64" s="1348"/>
      <c r="AD64" s="1348"/>
      <c r="AE64" s="1348"/>
      <c r="AF64" s="1348"/>
      <c r="AG64" s="1348"/>
      <c r="AH64" s="1348"/>
      <c r="AI64" s="1348"/>
      <c r="AJ64" s="1348"/>
      <c r="AK64" s="1348"/>
      <c r="AL64" s="1348"/>
      <c r="AM64" s="1348"/>
      <c r="AN64" s="1348"/>
      <c r="AO64" s="1348"/>
      <c r="AP64" s="1348"/>
      <c r="AQ64" s="1348"/>
      <c r="AS64" s="524"/>
      <c r="AT64" s="524" t="str">
        <f>IF(V64="","",V64)</f>
        <v>Добавить территорию для дифференциации</v>
      </c>
      <c r="AU64" s="524"/>
      <c r="AV64" s="524"/>
      <c r="AW64" s="535">
        <v>0</v>
      </c>
    </row>
    <row s="1666" customFormat="1" customHeight="1" ht="4.2">
      <c r="A65" s="1398"/>
      <c r="B65" s="1398"/>
      <c r="C65" s="1398"/>
      <c r="D65" s="1398"/>
      <c r="E65" s="1399"/>
      <c r="F65" s="1398"/>
      <c r="G65" s="1398"/>
      <c r="H65" s="1398"/>
      <c r="I65" s="1398"/>
      <c r="J65" s="1398"/>
      <c r="K65" s="1398"/>
      <c r="L65" s="1398"/>
      <c r="M65" s="1401"/>
      <c r="N65" s="1403"/>
      <c r="O65" s="1403"/>
      <c r="P65" s="375"/>
      <c r="Q65" s="1340"/>
      <c r="R65" s="1341"/>
      <c r="S65" s="1340"/>
      <c r="T65" s="1340"/>
      <c r="U65" s="1346"/>
      <c r="V65" s="1349" t="s">
        <v>532</v>
      </c>
      <c r="W65" s="1348"/>
      <c r="X65" s="1348"/>
      <c r="Y65" s="1348"/>
      <c r="Z65" s="1348"/>
      <c r="AA65" s="1348"/>
      <c r="AB65" s="1348"/>
      <c r="AC65" s="1348"/>
      <c r="AD65" s="1348"/>
      <c r="AE65" s="1348"/>
      <c r="AF65" s="1348"/>
      <c r="AG65" s="1348"/>
      <c r="AH65" s="1348"/>
      <c r="AI65" s="1348"/>
      <c r="AJ65" s="1348"/>
      <c r="AK65" s="1348"/>
      <c r="AL65" s="1348"/>
      <c r="AM65" s="1348"/>
      <c r="AN65" s="1348"/>
      <c r="AO65" s="1348"/>
      <c r="AP65" s="1348"/>
      <c r="AQ65" s="1348"/>
      <c r="AS65" s="813"/>
      <c r="AT65" s="813" t="str">
        <f>IF(V65="","",V65)</f>
        <v>Добавить наименование тарифа</v>
      </c>
      <c r="AU65" s="813"/>
      <c r="AV65" s="813"/>
      <c r="AW65" s="542">
        <v>4</v>
      </c>
    </row>
    <row customHeight="1" ht="11.549999999999999">
      <c r="N66" s="1179"/>
      <c r="O66" s="1179"/>
      <c r="P66" s="533"/>
      <c r="Q66" s="1179"/>
      <c r="R66" s="1179"/>
      <c r="S66" s="1179"/>
      <c r="T66" s="1179"/>
      <c r="U66" s="1179"/>
      <c r="AR66" s="1179"/>
      <c r="AS66" s="1179"/>
      <c r="AT66" s="1179"/>
      <c r="AU66" s="1179"/>
      <c r="AV66" s="1179"/>
      <c r="AW66" s="1179">
        <v>11</v>
      </c>
    </row>
    <row customHeight="1" ht="35.699999999999996">
      <c r="P67" s="533"/>
      <c r="U67" s="1277"/>
      <c r="V67" s="2309"/>
      <c r="W67" s="2309"/>
      <c r="X67" s="2309"/>
      <c r="Y67" s="2309"/>
      <c r="Z67" s="2309"/>
      <c r="AA67" s="2309"/>
      <c r="AB67" s="2309"/>
      <c r="AC67" s="2309"/>
      <c r="AD67" s="2309"/>
      <c r="AE67" s="2309"/>
      <c r="AF67" s="2309"/>
      <c r="AG67" s="2309"/>
      <c r="AH67" s="2309"/>
      <c r="AI67" s="2309"/>
      <c r="AJ67" s="2309"/>
      <c r="AK67" s="2309"/>
      <c r="AL67" s="2309"/>
      <c r="AM67" s="2309"/>
      <c r="AN67" s="2309"/>
      <c r="AO67" s="2309"/>
      <c r="AP67" s="2309"/>
      <c r="AQ67" s="2309"/>
      <c r="AW67" s="1179">
        <v>34</v>
      </c>
    </row>
    <row customHeight="1" ht="21">
      <c r="P68" s="533"/>
      <c r="V68" s="2309"/>
      <c r="W68" s="2309"/>
      <c r="X68" s="2309"/>
      <c r="Y68" s="2309"/>
      <c r="Z68" s="2309"/>
      <c r="AA68" s="2309"/>
      <c r="AB68" s="2309"/>
      <c r="AC68" s="2309"/>
      <c r="AD68" s="2309"/>
      <c r="AE68" s="2309"/>
      <c r="AF68" s="2309"/>
      <c r="AG68" s="2309"/>
      <c r="AH68" s="2309"/>
      <c r="AI68" s="2309"/>
      <c r="AJ68" s="2309"/>
      <c r="AK68" s="2309"/>
      <c r="AL68" s="2309"/>
      <c r="AM68" s="2309"/>
      <c r="AN68" s="2309"/>
      <c r="AO68" s="2309"/>
      <c r="AP68" s="2309"/>
      <c r="AQ68" s="2309"/>
      <c r="AW68" s="1179">
        <v>20</v>
      </c>
    </row>
    <row customHeight="1" ht="14.699999999999998">
      <c r="P69" s="533"/>
      <c r="AW69" s="1179">
        <v>14</v>
      </c>
    </row>
    <row customHeight="1" ht="28.5">
      <c r="P70" s="533"/>
      <c r="V70" s="2309"/>
      <c r="W70" s="2309"/>
      <c r="X70" s="2309"/>
      <c r="Y70" s="2309"/>
      <c r="Z70" s="2309"/>
      <c r="AA70" s="2309"/>
      <c r="AB70" s="2309"/>
      <c r="AC70" s="2309"/>
      <c r="AD70" s="2309"/>
      <c r="AE70" s="2309"/>
      <c r="AF70" s="2309"/>
      <c r="AG70" s="2309"/>
      <c r="AH70" s="2309"/>
      <c r="AI70" s="2309"/>
      <c r="AJ70" s="2309"/>
      <c r="AK70" s="2309"/>
      <c r="AL70" s="2309"/>
      <c r="AM70" s="2309"/>
      <c r="AN70" s="2309"/>
      <c r="AO70" s="2309"/>
      <c r="AP70" s="2309"/>
      <c r="AQ70" s="2309"/>
      <c r="AW70" s="1179">
        <v>27</v>
      </c>
    </row>
    <row customHeight="1" ht="18.75">
      <c r="P71" s="533"/>
      <c r="V71" s="2309"/>
      <c r="W71" s="2309"/>
      <c r="X71" s="2309"/>
      <c r="Y71" s="2309"/>
      <c r="Z71" s="2309"/>
      <c r="AA71" s="2309"/>
      <c r="AB71" s="2309"/>
      <c r="AC71" s="2309"/>
      <c r="AD71" s="2309"/>
      <c r="AE71" s="2309"/>
      <c r="AF71" s="2309"/>
      <c r="AG71" s="2309"/>
      <c r="AH71" s="2309"/>
      <c r="AI71" s="2309"/>
      <c r="AJ71" s="2309"/>
      <c r="AK71" s="2309"/>
      <c r="AL71" s="2309"/>
      <c r="AM71" s="2309"/>
      <c r="AN71" s="2309"/>
      <c r="AO71" s="2309"/>
      <c r="AP71" s="2309"/>
      <c r="AQ71" s="2309"/>
      <c r="AW71" s="1179">
        <v>18</v>
      </c>
    </row>
    <row customHeight="1" ht="22.5" hidden="1">
      <c r="A72" s="1179" t="s">
        <v>82</v>
      </c>
      <c r="B72" s="1179">
        <v>0</v>
      </c>
      <c r="C72" s="1179">
        <v>0</v>
      </c>
      <c r="D72" s="1179">
        <v>0</v>
      </c>
      <c r="E72" s="1179">
        <v>0</v>
      </c>
      <c r="F72" s="1179">
        <v>0</v>
      </c>
      <c r="G72" s="1179">
        <v>0</v>
      </c>
      <c r="H72" s="1179">
        <v>0</v>
      </c>
      <c r="I72" s="1179">
        <v>0</v>
      </c>
      <c r="J72" s="1179">
        <v>0</v>
      </c>
      <c r="K72" s="1179">
        <v>0</v>
      </c>
      <c r="L72" s="1179">
        <v>0</v>
      </c>
      <c r="M72" s="1351">
        <v>0</v>
      </c>
      <c r="N72" s="1352">
        <v>0</v>
      </c>
      <c r="O72" s="1352">
        <v>0</v>
      </c>
      <c r="P72" s="1352">
        <v>0</v>
      </c>
      <c r="Q72" s="1352">
        <v>0</v>
      </c>
      <c r="R72" s="368">
        <v>3</v>
      </c>
      <c r="S72" s="368">
        <v>3</v>
      </c>
      <c r="T72" s="368">
        <v>3</v>
      </c>
      <c r="U72" s="605">
        <v>12</v>
      </c>
      <c r="V72" s="1179">
        <v>31</v>
      </c>
      <c r="W72" s="1179">
        <v>0</v>
      </c>
      <c r="X72" s="1179">
        <v>0</v>
      </c>
      <c r="Y72" s="1179">
        <v>0</v>
      </c>
      <c r="Z72" s="1179">
        <v>0</v>
      </c>
      <c r="AA72" s="1179">
        <v>0</v>
      </c>
      <c r="AB72" s="1179">
        <v>0</v>
      </c>
      <c r="AC72" s="1179">
        <v>0</v>
      </c>
      <c r="AD72" s="1179">
        <v>0</v>
      </c>
      <c r="AE72" s="1179">
        <v>0</v>
      </c>
      <c r="AF72" s="1179">
        <v>0</v>
      </c>
      <c r="AG72" s="1179">
        <v>21</v>
      </c>
      <c r="AH72" s="1179">
        <v>21</v>
      </c>
      <c r="AI72" s="1179">
        <v>21</v>
      </c>
      <c r="AJ72" s="1179">
        <v>21</v>
      </c>
      <c r="AK72" s="1179">
        <v>21</v>
      </c>
      <c r="AL72" s="1179">
        <v>11</v>
      </c>
      <c r="AM72" s="1179">
        <v>3</v>
      </c>
      <c r="AN72" s="1179">
        <v>11</v>
      </c>
      <c r="AO72" s="1179">
        <v>8</v>
      </c>
      <c r="AP72" s="1179">
        <v>4</v>
      </c>
      <c r="AQ72" s="1179">
        <v>115</v>
      </c>
      <c r="AR72" s="535">
        <v>10</v>
      </c>
      <c r="AS72" s="535">
        <v>10</v>
      </c>
      <c r="AT72" s="535">
        <v>10</v>
      </c>
      <c r="AU72" s="535">
        <v>10</v>
      </c>
      <c r="AV72" s="535">
        <v>10</v>
      </c>
      <c r="AW72" s="1179">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609C1C9-CE49-B3F5-6FA9-0.E53D4D18}" mc:Ignorable="x14ac xr xr2 xr3">
  <sheetPr>
    <tabColor rgb="FFCCCCFF"/>
  </sheetPr>
  <dimension ref="A1:Q79"/>
  <sheetViews>
    <sheetView topLeftCell="C1" showGridLines="0" zoomScale="90" workbookViewId="0">
      <selection activeCell="I17" sqref="I17"/>
    </sheetView>
  </sheetViews>
  <sheetFormatPr defaultColWidth="9.140625" customHeight="1" defaultRowHeight="11.25"/>
  <cols>
    <col min="1" max="1" style="811" width="10.7109375" hidden="1" customWidth="1"/>
    <col min="2" max="2" style="756" width="10.7109375" hidden="1" customWidth="1"/>
    <col min="3" max="3" style="554" width="3.00390625" customWidth="1"/>
    <col min="4" max="4" style="1659" width="1.00390625" customWidth="1"/>
    <col min="5" max="6" style="1659" width="55.00390625" customWidth="1"/>
    <col min="7" max="7" style="2149" width="1.00390625" customWidth="1"/>
    <col min="8" max="8" style="1659" width="18.00390625" hidden="1" customWidth="1"/>
    <col min="9" max="9" style="555" width="59.00390625" customWidth="1"/>
    <col min="10" max="10" style="1390" width="52.140625" hidden="1" customWidth="1"/>
    <col min="11" max="11" style="1659" width="8.00390625" customWidth="1"/>
    <col min="12" max="12" style="1659" width="77.00390625" customWidth="1"/>
    <col min="13" max="16" style="1659" width="8.00390625" customWidth="1"/>
    <col min="17" max="17" style="1659" width="12.00390625" hidden="1" customWidth="1"/>
  </cols>
  <sheetData>
    <row s="646" customFormat="1" customHeight="1" ht="3">
      <c r="A1" s="807"/>
      <c r="B1" s="265"/>
      <c r="F1" s="266" t="s">
        <v>13</v>
      </c>
      <c r="G1" s="435"/>
      <c r="H1" s="95"/>
      <c r="I1" s="435"/>
      <c r="J1" s="895"/>
      <c r="Q1" s="266" t="s">
        <v>14</v>
      </c>
    </row>
    <row s="1656" customFormat="1" customHeight="1" ht="14.25">
      <c r="A2" s="807"/>
      <c r="B2" s="122"/>
      <c r="E2" s="1764" t="str">
        <f>code</f>
        <v>Код отчёта: PP110.OPEN.INFO.QUARTER.HEAT.EIAS</v>
      </c>
      <c r="F2" s="293"/>
      <c r="G2" s="269"/>
      <c r="H2" s="269"/>
      <c r="I2" s="269"/>
      <c r="J2" s="896"/>
      <c r="K2" s="269"/>
      <c r="Q2" s="95">
        <v>14</v>
      </c>
    </row>
    <row customHeight="1" ht="14.699999999999998">
      <c r="E3" s="270" t="str">
        <f>version</f>
        <v>Версия отчёта: 1.1.1</v>
      </c>
      <c r="F3" s="293"/>
      <c r="G3" s="794"/>
      <c r="H3" s="794"/>
      <c r="I3" s="794"/>
      <c r="J3" s="897"/>
      <c r="K3" s="112"/>
      <c r="Q3" s="98">
        <v>14</v>
      </c>
    </row>
    <row s="1636" customFormat="1" customHeight="1" ht="6.3">
      <c r="A4" s="808"/>
      <c r="B4" s="256"/>
      <c r="C4" s="257"/>
      <c r="D4" s="258"/>
      <c r="E4" s="267"/>
      <c r="F4" s="268"/>
      <c r="G4" s="795"/>
      <c r="H4" s="433"/>
      <c r="I4" s="435"/>
      <c r="J4" s="898"/>
      <c r="Q4" s="260">
        <v>6</v>
      </c>
    </row>
    <row customHeight="1" ht="39.75">
      <c r="D5" s="99"/>
      <c r="E5" s="211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20"/>
      <c r="G5" s="796"/>
      <c r="J5" s="899"/>
      <c r="Q5" s="98">
        <v>38</v>
      </c>
    </row>
    <row s="1636" customFormat="1" customHeight="1" ht="6.3">
      <c r="A6" s="808"/>
      <c r="B6" s="256"/>
      <c r="C6" s="257"/>
      <c r="D6" s="258"/>
      <c r="E6" s="261"/>
      <c r="F6" s="262"/>
      <c r="G6" s="796"/>
      <c r="H6" s="433"/>
      <c r="I6" s="435"/>
      <c r="J6" s="898"/>
      <c r="Q6" s="260">
        <v>6</v>
      </c>
    </row>
    <row customHeight="1" ht="21">
      <c r="D7" s="99"/>
      <c r="E7" s="415" t="s">
        <v>15</v>
      </c>
      <c r="F7" s="239" t="s">
        <v>16</v>
      </c>
      <c r="G7" s="796"/>
      <c r="Q7" s="98">
        <v>20</v>
      </c>
    </row>
    <row s="1636" customFormat="1" customHeight="1" ht="6.3">
      <c r="A8" s="809"/>
      <c r="B8" s="256"/>
      <c r="C8" s="257"/>
      <c r="D8" s="263"/>
      <c r="E8" s="261"/>
      <c r="F8" s="264"/>
      <c r="G8" s="101"/>
      <c r="H8" s="433"/>
      <c r="I8" s="435"/>
      <c r="J8" s="901"/>
      <c r="Q8" s="260">
        <v>6</v>
      </c>
    </row>
    <row s="1659" customFormat="1" customHeight="1" ht="19.5" hidden="1">
      <c r="A9" s="808"/>
      <c r="B9" s="122"/>
      <c r="C9" s="432"/>
      <c r="D9" s="434"/>
      <c r="E9" s="1189" t="s">
        <v>17</v>
      </c>
      <c r="F9" s="1945"/>
      <c r="G9" s="796"/>
      <c r="I9" s="1924" t="str">
        <f>IF(TITLE_STRUCTURE_INFO_ROIV="","","раскрывается "&amp;INDEX(ROIV_INFO_COMMENT,MATCH(TITLE_STRUCTURE_INFO_ROIV,ROIV_INFO_LIST,0)))</f>
        <v/>
      </c>
      <c r="J9" s="900"/>
      <c r="Q9" s="433">
        <v>0</v>
      </c>
    </row>
    <row s="1636" customFormat="1" customHeight="1" ht="24" hidden="1">
      <c r="A10" s="809"/>
      <c r="B10" s="450"/>
      <c r="C10" s="451"/>
      <c r="D10" s="263"/>
      <c r="E10" s="1189" t="s">
        <v>18</v>
      </c>
      <c r="F10" s="2090" t="s">
        <v>19</v>
      </c>
      <c r="G10" s="101"/>
      <c r="H10" s="433"/>
      <c r="I10" s="435"/>
      <c r="J10" s="901"/>
      <c r="Q10" s="454">
        <v>24</v>
      </c>
    </row>
    <row customHeight="1" ht="22.5" hidden="1">
      <c r="A11" s="2122" t="s">
        <v>20</v>
      </c>
      <c r="D11" s="99"/>
      <c r="E11" s="1189" t="s">
        <v>21</v>
      </c>
      <c r="F11" s="1756" t="s">
        <v>22</v>
      </c>
      <c r="G11" s="101"/>
      <c r="H11" s="797" t="s">
        <v>23</v>
      </c>
      <c r="J11" s="900" t="s">
        <v>24</v>
      </c>
      <c r="Q11" s="98">
        <v>0</v>
      </c>
    </row>
    <row customHeight="1" ht="22.5" hidden="1">
      <c r="A12" s="2122"/>
      <c r="D12" s="99"/>
      <c r="E12" s="1189" t="s">
        <v>25</v>
      </c>
      <c r="F12" s="1756"/>
      <c r="G12" s="97"/>
      <c r="J12" s="900" t="s">
        <v>26</v>
      </c>
      <c r="Q12" s="98">
        <v>0</v>
      </c>
    </row>
    <row s="1659" customFormat="1" customHeight="1" ht="22.5" hidden="1">
      <c r="A13" s="812" t="s">
        <v>27</v>
      </c>
      <c r="B13" s="122"/>
      <c r="C13" s="432"/>
      <c r="D13" s="434"/>
      <c r="E13" s="1799" t="s">
        <v>28</v>
      </c>
      <c r="F13" s="1756" t="s">
        <v>22</v>
      </c>
      <c r="G13" s="101"/>
      <c r="H13" s="794"/>
      <c r="I13" s="435"/>
      <c r="J13" s="1800" t="s">
        <v>29</v>
      </c>
      <c r="Q13" s="433">
        <v>0</v>
      </c>
    </row>
    <row s="1659" customFormat="1" customHeight="1" ht="27">
      <c r="A14" s="812" t="s">
        <v>30</v>
      </c>
      <c r="B14" s="122"/>
      <c r="C14" s="432"/>
      <c r="D14" s="434"/>
      <c r="E14" s="1189" t="s">
        <v>31</v>
      </c>
      <c r="F14" s="1791">
        <v>2026</v>
      </c>
      <c r="G14" s="101"/>
      <c r="H14" s="794"/>
      <c r="I14" s="435"/>
      <c r="J14" s="900" t="s">
        <v>32</v>
      </c>
      <c r="Q14" s="433">
        <v>0</v>
      </c>
    </row>
    <row s="1659" customFormat="1" customHeight="1" ht="19.5">
      <c r="A15" s="812" t="s">
        <v>33</v>
      </c>
      <c r="B15" s="122"/>
      <c r="C15" s="432"/>
      <c r="D15" s="434"/>
      <c r="E15" s="1189" t="s">
        <v>34</v>
      </c>
      <c r="F15" s="1791" t="s">
        <v>35</v>
      </c>
      <c r="G15" s="101"/>
      <c r="H15" s="794"/>
      <c r="I15" s="435"/>
      <c r="J15" s="900" t="s">
        <v>36</v>
      </c>
      <c r="Q15" s="433">
        <v>0</v>
      </c>
    </row>
    <row s="1636" customFormat="1" customHeight="1" ht="6.3">
      <c r="A16" s="809"/>
      <c r="B16" s="256"/>
      <c r="C16" s="257"/>
      <c r="D16" s="263"/>
      <c r="E16" s="261"/>
      <c r="F16" s="264"/>
      <c r="G16" s="101"/>
      <c r="H16" s="433"/>
      <c r="I16" s="435"/>
      <c r="J16" s="898"/>
      <c r="Q16" s="260">
        <v>6</v>
      </c>
    </row>
    <row customHeight="1" ht="21">
      <c r="D17" s="99"/>
      <c r="E17" s="415" t="s">
        <v>37</v>
      </c>
      <c r="F17" s="240" t="s">
        <v>38</v>
      </c>
      <c r="G17" s="97"/>
      <c r="H17" s="797" t="s">
        <v>23</v>
      </c>
      <c r="Q17" s="98">
        <v>20</v>
      </c>
    </row>
    <row customHeight="1" ht="25.5" hidden="1">
      <c r="D18" s="99"/>
      <c r="E18" s="1799" t="s">
        <v>39</v>
      </c>
      <c r="F18" s="1757"/>
      <c r="G18" s="97"/>
      <c r="I18" s="798"/>
      <c r="J18" s="2121" t="s">
        <v>40</v>
      </c>
      <c r="Q18" s="98">
        <v>0</v>
      </c>
    </row>
    <row customHeight="1" ht="25.5" hidden="1">
      <c r="D19" s="99"/>
      <c r="E19" s="118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57"/>
      <c r="G19" s="97"/>
      <c r="I19" s="798"/>
      <c r="J19" s="2121"/>
      <c r="Q19" s="98">
        <v>0</v>
      </c>
    </row>
    <row customHeight="1" ht="22.5" hidden="1">
      <c r="D20" s="99"/>
      <c r="E20" s="100"/>
      <c r="F20" s="294" t="str">
        <f>"Первичное "&amp;IF(TEMPLATE_GROUP="P","установление тарифов","предложение по тарифам")</f>
        <v>Первичное предложение по тарифам</v>
      </c>
      <c r="G20" s="97"/>
      <c r="I20" s="418"/>
      <c r="J20" s="899" t="s">
        <v>41</v>
      </c>
      <c r="Q20" s="98">
        <v>0</v>
      </c>
    </row>
    <row customHeight="1" ht="19.5" hidden="1">
      <c r="D21" s="99"/>
      <c r="E21" s="415" t="str">
        <f>"Дата "&amp;IF(TEMPLATE_GROUP="P","документа","подачи заявления")&amp;" об утверждении тарифов"</f>
        <v>Дата подачи заявления об утверждении тарифов</v>
      </c>
      <c r="F21" s="1756"/>
      <c r="G21" s="97"/>
      <c r="I21" s="799"/>
      <c r="Q21" s="98">
        <v>0</v>
      </c>
    </row>
    <row customHeight="1" ht="19.5" hidden="1">
      <c r="D22" s="99"/>
      <c r="E22" s="415" t="str">
        <f>"Номер "&amp;IF(TEMPLATE_GROUP="P","документа","подачи заявления")&amp;" об утверждении тарифов"</f>
        <v>Номер подачи заявления об утверждении тарифов</v>
      </c>
      <c r="F22" s="240"/>
      <c r="G22" s="97"/>
      <c r="I22" s="799"/>
      <c r="Q22" s="98">
        <v>0</v>
      </c>
    </row>
    <row customHeight="1" ht="22.5" hidden="1">
      <c r="D23" s="99"/>
      <c r="E23" s="415" t="s">
        <v>42</v>
      </c>
      <c r="F23" s="240"/>
      <c r="G23" s="97"/>
      <c r="Q23" s="98">
        <v>0</v>
      </c>
    </row>
    <row customHeight="1" ht="19.5" hidden="1">
      <c r="D24" s="99"/>
      <c r="E24" s="415" t="s">
        <v>43</v>
      </c>
      <c r="F24" s="240"/>
      <c r="G24" s="97"/>
      <c r="Q24" s="98">
        <v>0</v>
      </c>
    </row>
    <row customHeight="1" ht="22.5" hidden="1">
      <c r="D25" s="99"/>
      <c r="E25" s="100"/>
      <c r="F25" s="294" t="str">
        <f>"Изменение "&amp;IF(TEMPLATE_GROUP="P","тарифов","предложения по тарифам")</f>
        <v>Изменение предложения по тарифам</v>
      </c>
      <c r="G25" s="97"/>
      <c r="J25" s="899" t="s">
        <v>44</v>
      </c>
      <c r="Q25" s="98">
        <v>0</v>
      </c>
    </row>
    <row customHeight="1" ht="19.5" hidden="1">
      <c r="D26" s="99"/>
      <c r="E26" s="415" t="str">
        <f>"Дата "&amp;IF(TEMPLATE_GROUP="P","принятия решения","подачи заявления")&amp;" об изменении тарифов"</f>
        <v>Дата подачи заявления об изменении тарифов</v>
      </c>
      <c r="F26" s="1757"/>
      <c r="G26" s="97"/>
      <c r="Q26" s="98">
        <v>0</v>
      </c>
    </row>
    <row customHeight="1" ht="19.5" hidden="1">
      <c r="D27" s="99"/>
      <c r="E27" s="1189" t="str">
        <f>"Номер "&amp;IF(TEMPLATE_GROUP="P","принятия решения","заявления")&amp;" об изменении тарифов"</f>
        <v>Номер заявления об изменении тарифов</v>
      </c>
      <c r="F27" s="242"/>
      <c r="G27" s="97"/>
      <c r="Q27" s="98">
        <v>0</v>
      </c>
    </row>
    <row customHeight="1" ht="24.75" hidden="1">
      <c r="D28" s="99"/>
      <c r="E28" s="415" t="s">
        <v>45</v>
      </c>
      <c r="F28" s="242"/>
      <c r="G28" s="97"/>
      <c r="Q28" s="98">
        <v>0</v>
      </c>
    </row>
    <row customHeight="1" ht="19.5" hidden="1">
      <c r="D29" s="99"/>
      <c r="E29" s="415" t="s">
        <v>43</v>
      </c>
      <c r="F29" s="242"/>
      <c r="G29" s="97"/>
      <c r="Q29" s="98">
        <v>0</v>
      </c>
    </row>
    <row s="1636" customFormat="1" customHeight="1" ht="6.3">
      <c r="A30" s="809"/>
      <c r="B30" s="256"/>
      <c r="C30" s="257"/>
      <c r="D30" s="263"/>
      <c r="E30" s="261"/>
      <c r="F30" s="264"/>
      <c r="G30" s="101"/>
      <c r="H30" s="433"/>
      <c r="I30" s="435"/>
      <c r="J30" s="898"/>
      <c r="Q30" s="260">
        <v>6</v>
      </c>
    </row>
    <row customHeight="1" ht="21">
      <c r="C31" s="102"/>
      <c r="D31" s="103"/>
      <c r="E31" s="415" t="str">
        <f>"Наименование "&amp;IF(TEMPLATE_GROUP="ROIV","органа тарифного регулирования","ЮЛ / ИП")</f>
        <v>Наименование ЮЛ / ИП</v>
      </c>
      <c r="F31" s="241" t="s">
        <v>46</v>
      </c>
      <c r="G31" s="800"/>
      <c r="Q31" s="98">
        <v>20</v>
      </c>
    </row>
    <row customHeight="1" ht="21" hidden="1">
      <c r="C32" s="102"/>
      <c r="D32" s="103"/>
      <c r="E32" s="416" t="s">
        <v>47</v>
      </c>
      <c r="F32" s="241"/>
      <c r="G32" s="800"/>
      <c r="Q32" s="98">
        <v>20</v>
      </c>
    </row>
    <row customHeight="1" ht="21">
      <c r="C33" s="102"/>
      <c r="D33" s="103"/>
      <c r="E33" s="415" t="s">
        <v>48</v>
      </c>
      <c r="F33" s="241" t="s">
        <v>49</v>
      </c>
      <c r="G33" s="800"/>
      <c r="Q33" s="98">
        <v>20</v>
      </c>
    </row>
    <row customHeight="1" ht="21">
      <c r="C34" s="102"/>
      <c r="D34" s="103"/>
      <c r="E34" s="415" t="s">
        <v>50</v>
      </c>
      <c r="F34" s="241" t="s">
        <v>51</v>
      </c>
      <c r="G34" s="800"/>
      <c r="H34" s="104"/>
      <c r="Q34" s="98">
        <v>20</v>
      </c>
    </row>
    <row s="1636" customFormat="1" customHeight="1" ht="11.549999999999999">
      <c r="A35" s="809"/>
      <c r="B35" s="256"/>
      <c r="C35" s="257"/>
      <c r="D35" s="263"/>
      <c r="E35" s="261"/>
      <c r="F35" s="264"/>
      <c r="G35" s="101"/>
      <c r="H35" s="433"/>
      <c r="I35" s="435"/>
      <c r="J35" s="898"/>
      <c r="Q35" s="260">
        <v>11</v>
      </c>
    </row>
    <row customHeight="1" ht="19.5">
      <c r="A36" s="903"/>
      <c r="D36" s="103"/>
      <c r="E36" s="415" t="s">
        <v>52</v>
      </c>
      <c r="F36" s="1234" t="s">
        <v>53</v>
      </c>
      <c r="G36" s="101"/>
      <c r="Q36" s="98">
        <v>0</v>
      </c>
    </row>
    <row customHeight="1" ht="21">
      <c r="A37" s="903"/>
      <c r="D37" s="103"/>
      <c r="E37" s="415" t="s">
        <v>54</v>
      </c>
      <c r="F37" s="1234" t="s">
        <v>55</v>
      </c>
      <c r="G37" s="101"/>
      <c r="Q37" s="98">
        <v>20</v>
      </c>
    </row>
    <row s="1636" customFormat="1" customHeight="1" ht="6.3">
      <c r="A38" s="809"/>
      <c r="B38" s="256"/>
      <c r="C38" s="257"/>
      <c r="D38" s="258"/>
      <c r="E38" s="259"/>
      <c r="F38" s="1077"/>
      <c r="G38" s="97"/>
      <c r="H38" s="433"/>
      <c r="I38" s="435"/>
      <c r="J38" s="900"/>
      <c r="Q38" s="260">
        <v>6</v>
      </c>
    </row>
    <row customHeight="1" ht="36.75">
      <c r="A39" s="809"/>
      <c r="D39" s="99"/>
      <c r="E39" s="415" t="s">
        <v>56</v>
      </c>
      <c r="F39" s="734" t="s">
        <v>19</v>
      </c>
      <c r="G39" s="97"/>
      <c r="H39" s="797" t="s">
        <v>23</v>
      </c>
      <c r="Q39" s="98">
        <v>35</v>
      </c>
    </row>
    <row s="1636" customFormat="1" customHeight="1" ht="6" hidden="1">
      <c r="A40" s="808"/>
      <c r="B40" s="450"/>
      <c r="C40" s="451"/>
      <c r="D40" s="452"/>
      <c r="E40" s="453"/>
      <c r="F40" s="1077"/>
      <c r="G40" s="97"/>
      <c r="H40" s="433"/>
      <c r="I40" s="435"/>
      <c r="J40" s="900"/>
      <c r="Q40" s="454">
        <v>6</v>
      </c>
    </row>
    <row s="1659" customFormat="1" customHeight="1" ht="26.25" hidden="1">
      <c r="A41" s="812" t="s">
        <v>27</v>
      </c>
      <c r="B41" s="437"/>
      <c r="C41" s="432"/>
      <c r="D41" s="434"/>
      <c r="E41" s="41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34" t="s">
        <v>19</v>
      </c>
      <c r="G41" s="97"/>
      <c r="I41" s="435"/>
      <c r="J41" s="900"/>
      <c r="Q41" s="433">
        <v>0</v>
      </c>
    </row>
    <row s="1636" customFormat="1" customHeight="1" ht="6" hidden="1">
      <c r="A42" s="808"/>
      <c r="B42" s="450"/>
      <c r="C42" s="451"/>
      <c r="D42" s="452"/>
      <c r="E42" s="453"/>
      <c r="F42" s="1077"/>
      <c r="G42" s="97"/>
      <c r="H42" s="433"/>
      <c r="I42" s="435"/>
      <c r="J42" s="898"/>
      <c r="Q42" s="454">
        <v>0</v>
      </c>
    </row>
    <row s="1659" customFormat="1" customHeight="1" ht="27" hidden="1">
      <c r="A43" s="808"/>
      <c r="B43" s="437"/>
      <c r="C43" s="432"/>
      <c r="D43" s="434"/>
      <c r="E43" s="415" t="s">
        <v>57</v>
      </c>
      <c r="F43" s="734" t="s">
        <v>19</v>
      </c>
      <c r="G43" s="97"/>
      <c r="I43" s="435"/>
      <c r="J43" s="900"/>
      <c r="Q43" s="433">
        <v>0</v>
      </c>
    </row>
    <row s="1659" customFormat="1" customHeight="1" ht="27" hidden="1">
      <c r="A44" s="808"/>
      <c r="B44" s="437"/>
      <c r="C44" s="432"/>
      <c r="D44" s="434"/>
      <c r="E44" s="1189" t="s">
        <v>58</v>
      </c>
      <c r="F44" s="1912"/>
      <c r="G44" s="97"/>
      <c r="I44" s="435"/>
      <c r="J44" s="900"/>
      <c r="Q44" s="433">
        <v>0</v>
      </c>
    </row>
    <row s="1636" customFormat="1" customHeight="1" ht="6" hidden="1">
      <c r="A45" s="808"/>
      <c r="B45" s="450"/>
      <c r="C45" s="451"/>
      <c r="D45" s="452"/>
      <c r="E45" s="453"/>
      <c r="F45" s="1077"/>
      <c r="G45" s="97"/>
      <c r="H45" s="433"/>
      <c r="I45" s="435"/>
      <c r="J45" s="900"/>
      <c r="Q45" s="454">
        <v>0</v>
      </c>
    </row>
    <row s="1636" customFormat="1" customHeight="1" ht="24.75" hidden="1">
      <c r="A46" s="808"/>
      <c r="B46" s="450"/>
      <c r="C46" s="451"/>
      <c r="D46" s="452"/>
      <c r="E46" s="1189" t="s">
        <v>59</v>
      </c>
      <c r="F46" s="734" t="s">
        <v>19</v>
      </c>
      <c r="G46" s="97"/>
      <c r="H46" s="433"/>
      <c r="I46" s="435"/>
      <c r="J46" s="900"/>
      <c r="Q46" s="454">
        <v>0</v>
      </c>
    </row>
    <row s="1659" customFormat="1" customHeight="1" ht="24.75" hidden="1">
      <c r="A47" s="808"/>
      <c r="B47" s="437"/>
      <c r="C47" s="432"/>
      <c r="D47" s="434"/>
      <c r="E47" s="1189" t="s">
        <v>60</v>
      </c>
      <c r="F47" s="734" t="s">
        <v>19</v>
      </c>
      <c r="G47" s="97"/>
      <c r="I47" s="435"/>
      <c r="J47" s="900"/>
      <c r="Q47" s="433">
        <v>0</v>
      </c>
    </row>
    <row s="1636" customFormat="1" customHeight="1" ht="6" hidden="1">
      <c r="A48" s="808"/>
      <c r="B48" s="256"/>
      <c r="C48" s="257"/>
      <c r="D48" s="258"/>
      <c r="E48" s="259"/>
      <c r="F48" s="1077"/>
      <c r="G48" s="97"/>
      <c r="H48" s="433"/>
      <c r="I48" s="435"/>
      <c r="J48" s="900"/>
      <c r="Q48" s="260">
        <v>0</v>
      </c>
    </row>
    <row customHeight="1" ht="29.25" hidden="1">
      <c r="B49" s="172"/>
      <c r="D49" s="99"/>
      <c r="E49" s="41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34"/>
      <c r="G49" s="97"/>
      <c r="Q49" s="98">
        <v>0</v>
      </c>
    </row>
    <row s="1636" customFormat="1" customHeight="1" ht="6" hidden="1">
      <c r="A50" s="809"/>
      <c r="B50" s="450"/>
      <c r="C50" s="451"/>
      <c r="D50" s="263"/>
      <c r="E50" s="261"/>
      <c r="F50" s="264"/>
      <c r="G50" s="101"/>
      <c r="H50" s="433"/>
      <c r="I50" s="435"/>
      <c r="J50" s="900"/>
      <c r="Q50" s="454">
        <v>0</v>
      </c>
    </row>
    <row s="1659" customFormat="1" customHeight="1" ht="28.5" hidden="1">
      <c r="A51" s="810"/>
      <c r="B51" s="437"/>
      <c r="C51" s="554"/>
      <c r="D51" s="555"/>
      <c r="E51" s="415" t="s">
        <v>61</v>
      </c>
      <c r="F51" s="734" t="s">
        <v>19</v>
      </c>
      <c r="G51" s="556"/>
      <c r="I51" s="558"/>
      <c r="J51" s="902"/>
      <c r="P51" s="559"/>
      <c r="Q51" s="557">
        <v>0</v>
      </c>
    </row>
    <row s="1636" customFormat="1" customHeight="1" ht="6" hidden="1">
      <c r="A52" s="809"/>
      <c r="B52" s="450"/>
      <c r="C52" s="451"/>
      <c r="D52" s="263"/>
      <c r="E52" s="261"/>
      <c r="F52" s="264"/>
      <c r="G52" s="101"/>
      <c r="H52" s="433"/>
      <c r="I52" s="435"/>
      <c r="J52" s="898"/>
      <c r="Q52" s="454">
        <v>0</v>
      </c>
    </row>
    <row s="1659" customFormat="1" customHeight="1" ht="27" hidden="1">
      <c r="A53" s="810"/>
      <c r="B53" s="437"/>
      <c r="C53" s="554"/>
      <c r="D53" s="555"/>
      <c r="E53" s="415" t="s">
        <v>62</v>
      </c>
      <c r="F53" s="1072" t="s">
        <v>19</v>
      </c>
      <c r="G53" s="556"/>
      <c r="I53" s="558"/>
      <c r="J53" s="902"/>
      <c r="P53" s="559"/>
      <c r="Q53" s="557">
        <v>0</v>
      </c>
    </row>
    <row s="1659" customFormat="1" customHeight="1" ht="27" hidden="1">
      <c r="A54" s="810"/>
      <c r="B54" s="437"/>
      <c r="C54" s="554"/>
      <c r="D54" s="555"/>
      <c r="E54" s="415" t="s">
        <v>63</v>
      </c>
      <c r="F54" s="1798"/>
      <c r="G54" s="556"/>
      <c r="I54" s="558"/>
      <c r="J54" s="902"/>
      <c r="P54" s="559"/>
      <c r="Q54" s="557">
        <v>0</v>
      </c>
    </row>
    <row s="1636" customFormat="1" customHeight="1" ht="6" hidden="1">
      <c r="A55" s="809"/>
      <c r="B55" s="450"/>
      <c r="C55" s="451"/>
      <c r="D55" s="263"/>
      <c r="E55" s="261"/>
      <c r="F55" s="264"/>
      <c r="G55" s="101"/>
      <c r="H55" s="433"/>
      <c r="I55" s="435"/>
      <c r="J55" s="898"/>
      <c r="Q55" s="454">
        <v>0</v>
      </c>
    </row>
    <row s="1659" customFormat="1" customHeight="1" ht="25.5" hidden="1">
      <c r="A56" s="810"/>
      <c r="B56" s="437"/>
      <c r="C56" s="554"/>
      <c r="D56" s="555"/>
      <c r="E56" s="415" t="s">
        <v>64</v>
      </c>
      <c r="F56" s="1072" t="s">
        <v>19</v>
      </c>
      <c r="G56" s="556"/>
      <c r="I56" s="558"/>
      <c r="J56" s="902"/>
      <c r="P56" s="559"/>
      <c r="Q56" s="557">
        <v>0</v>
      </c>
    </row>
    <row s="1636" customFormat="1" customHeight="1" ht="6" hidden="1">
      <c r="A57" s="809"/>
      <c r="B57" s="450"/>
      <c r="C57" s="451"/>
      <c r="D57" s="263"/>
      <c r="E57" s="261"/>
      <c r="F57" s="264"/>
      <c r="G57" s="101"/>
      <c r="H57" s="433"/>
      <c r="I57" s="435"/>
      <c r="J57" s="898"/>
      <c r="Q57" s="454">
        <v>0</v>
      </c>
    </row>
    <row s="1659" customFormat="1" customHeight="1" ht="15" hidden="1">
      <c r="A58" s="810"/>
      <c r="B58" s="437"/>
      <c r="C58" s="554"/>
      <c r="D58" s="555"/>
      <c r="E58" s="415" t="s">
        <v>65</v>
      </c>
      <c r="F58" s="1072" t="s">
        <v>66</v>
      </c>
      <c r="G58" s="556"/>
      <c r="I58" s="558"/>
      <c r="J58" s="902"/>
      <c r="P58" s="559"/>
      <c r="Q58" s="557">
        <v>0</v>
      </c>
    </row>
    <row s="1659" customFormat="1" customHeight="1" ht="75" hidden="1">
      <c r="A59" s="810"/>
      <c r="B59" s="437"/>
      <c r="C59" s="554"/>
      <c r="D59" s="555"/>
      <c r="E59" s="41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13"/>
      <c r="G59" s="556"/>
      <c r="I59" s="558"/>
      <c r="J59" s="902"/>
      <c r="P59" s="559"/>
      <c r="Q59" s="557">
        <v>0</v>
      </c>
    </row>
    <row s="1659" customFormat="1" customHeight="1" ht="15" hidden="1">
      <c r="A60" s="810"/>
      <c r="B60" s="437"/>
      <c r="C60" s="554"/>
      <c r="D60" s="555"/>
      <c r="E60" s="1189" t="s">
        <v>67</v>
      </c>
      <c r="F60" s="1175"/>
      <c r="G60" s="556"/>
      <c r="I60" s="558"/>
      <c r="J60" s="902"/>
      <c r="P60" s="559"/>
      <c r="Q60" s="557">
        <v>0</v>
      </c>
    </row>
    <row s="1636" customFormat="1" customHeight="1" ht="6" hidden="1">
      <c r="A61" s="809"/>
      <c r="B61" s="450"/>
      <c r="C61" s="451"/>
      <c r="D61" s="452"/>
      <c r="E61" s="453"/>
      <c r="F61" s="1077"/>
      <c r="G61" s="97"/>
      <c r="H61" s="433"/>
      <c r="I61" s="435"/>
      <c r="J61" s="900"/>
      <c r="Q61" s="454">
        <v>0</v>
      </c>
    </row>
    <row s="1659" customFormat="1" customHeight="1" ht="33.75" hidden="1">
      <c r="A62" s="809"/>
      <c r="B62" s="122"/>
      <c r="C62" s="432"/>
      <c r="D62" s="434"/>
      <c r="E62" s="1189" t="s">
        <v>68</v>
      </c>
      <c r="F62" s="1695" t="s">
        <v>66</v>
      </c>
      <c r="G62" s="97"/>
      <c r="H62" s="797" t="s">
        <v>23</v>
      </c>
      <c r="I62" s="435"/>
      <c r="J62" s="900"/>
      <c r="Q62" s="433">
        <v>0</v>
      </c>
    </row>
    <row s="1636" customFormat="1" customHeight="1" ht="6.3">
      <c r="A63" s="809"/>
      <c r="B63" s="256"/>
      <c r="C63" s="257"/>
      <c r="D63" s="263"/>
      <c r="E63" s="261"/>
      <c r="F63" s="264"/>
      <c r="G63" s="101"/>
      <c r="H63" s="433"/>
      <c r="I63" s="435"/>
      <c r="J63" s="898"/>
      <c r="Q63" s="260">
        <v>6</v>
      </c>
    </row>
    <row customHeight="1" ht="21">
      <c r="A64" s="811"/>
      <c r="B64" s="123"/>
      <c r="D64" s="106"/>
      <c r="E64" s="415" t="s">
        <v>69</v>
      </c>
      <c r="F64" s="240" t="s">
        <v>70</v>
      </c>
      <c r="G64" s="101"/>
      <c r="Q64" s="98">
        <v>20</v>
      </c>
    </row>
    <row customHeight="1" ht="21">
      <c r="A65" s="811"/>
      <c r="B65" s="123"/>
      <c r="D65" s="106"/>
      <c r="E65" s="415" t="s">
        <v>71</v>
      </c>
      <c r="F65" s="240" t="s">
        <v>72</v>
      </c>
      <c r="G65" s="101"/>
      <c r="Q65" s="98">
        <v>20</v>
      </c>
    </row>
    <row customHeight="1" ht="36.75">
      <c r="D66" s="99"/>
      <c r="E66" s="417" t="s">
        <v>73</v>
      </c>
      <c r="F66" s="1078"/>
      <c r="G66" s="97"/>
      <c r="Q66" s="98">
        <v>35</v>
      </c>
    </row>
    <row customHeight="1" ht="21">
      <c r="A67" s="811"/>
      <c r="D67" s="434"/>
      <c r="E67" s="415" t="s">
        <v>74</v>
      </c>
      <c r="F67" s="295" t="s">
        <v>75</v>
      </c>
      <c r="G67" s="101"/>
      <c r="Q67" s="98">
        <v>20</v>
      </c>
    </row>
    <row customHeight="1" ht="21">
      <c r="A68" s="811"/>
      <c r="B68" s="123"/>
      <c r="D68" s="106"/>
      <c r="E68" s="415" t="s">
        <v>76</v>
      </c>
      <c r="F68" s="295" t="s">
        <v>77</v>
      </c>
      <c r="G68" s="101"/>
      <c r="Q68" s="98">
        <v>20</v>
      </c>
    </row>
    <row customHeight="1" ht="21">
      <c r="A69" s="811"/>
      <c r="B69" s="123"/>
      <c r="D69" s="106"/>
      <c r="E69" s="415" t="s">
        <v>78</v>
      </c>
      <c r="F69" s="295" t="s">
        <v>79</v>
      </c>
      <c r="G69" s="101"/>
      <c r="Q69" s="98">
        <v>20</v>
      </c>
    </row>
    <row customHeight="1" ht="21">
      <c r="D70" s="434"/>
      <c r="E70" s="415" t="s">
        <v>80</v>
      </c>
      <c r="F70" s="2653" t="s">
        <v>81</v>
      </c>
      <c r="G70" s="97"/>
      <c r="Q70" s="98">
        <v>20</v>
      </c>
    </row>
    <row customHeight="1" ht="21">
      <c r="A71" s="811"/>
      <c r="D71" s="97"/>
      <c r="F71" s="157"/>
      <c r="G71" s="101"/>
      <c r="Q71" s="98">
        <v>20</v>
      </c>
    </row>
    <row customHeight="1" ht="21">
      <c r="A72" s="811"/>
      <c r="B72" s="123"/>
      <c r="D72" s="106"/>
      <c r="E72" s="105"/>
      <c r="F72" s="1057" t="s">
        <v>13</v>
      </c>
      <c r="G72" s="101"/>
      <c r="Q72" s="98">
        <v>20</v>
      </c>
    </row>
    <row customHeight="1" ht="21">
      <c r="A73" s="811"/>
      <c r="B73" s="123"/>
      <c r="D73" s="106"/>
      <c r="E73" s="105"/>
      <c r="F73" s="158"/>
      <c r="G73" s="101"/>
      <c r="Q73" s="98">
        <v>20</v>
      </c>
    </row>
    <row customHeight="1" ht="21">
      <c r="A74" s="811"/>
      <c r="B74" s="123"/>
      <c r="D74" s="106"/>
      <c r="E74" s="110"/>
      <c r="F74" s="158"/>
      <c r="G74" s="101"/>
      <c r="Q74" s="98">
        <v>20</v>
      </c>
    </row>
    <row customHeight="1" ht="21">
      <c r="A75" s="811"/>
      <c r="B75" s="123"/>
      <c r="D75" s="106"/>
      <c r="E75" s="105"/>
      <c r="F75" s="158"/>
      <c r="G75" s="101"/>
      <c r="Q75" s="98">
        <v>20</v>
      </c>
    </row>
    <row customHeight="1" ht="11.549999999999999">
      <c r="Q76" s="98">
        <v>11</v>
      </c>
    </row>
    <row customHeight="1" ht="11.549999999999999">
      <c r="Q77" s="98">
        <v>11</v>
      </c>
    </row>
    <row customHeight="1" ht="11.549999999999999">
      <c r="E78" s="414"/>
      <c r="F78" s="414"/>
      <c r="G78" s="414"/>
      <c r="H78" s="414"/>
      <c r="I78" s="414"/>
      <c r="Q78" s="98">
        <v>11</v>
      </c>
    </row>
    <row customHeight="1" ht="11.25" hidden="1">
      <c r="A79" s="808" t="s">
        <v>82</v>
      </c>
      <c r="B79" s="122">
        <v>0</v>
      </c>
      <c r="C79" s="96">
        <v>3</v>
      </c>
      <c r="D79" s="98">
        <v>1</v>
      </c>
      <c r="E79" s="98">
        <v>55</v>
      </c>
      <c r="F79" s="98">
        <v>54</v>
      </c>
      <c r="G79" s="795">
        <v>1</v>
      </c>
      <c r="H79" s="433">
        <v>0</v>
      </c>
      <c r="I79" s="435">
        <v>59</v>
      </c>
      <c r="J79" s="900">
        <v>0</v>
      </c>
      <c r="K79" s="98">
        <v>8</v>
      </c>
      <c r="L79" s="98">
        <v>77</v>
      </c>
      <c r="M79" s="98">
        <v>8</v>
      </c>
      <c r="N79" s="98">
        <v>8</v>
      </c>
      <c r="O79" s="98">
        <v>8</v>
      </c>
      <c r="P79" s="98">
        <v>8</v>
      </c>
      <c r="Q79" s="98">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5307571F-C6E1-74DD-DC4F-0.671BF92A}"/>
    <hyperlink ref="H17" location="Титульный!H9" display="Как заполнить?" tooltip="Помощь по работе с полями отчётной формы" xr:uid="{5DE19C09-EA72-4C41-16CB-0.79E6100E}"/>
    <hyperlink ref="H39" location="Титульный!H9" display="Как заполнить?" tooltip="Помощь по работе с полями отчётной формы" xr:uid="{226885B4-328B-AEB4-BD8D-0.BE3099D}"/>
    <hyperlink ref="H62" location="Титульный!H9" display="Как заполнить?" tooltip="Помощь по работе с полями отчётной формы" xr:uid="{8B99A5B1-6324-8236-8A4B-0.055130E2}"/>
    <hyperlink ref="F70" r:id="rId4" tooltip="starovetckaya-av@dgk.ru" xr:uid="{222289A5-0ABB-1C66-725C-0.57F29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D77376-EBF2-64D3-0A9D-0.3DE9D829}"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2.00390625" hidden="1" customWidth="1"/>
    <col min="10" max="10" style="1390" width="9.8515625" hidden="1" customWidth="1"/>
    <col min="11" max="11" style="1390" width="11.421875" hidden="1" customWidth="1"/>
    <col min="12" max="12" style="2631" width="19.140625" hidden="1" customWidth="1"/>
    <col min="13" max="14" style="1800" width="12.28125" hidden="1" customWidth="1"/>
    <col min="15" max="15" style="1800" width="23.421875" hidden="1" customWidth="1"/>
    <col min="16" max="16" style="1800" width="3.00390625" customWidth="1"/>
    <col min="17" max="17" style="1395" width="3.00390625" customWidth="1"/>
    <col min="18" max="18" style="368" width="3.00390625" customWidth="1"/>
    <col min="19" max="19" style="2431" width="12.00390625" customWidth="1"/>
    <col min="20" max="20" style="1659" width="31.00390625" customWidth="1"/>
    <col min="21" max="21" style="1659" width="0.140625" customWidth="1"/>
    <col min="22" max="23" style="1659" width="21.7109375" hidden="1" customWidth="1"/>
    <col min="24" max="24" style="1659" width="11.7109375" hidden="1" customWidth="1"/>
    <col min="25" max="25" style="1659" width="3.7109375" hidden="1" customWidth="1"/>
    <col min="26" max="26" style="1659" width="11.7109375" hidden="1" customWidth="1"/>
    <col min="27" max="27" style="1659" width="8.57421875" hidden="1" customWidth="1"/>
    <col min="28" max="28" style="1659" width="5.421875" customWidth="1"/>
    <col min="29" max="30" style="1659" width="3.00390625" customWidth="1"/>
    <col min="31" max="31" style="1659" width="24.00390625" customWidth="1"/>
    <col min="32" max="32" style="1659" width="3.7109375" customWidth="1"/>
    <col min="33" max="34" style="1659" width="3.00390625" customWidth="1"/>
    <col min="35" max="35" style="1659" width="24.00390625" customWidth="1"/>
    <col min="36" max="36" style="1659" width="3.7109375" customWidth="1"/>
    <col min="37" max="38" style="1659" width="3.00390625" customWidth="1"/>
    <col min="39" max="39" style="1659" width="18.00390625" customWidth="1"/>
    <col min="40" max="41" style="1659" width="21.00390625" customWidth="1"/>
    <col min="42" max="42" style="1659" width="11.00390625" customWidth="1"/>
    <col min="43" max="43" style="1659" width="3.7109375" customWidth="1"/>
    <col min="44" max="44" style="1659" width="11.00390625" customWidth="1"/>
    <col min="45" max="45" style="1659" width="8.57421875" hidden="1" customWidth="1"/>
    <col min="46" max="46" style="1659" width="4.00390625" customWidth="1"/>
    <col min="47" max="47" style="1659" width="115.00390625" customWidth="1"/>
    <col min="48" max="52" style="1666" width="10.00390625" customWidth="1"/>
    <col min="53" max="53" style="1659" width="10.57421875" hidden="1"/>
  </cols>
  <sheetData>
    <row customHeight="1" ht="22.5" hidden="1">
      <c r="W1" s="351"/>
      <c r="X1" s="351"/>
      <c r="AO1" s="351"/>
      <c r="AP1" s="351"/>
      <c r="BA1" s="1179" t="s">
        <v>14</v>
      </c>
    </row>
    <row customHeight="1" ht="21" hidden="1">
      <c r="A2" s="1387"/>
      <c r="B2" s="1387"/>
      <c r="C2" s="1387"/>
      <c r="D2" s="1387"/>
      <c r="E2" s="2282">
        <v>1</v>
      </c>
      <c r="F2" s="1387"/>
      <c r="G2" s="1387"/>
      <c r="H2" s="1387"/>
      <c r="I2" s="1387"/>
      <c r="J2" s="1387"/>
      <c r="K2" s="1387"/>
      <c r="L2" s="1388"/>
      <c r="M2" s="1389"/>
      <c r="N2" s="1389"/>
      <c r="O2" s="1389"/>
      <c r="P2" s="1433"/>
      <c r="Q2" s="897"/>
      <c r="R2" s="379"/>
      <c r="S2" s="1360">
        <f>INDEX(PT_DIFFERENTIATION_NUM_NTAR,MATCH(A2,PT_DIFFERENTIATION_NTAR_ID,0))</f>
      </c>
      <c r="T2" s="322" t="s">
        <v>211</v>
      </c>
      <c r="U2" s="324"/>
      <c r="V2" s="2267"/>
      <c r="W2" s="2267"/>
      <c r="X2" s="2267"/>
      <c r="Y2" s="2267"/>
      <c r="Z2" s="2267"/>
      <c r="AA2" s="2268"/>
      <c r="AB2" s="2266">
        <f>INDEX(PT_DIFFERENTIATION_NTAR,MATCH(A2,PT_DIFFERENTIATION_NTAR_ID,0))</f>
      </c>
      <c r="AC2" s="2267"/>
      <c r="AD2" s="2267"/>
      <c r="AE2" s="2267"/>
      <c r="AF2" s="2267"/>
      <c r="AG2" s="2267"/>
      <c r="AH2" s="2267"/>
      <c r="AI2" s="2267"/>
      <c r="AJ2" s="2267"/>
      <c r="AK2" s="2267"/>
      <c r="AL2" s="2267"/>
      <c r="AM2" s="2267"/>
      <c r="AN2" s="2267"/>
      <c r="AO2" s="2267"/>
      <c r="AP2" s="2267"/>
      <c r="AQ2" s="2267"/>
      <c r="AR2" s="2267"/>
      <c r="AS2" s="2267"/>
      <c r="AT2" s="2268"/>
      <c r="AU2" s="1282" t="s">
        <v>480</v>
      </c>
      <c r="AW2" s="524"/>
      <c r="AX2" s="524" t="str">
        <f>IF(T2="","",T2)</f>
        <v>Наименование тарифа</v>
      </c>
      <c r="AY2" s="524"/>
      <c r="AZ2" s="524"/>
      <c r="BA2" s="1179">
        <v>0</v>
      </c>
    </row>
    <row customHeight="1" ht="21" hidden="1">
      <c r="A3" s="1387"/>
      <c r="B3" s="1387"/>
      <c r="C3" s="1387"/>
      <c r="D3" s="1387"/>
      <c r="E3" s="2283"/>
      <c r="F3" s="2282">
        <v>1</v>
      </c>
      <c r="G3" s="1387"/>
      <c r="H3" s="1387"/>
      <c r="I3" s="1387"/>
      <c r="J3" s="1387"/>
      <c r="K3" s="1387"/>
      <c r="L3" s="1388"/>
      <c r="M3" s="1389"/>
      <c r="N3" s="1389"/>
      <c r="O3" s="1389"/>
      <c r="P3" s="1434"/>
      <c r="Q3" s="1435"/>
      <c r="R3" s="377"/>
      <c r="S3" s="1360">
        <f>INDEX(PT_DIFFERENTIATION_NUM_TER,MATCH(B3,PT_DIFFERENTIATION_TER_ID,0))</f>
      </c>
      <c r="T3" s="332" t="s">
        <v>481</v>
      </c>
      <c r="U3" s="324"/>
      <c r="V3" s="2267"/>
      <c r="W3" s="2267"/>
      <c r="X3" s="2267"/>
      <c r="Y3" s="2267"/>
      <c r="Z3" s="2267"/>
      <c r="AA3" s="2268"/>
      <c r="AB3" s="2266">
        <f>INDEX(PT_DIFFERENTIATION_TER,MATCH(B3,PT_DIFFERENTIATION_TER_ID,0))</f>
      </c>
      <c r="AC3" s="2267"/>
      <c r="AD3" s="2267"/>
      <c r="AE3" s="2267"/>
      <c r="AF3" s="2267"/>
      <c r="AG3" s="2267"/>
      <c r="AH3" s="2267"/>
      <c r="AI3" s="2267"/>
      <c r="AJ3" s="2267"/>
      <c r="AK3" s="2267"/>
      <c r="AL3" s="2267"/>
      <c r="AM3" s="2267"/>
      <c r="AN3" s="2267"/>
      <c r="AO3" s="2267"/>
      <c r="AP3" s="2267"/>
      <c r="AQ3" s="2267"/>
      <c r="AR3" s="2267"/>
      <c r="AS3" s="2267"/>
      <c r="AT3" s="2268"/>
      <c r="AU3" s="1282" t="s">
        <v>482</v>
      </c>
      <c r="AW3" s="524"/>
      <c r="AX3" s="524" t="str">
        <f>IF(T3="","",T3)</f>
        <v>Территория действия тарифа</v>
      </c>
      <c r="AY3" s="524"/>
      <c r="AZ3" s="524"/>
      <c r="BA3" s="1179">
        <v>0</v>
      </c>
    </row>
    <row customHeight="1" ht="22.5" hidden="1">
      <c r="A4" s="1387"/>
      <c r="B4" s="1387"/>
      <c r="C4" s="1387"/>
      <c r="D4" s="1387"/>
      <c r="E4" s="2283"/>
      <c r="F4" s="2283"/>
      <c r="G4" s="2282">
        <v>1</v>
      </c>
      <c r="H4" s="1387"/>
      <c r="I4" s="1387"/>
      <c r="J4" s="1387"/>
      <c r="K4" s="1387"/>
      <c r="L4" s="1388"/>
      <c r="M4" s="1389"/>
      <c r="N4" s="1389"/>
      <c r="O4" s="1389"/>
      <c r="P4" s="1436"/>
      <c r="Q4" s="1435"/>
      <c r="R4" s="377"/>
      <c r="S4" s="1360">
        <f>INDEX(PT_DIFFERENTIATION_NUM_CS,MATCH(C4,PT_DIFFERENTIATION_CS_ID,0))</f>
      </c>
      <c r="T4" s="333" t="s">
        <v>483</v>
      </c>
      <c r="U4" s="324"/>
      <c r="V4" s="2267"/>
      <c r="W4" s="2267"/>
      <c r="X4" s="2267"/>
      <c r="Y4" s="2267"/>
      <c r="Z4" s="2267"/>
      <c r="AA4" s="2268"/>
      <c r="AB4" s="2266">
        <f>INDEX(PT_DIFFERENTIATION_CS,MATCH(C4,PT_DIFFERENTIATION_CS_ID,0))</f>
      </c>
      <c r="AC4" s="2267"/>
      <c r="AD4" s="2267"/>
      <c r="AE4" s="2267"/>
      <c r="AF4" s="2267"/>
      <c r="AG4" s="2267"/>
      <c r="AH4" s="2267"/>
      <c r="AI4" s="2267"/>
      <c r="AJ4" s="2267"/>
      <c r="AK4" s="2267"/>
      <c r="AL4" s="2267"/>
      <c r="AM4" s="2267"/>
      <c r="AN4" s="2267"/>
      <c r="AO4" s="2267"/>
      <c r="AP4" s="2267"/>
      <c r="AQ4" s="2267"/>
      <c r="AR4" s="2267"/>
      <c r="AS4" s="2267"/>
      <c r="AT4" s="2268"/>
      <c r="AU4" s="1282" t="s">
        <v>484</v>
      </c>
      <c r="AW4" s="524"/>
      <c r="AX4" s="524" t="str">
        <f>IF(T4="","",T4)</f>
        <v>Наименование системы теплоснабжения </v>
      </c>
      <c r="AY4" s="524"/>
      <c r="AZ4" s="524"/>
      <c r="BA4" s="1179">
        <v>0</v>
      </c>
    </row>
    <row customHeight="1" ht="21" hidden="1">
      <c r="A5" s="1387"/>
      <c r="B5" s="1387"/>
      <c r="C5" s="1387"/>
      <c r="D5" s="1387"/>
      <c r="E5" s="2283"/>
      <c r="F5" s="2283"/>
      <c r="G5" s="2283"/>
      <c r="H5" s="2282">
        <v>1</v>
      </c>
      <c r="I5" s="1387"/>
      <c r="J5" s="1387"/>
      <c r="K5" s="1387"/>
      <c r="L5" s="1388"/>
      <c r="M5" s="1389"/>
      <c r="N5" s="1389"/>
      <c r="O5" s="1389"/>
      <c r="P5" s="1436"/>
      <c r="Q5" s="1435"/>
      <c r="R5" s="377"/>
      <c r="S5" s="1360">
        <f>INDEX(PT_DIFFERENTIATION_NUM_IST_TE,MATCH(D5,PT_DIFFERENTIATION_IST_TE_ID,0))</f>
      </c>
      <c r="T5" s="334" t="s">
        <v>485</v>
      </c>
      <c r="U5" s="324"/>
      <c r="V5" s="2267"/>
      <c r="W5" s="2267"/>
      <c r="X5" s="2267"/>
      <c r="Y5" s="2267"/>
      <c r="Z5" s="2267"/>
      <c r="AA5" s="2268"/>
      <c r="AB5" s="2266">
        <f>INDEX(PT_DIFFERENTIATION_IST_TE,MATCH(D5,PT_DIFFERENTIATION_IST_TE_ID,0))</f>
      </c>
      <c r="AC5" s="2267"/>
      <c r="AD5" s="2267"/>
      <c r="AE5" s="2267"/>
      <c r="AF5" s="2267"/>
      <c r="AG5" s="2267"/>
      <c r="AH5" s="2267"/>
      <c r="AI5" s="2267"/>
      <c r="AJ5" s="2267"/>
      <c r="AK5" s="2267"/>
      <c r="AL5" s="2267"/>
      <c r="AM5" s="2267"/>
      <c r="AN5" s="2267"/>
      <c r="AO5" s="2267"/>
      <c r="AP5" s="2267"/>
      <c r="AQ5" s="2267"/>
      <c r="AR5" s="2267"/>
      <c r="AS5" s="2267"/>
      <c r="AT5" s="2268"/>
      <c r="AU5" s="1282" t="s">
        <v>486</v>
      </c>
      <c r="AW5" s="524"/>
      <c r="AX5" s="524" t="str">
        <f>IF(T5="","",T5)</f>
        <v>Источник тепловой энергии  </v>
      </c>
      <c r="AY5" s="524"/>
      <c r="AZ5" s="524"/>
      <c r="BA5" s="1179">
        <v>0</v>
      </c>
    </row>
    <row s="1666" customFormat="1" customHeight="1" ht="0.75" hidden="1">
      <c r="A6" s="1367"/>
      <c r="B6" s="1367"/>
      <c r="C6" s="1367"/>
      <c r="D6" s="1367"/>
      <c r="E6" s="2283"/>
      <c r="F6" s="2283"/>
      <c r="G6" s="2283"/>
      <c r="H6" s="2283"/>
      <c r="I6" s="2280">
        <f>S5&amp;".1"</f>
      </c>
      <c r="J6" s="1367"/>
      <c r="K6" s="1367"/>
      <c r="L6" s="1370" t="s">
        <v>487</v>
      </c>
      <c r="M6" s="534"/>
      <c r="N6" s="534"/>
      <c r="O6" s="534"/>
      <c r="P6" s="2281">
        <v>1</v>
      </c>
      <c r="Q6" s="1355"/>
      <c r="R6" s="380"/>
      <c r="S6" s="1066"/>
      <c r="T6" s="1407"/>
      <c r="U6" s="1408"/>
      <c r="V6" s="2321"/>
      <c r="W6" s="2321"/>
      <c r="X6" s="2321"/>
      <c r="Y6" s="2321"/>
      <c r="Z6" s="2321"/>
      <c r="AA6" s="2322"/>
      <c r="AB6" s="2320"/>
      <c r="AC6" s="2321"/>
      <c r="AD6" s="2321"/>
      <c r="AE6" s="2321"/>
      <c r="AF6" s="2321"/>
      <c r="AG6" s="2321"/>
      <c r="AH6" s="2321"/>
      <c r="AI6" s="2321"/>
      <c r="AJ6" s="2321"/>
      <c r="AK6" s="2321"/>
      <c r="AL6" s="2321"/>
      <c r="AM6" s="2321"/>
      <c r="AN6" s="2321"/>
      <c r="AO6" s="2321"/>
      <c r="AP6" s="2321"/>
      <c r="AQ6" s="2321"/>
      <c r="AR6" s="2321"/>
      <c r="AS6" s="2321"/>
      <c r="AT6" s="2322"/>
      <c r="AU6" s="1409"/>
      <c r="AW6" s="524"/>
      <c r="AX6" s="524" t="str">
        <f>IF(T6="","",T6)</f>
        <v/>
      </c>
      <c r="AY6" s="524"/>
      <c r="AZ6" s="524"/>
      <c r="BA6" s="535">
        <v>0</v>
      </c>
    </row>
    <row s="1666" customFormat="1" customHeight="1" ht="0.75" hidden="1">
      <c r="A7" s="1367"/>
      <c r="B7" s="1367"/>
      <c r="C7" s="1367"/>
      <c r="D7" s="1367"/>
      <c r="E7" s="2283"/>
      <c r="F7" s="2283"/>
      <c r="G7" s="2283"/>
      <c r="H7" s="2283"/>
      <c r="I7" s="2310"/>
      <c r="J7" s="2280">
        <f>S5&amp;".1"</f>
      </c>
      <c r="K7" s="1367"/>
      <c r="L7" s="1370"/>
      <c r="M7" s="534"/>
      <c r="N7" s="534"/>
      <c r="O7" s="534"/>
      <c r="P7" s="2281"/>
      <c r="Q7" s="2281">
        <v>1</v>
      </c>
      <c r="R7" s="381"/>
      <c r="S7" s="1066"/>
      <c r="T7" s="1423"/>
      <c r="U7" s="1408"/>
      <c r="V7" s="2321"/>
      <c r="W7" s="2321"/>
      <c r="X7" s="2321"/>
      <c r="Y7" s="2321"/>
      <c r="Z7" s="2321"/>
      <c r="AA7" s="2322"/>
      <c r="AB7" s="2320"/>
      <c r="AC7" s="2321"/>
      <c r="AD7" s="2321"/>
      <c r="AE7" s="2321"/>
      <c r="AF7" s="2321"/>
      <c r="AG7" s="2321"/>
      <c r="AH7" s="2321"/>
      <c r="AI7" s="2321"/>
      <c r="AJ7" s="2321"/>
      <c r="AK7" s="2321"/>
      <c r="AL7" s="2321"/>
      <c r="AM7" s="2321"/>
      <c r="AN7" s="2321"/>
      <c r="AO7" s="2321"/>
      <c r="AP7" s="2321"/>
      <c r="AQ7" s="2321"/>
      <c r="AR7" s="2321"/>
      <c r="AS7" s="2321"/>
      <c r="AT7" s="2322"/>
      <c r="AU7" s="1409"/>
      <c r="AW7" s="524"/>
      <c r="AX7" s="524" t="str">
        <f>IF(T7="","",T7)</f>
        <v/>
      </c>
      <c r="AY7" s="524"/>
      <c r="AZ7" s="524"/>
      <c r="BA7" s="535">
        <v>0</v>
      </c>
    </row>
    <row customHeight="1" ht="21" hidden="1">
      <c r="A8" s="1387"/>
      <c r="B8" s="1387"/>
      <c r="C8" s="1387"/>
      <c r="D8" s="1387"/>
      <c r="E8" s="2283"/>
      <c r="F8" s="2283"/>
      <c r="G8" s="2283"/>
      <c r="H8" s="2283"/>
      <c r="I8" s="2310"/>
      <c r="J8" s="2310"/>
      <c r="K8" s="2280">
        <f>S5&amp;".1"</f>
      </c>
      <c r="L8" s="1388"/>
      <c r="P8" s="2281"/>
      <c r="Q8" s="2281"/>
      <c r="R8" s="2371">
        <v>1</v>
      </c>
      <c r="S8" s="2365">
        <f>$K8</f>
      </c>
      <c r="T8" s="2368"/>
      <c r="U8" s="324"/>
      <c r="V8" s="775"/>
      <c r="W8" s="1281"/>
      <c r="X8" s="2289"/>
      <c r="Y8" s="2131" t="s">
        <v>66</v>
      </c>
      <c r="Z8" s="2289"/>
      <c r="AA8" s="2131" t="s">
        <v>66</v>
      </c>
      <c r="AB8" s="2131" t="s">
        <v>19</v>
      </c>
      <c r="AC8" s="2350"/>
      <c r="AD8" s="2229">
        <v>1</v>
      </c>
      <c r="AE8" s="2351"/>
      <c r="AF8" s="2131" t="s">
        <v>19</v>
      </c>
      <c r="AG8" s="2350"/>
      <c r="AH8" s="2229">
        <v>1</v>
      </c>
      <c r="AI8" s="2351"/>
      <c r="AJ8" s="2131" t="s">
        <v>19</v>
      </c>
      <c r="AK8" s="335"/>
      <c r="AL8" s="1361">
        <v>1</v>
      </c>
      <c r="AM8" s="1422"/>
      <c r="AN8" s="775"/>
      <c r="AO8" s="1281"/>
      <c r="AP8" s="1758"/>
      <c r="AQ8" s="1483" t="s">
        <v>66</v>
      </c>
      <c r="AR8" s="1758"/>
      <c r="AS8" s="1483" t="s">
        <v>66</v>
      </c>
      <c r="AT8" s="1372"/>
      <c r="AU8" s="2277" t="s">
        <v>548</v>
      </c>
      <c r="AV8" s="535">
        <f>STRCHECKDATE(V11:AT11)</f>
      </c>
      <c r="AW8" s="524"/>
      <c r="AX8" s="524" t="str">
        <f>IF(T8="","",T8)</f>
        <v/>
      </c>
      <c r="AY8" s="524"/>
      <c r="AZ8" s="524"/>
      <c r="BA8" s="1179">
        <v>0</v>
      </c>
    </row>
    <row customHeight="1" ht="11.25" hidden="1">
      <c r="A9" s="1387"/>
      <c r="B9" s="1387"/>
      <c r="C9" s="1387"/>
      <c r="D9" s="1387"/>
      <c r="E9" s="2283"/>
      <c r="F9" s="2283"/>
      <c r="G9" s="2283"/>
      <c r="H9" s="2283"/>
      <c r="I9" s="2310"/>
      <c r="J9" s="2310"/>
      <c r="K9" s="2280"/>
      <c r="L9" s="1388"/>
      <c r="P9" s="2281"/>
      <c r="Q9" s="2281"/>
      <c r="R9" s="2371"/>
      <c r="S9" s="2366"/>
      <c r="T9" s="2369"/>
      <c r="U9" s="324"/>
      <c r="V9" s="1417"/>
      <c r="W9" s="1421"/>
      <c r="X9" s="2289"/>
      <c r="Y9" s="2131"/>
      <c r="Z9" s="2289"/>
      <c r="AA9" s="2131"/>
      <c r="AB9" s="2131"/>
      <c r="AC9" s="2350"/>
      <c r="AD9" s="2229"/>
      <c r="AE9" s="2351"/>
      <c r="AF9" s="2131"/>
      <c r="AG9" s="2350"/>
      <c r="AH9" s="2229"/>
      <c r="AI9" s="2351"/>
      <c r="AJ9" s="2131"/>
      <c r="AK9" s="340"/>
      <c r="AL9" s="440"/>
      <c r="AM9" s="439" t="s">
        <v>549</v>
      </c>
      <c r="AN9" s="1417"/>
      <c r="AO9" s="1520"/>
      <c r="AP9" s="1417"/>
      <c r="AQ9" s="1417"/>
      <c r="AR9" s="1417"/>
      <c r="AS9" s="1417"/>
      <c r="AT9" s="1414"/>
      <c r="AU9" s="2278"/>
      <c r="AW9" s="524"/>
      <c r="AX9" s="524"/>
      <c r="AY9" s="524"/>
      <c r="AZ9" s="524"/>
      <c r="BA9" s="1179">
        <v>0</v>
      </c>
    </row>
    <row customHeight="1" ht="11.25" hidden="1">
      <c r="A10" s="1387"/>
      <c r="B10" s="1387"/>
      <c r="C10" s="1387"/>
      <c r="D10" s="1387"/>
      <c r="E10" s="2283"/>
      <c r="F10" s="2283"/>
      <c r="G10" s="2283"/>
      <c r="H10" s="2283"/>
      <c r="I10" s="2310"/>
      <c r="J10" s="2310"/>
      <c r="K10" s="2280"/>
      <c r="L10" s="1388"/>
      <c r="P10" s="2281"/>
      <c r="Q10" s="2281"/>
      <c r="R10" s="2371"/>
      <c r="S10" s="2366"/>
      <c r="T10" s="2369"/>
      <c r="U10" s="324"/>
      <c r="V10" s="1417"/>
      <c r="W10" s="1421"/>
      <c r="X10" s="2289"/>
      <c r="Y10" s="2131"/>
      <c r="Z10" s="2289"/>
      <c r="AA10" s="2131"/>
      <c r="AB10" s="2131"/>
      <c r="AC10" s="2350"/>
      <c r="AD10" s="2229"/>
      <c r="AE10" s="2351"/>
      <c r="AF10" s="2131"/>
      <c r="AG10" s="318"/>
      <c r="AH10" s="439"/>
      <c r="AI10" s="439" t="s">
        <v>550</v>
      </c>
      <c r="AJ10" s="1417"/>
      <c r="AK10" s="1417"/>
      <c r="AL10" s="1417"/>
      <c r="AM10" s="1417"/>
      <c r="AN10" s="1417"/>
      <c r="AO10" s="1520"/>
      <c r="AP10" s="1417"/>
      <c r="AQ10" s="1417"/>
      <c r="AR10" s="1417"/>
      <c r="AS10" s="1417"/>
      <c r="AT10" s="1414"/>
      <c r="AU10" s="2278"/>
      <c r="AW10" s="524"/>
      <c r="AX10" s="524"/>
      <c r="AY10" s="524"/>
      <c r="AZ10" s="524"/>
      <c r="BA10" s="1179">
        <v>0</v>
      </c>
    </row>
    <row customHeight="1" ht="11.25" hidden="1">
      <c r="A11" s="1387"/>
      <c r="B11" s="1387"/>
      <c r="C11" s="1387"/>
      <c r="D11" s="1387"/>
      <c r="E11" s="2283"/>
      <c r="F11" s="2283"/>
      <c r="G11" s="2283"/>
      <c r="H11" s="2283"/>
      <c r="I11" s="2310"/>
      <c r="J11" s="2310"/>
      <c r="K11" s="2280"/>
      <c r="L11" s="1388"/>
      <c r="P11" s="2281"/>
      <c r="Q11" s="2281"/>
      <c r="R11" s="2371"/>
      <c r="S11" s="2367"/>
      <c r="T11" s="2370"/>
      <c r="U11" s="324"/>
      <c r="V11" s="1417"/>
      <c r="W11" s="1420" t="str">
        <f>X8&amp;"-"&amp;Z8</f>
        <v>-</v>
      </c>
      <c r="X11" s="2290"/>
      <c r="Y11" s="2131"/>
      <c r="Z11" s="2290"/>
      <c r="AA11" s="2131"/>
      <c r="AB11" s="2131"/>
      <c r="AC11" s="336"/>
      <c r="AD11" s="338"/>
      <c r="AE11" s="439" t="s">
        <v>551</v>
      </c>
      <c r="AF11" s="1417"/>
      <c r="AG11" s="1417"/>
      <c r="AH11" s="1417"/>
      <c r="AI11" s="1417"/>
      <c r="AJ11" s="1417"/>
      <c r="AK11" s="1417"/>
      <c r="AL11" s="1417"/>
      <c r="AM11" s="1417"/>
      <c r="AN11" s="1417"/>
      <c r="AO11" s="1418" t="str">
        <f>AP8&amp;"-"&amp;AR8</f>
        <v>-</v>
      </c>
      <c r="AP11" s="1417"/>
      <c r="AQ11" s="1417"/>
      <c r="AR11" s="1417"/>
      <c r="AS11" s="1417"/>
      <c r="AT11" s="1373"/>
      <c r="AU11" s="2278"/>
      <c r="AW11" s="524"/>
      <c r="AX11" s="524" t="str">
        <f>IF(T11="","",T11)</f>
        <v/>
      </c>
      <c r="AY11" s="524"/>
      <c r="AZ11" s="524"/>
      <c r="BA11" s="1179">
        <v>0</v>
      </c>
    </row>
    <row customHeight="1" ht="11.25" hidden="1">
      <c r="A12" s="1387"/>
      <c r="B12" s="1387"/>
      <c r="C12" s="1387"/>
      <c r="D12" s="1387"/>
      <c r="E12" s="2283"/>
      <c r="F12" s="2283"/>
      <c r="G12" s="2283"/>
      <c r="H12" s="2283"/>
      <c r="I12" s="2310"/>
      <c r="J12" s="2280"/>
      <c r="K12" s="1387"/>
      <c r="L12" s="1388"/>
      <c r="P12" s="2281"/>
      <c r="Q12" s="2281"/>
      <c r="R12" s="380"/>
      <c r="S12" s="1302"/>
      <c r="T12" s="311" t="s">
        <v>552</v>
      </c>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48"/>
      <c r="AU12" s="2279"/>
      <c r="AW12" s="524"/>
      <c r="AX12" s="524" t="str">
        <f>IF(T12="","",T12)</f>
        <v>Добавить строку</v>
      </c>
      <c r="AY12" s="524"/>
      <c r="AZ12" s="524"/>
      <c r="BA12" s="1179">
        <v>0</v>
      </c>
    </row>
    <row s="1666" customFormat="1" customHeight="1" ht="0.75" hidden="1">
      <c r="A13" s="1367"/>
      <c r="B13" s="1367"/>
      <c r="C13" s="1367"/>
      <c r="D13" s="1367"/>
      <c r="E13" s="2283"/>
      <c r="F13" s="2283"/>
      <c r="G13" s="2283"/>
      <c r="H13" s="2283"/>
      <c r="I13" s="2280"/>
      <c r="J13" s="1367"/>
      <c r="K13" s="1367"/>
      <c r="L13" s="1370"/>
      <c r="M13" s="534"/>
      <c r="N13" s="534"/>
      <c r="O13" s="534"/>
      <c r="P13" s="2281"/>
      <c r="Q13" s="1355"/>
      <c r="R13" s="380"/>
      <c r="S13" s="1410"/>
      <c r="T13" s="1411"/>
      <c r="U13" s="1412"/>
      <c r="V13" s="1412"/>
      <c r="W13" s="1412"/>
      <c r="X13" s="1412"/>
      <c r="Y13" s="1412"/>
      <c r="Z13" s="1412"/>
      <c r="AA13" s="1412"/>
      <c r="AB13" s="1412"/>
      <c r="AC13" s="1412"/>
      <c r="AD13" s="1412"/>
      <c r="AE13" s="1412"/>
      <c r="AF13" s="1412"/>
      <c r="AG13" s="1412"/>
      <c r="AH13" s="1412"/>
      <c r="AI13" s="1412"/>
      <c r="AJ13" s="1412"/>
      <c r="AK13" s="1412"/>
      <c r="AL13" s="1412"/>
      <c r="AM13" s="1412"/>
      <c r="AN13" s="1412"/>
      <c r="AO13" s="1412"/>
      <c r="AP13" s="1412"/>
      <c r="AQ13" s="1412"/>
      <c r="AR13" s="1412"/>
      <c r="AS13" s="1412"/>
      <c r="AT13" s="1412"/>
      <c r="AU13" s="1413"/>
      <c r="AW13" s="524"/>
      <c r="AX13" s="524" t="str">
        <f>IF(T13="","",T13)</f>
        <v/>
      </c>
      <c r="AY13" s="524"/>
      <c r="AZ13" s="524"/>
      <c r="BA13" s="535">
        <v>0</v>
      </c>
    </row>
    <row s="1666" customFormat="1" customHeight="1" ht="0.75" hidden="1">
      <c r="A14" s="1367"/>
      <c r="B14" s="1367"/>
      <c r="C14" s="1367"/>
      <c r="D14" s="1367"/>
      <c r="E14" s="2283"/>
      <c r="F14" s="2283"/>
      <c r="G14" s="2283"/>
      <c r="H14" s="2282"/>
      <c r="I14" s="1367"/>
      <c r="J14" s="1367"/>
      <c r="K14" s="1367"/>
      <c r="L14" s="1370"/>
      <c r="M14" s="1339"/>
      <c r="N14" s="1339"/>
      <c r="O14" s="542"/>
      <c r="P14" s="404"/>
      <c r="Q14" s="1368"/>
      <c r="R14" s="1425"/>
      <c r="S14" s="1410"/>
      <c r="T14" s="1411"/>
      <c r="U14" s="1412"/>
      <c r="V14" s="1412"/>
      <c r="W14" s="1412"/>
      <c r="X14" s="1412"/>
      <c r="Y14" s="1412"/>
      <c r="Z14" s="1412"/>
      <c r="AA14" s="1412"/>
      <c r="AB14" s="1412"/>
      <c r="AC14" s="1412"/>
      <c r="AD14" s="1412"/>
      <c r="AE14" s="1412"/>
      <c r="AF14" s="1412"/>
      <c r="AG14" s="1412"/>
      <c r="AH14" s="1412"/>
      <c r="AI14" s="1412"/>
      <c r="AJ14" s="1412"/>
      <c r="AK14" s="1412"/>
      <c r="AL14" s="1412"/>
      <c r="AM14" s="1412"/>
      <c r="AN14" s="1412"/>
      <c r="AO14" s="1412"/>
      <c r="AP14" s="1412"/>
      <c r="AQ14" s="1412"/>
      <c r="AR14" s="1412"/>
      <c r="AS14" s="1412"/>
      <c r="AT14" s="1412"/>
      <c r="AU14" s="1413"/>
      <c r="AW14" s="524"/>
      <c r="AX14" s="524" t="str">
        <f>IF(T14="","",T14)</f>
        <v/>
      </c>
      <c r="AY14" s="524"/>
      <c r="AZ14" s="524"/>
      <c r="BA14" s="535">
        <v>0</v>
      </c>
    </row>
    <row s="1666" customFormat="1" customHeight="1" ht="0.75" hidden="1">
      <c r="A15" s="1367"/>
      <c r="B15" s="1367"/>
      <c r="C15" s="1367"/>
      <c r="D15" s="1338"/>
      <c r="E15" s="2283"/>
      <c r="F15" s="2283"/>
      <c r="G15" s="2282"/>
      <c r="H15" s="1338"/>
      <c r="I15" s="1338"/>
      <c r="J15" s="1338"/>
      <c r="K15" s="1338"/>
      <c r="L15" s="1363"/>
      <c r="M15" s="1339"/>
      <c r="N15" s="1339"/>
      <c r="P15" s="1340"/>
      <c r="Q15" s="1341"/>
      <c r="R15" s="1340"/>
      <c r="S15" s="1346"/>
      <c r="T15" s="1349" t="s">
        <v>498</v>
      </c>
      <c r="U15" s="1348"/>
      <c r="V15" s="1348"/>
      <c r="W15" s="1348"/>
      <c r="X15" s="1348"/>
      <c r="Y15" s="1348"/>
      <c r="Z15" s="1348"/>
      <c r="AA15" s="1348"/>
      <c r="AB15" s="1348"/>
      <c r="AC15" s="1348"/>
      <c r="AD15" s="1348"/>
      <c r="AE15" s="1348"/>
      <c r="AF15" s="1348"/>
      <c r="AG15" s="1348"/>
      <c r="AH15" s="1348"/>
      <c r="AI15" s="1348"/>
      <c r="AJ15" s="1348"/>
      <c r="AK15" s="1348"/>
      <c r="AL15" s="1348"/>
      <c r="AM15" s="1348"/>
      <c r="AN15" s="1348"/>
      <c r="AO15" s="1348"/>
      <c r="AP15" s="1348"/>
      <c r="AQ15" s="1348"/>
      <c r="AR15" s="1348"/>
      <c r="AS15" s="1348"/>
      <c r="AT15" s="1348"/>
      <c r="AU15" s="1348"/>
      <c r="AW15" s="813"/>
      <c r="AX15" s="813" t="str">
        <f>IF(T15="","",T15)</f>
        <v>Добавить источник для дифференциации</v>
      </c>
      <c r="AY15" s="813"/>
      <c r="AZ15" s="813"/>
      <c r="BA15" s="542">
        <v>0</v>
      </c>
    </row>
    <row s="1666" customFormat="1" customHeight="1" ht="0.75" hidden="1">
      <c r="A16" s="1367"/>
      <c r="B16" s="1367"/>
      <c r="C16" s="1338"/>
      <c r="D16" s="1338"/>
      <c r="E16" s="2283"/>
      <c r="F16" s="2282"/>
      <c r="G16" s="1338"/>
      <c r="H16" s="1338"/>
      <c r="I16" s="1338"/>
      <c r="J16" s="1338"/>
      <c r="K16" s="1338"/>
      <c r="L16" s="1363"/>
      <c r="M16" s="1345"/>
      <c r="N16" s="1345"/>
      <c r="P16" s="1340"/>
      <c r="Q16" s="1341"/>
      <c r="R16" s="1340"/>
      <c r="S16" s="1346"/>
      <c r="T16" s="1349" t="s">
        <v>499</v>
      </c>
      <c r="U16" s="1348"/>
      <c r="V16" s="1348"/>
      <c r="W16" s="1348"/>
      <c r="X16" s="1348"/>
      <c r="Y16" s="1348"/>
      <c r="Z16" s="1348"/>
      <c r="AA16" s="1348"/>
      <c r="AB16" s="1348"/>
      <c r="AC16" s="1348"/>
      <c r="AD16" s="1348"/>
      <c r="AE16" s="1348"/>
      <c r="AF16" s="1348"/>
      <c r="AG16" s="1348"/>
      <c r="AH16" s="1348"/>
      <c r="AI16" s="1348"/>
      <c r="AJ16" s="1348"/>
      <c r="AK16" s="1348"/>
      <c r="AL16" s="1348"/>
      <c r="AM16" s="1348"/>
      <c r="AN16" s="1348"/>
      <c r="AO16" s="1348"/>
      <c r="AP16" s="1348"/>
      <c r="AQ16" s="1348"/>
      <c r="AR16" s="1348"/>
      <c r="AS16" s="1348"/>
      <c r="AT16" s="1348"/>
      <c r="AU16" s="1348"/>
      <c r="AW16" s="813"/>
      <c r="AX16" s="813" t="str">
        <f>IF(T16="","",T16)</f>
        <v>Добавить централизованную систему для дифференциации</v>
      </c>
      <c r="AY16" s="813"/>
      <c r="AZ16" s="813"/>
      <c r="BA16" s="542">
        <v>0</v>
      </c>
    </row>
    <row s="1666" customFormat="1" customHeight="1" ht="0.75" hidden="1">
      <c r="A17" s="1367"/>
      <c r="B17" s="1367"/>
      <c r="C17" s="1367"/>
      <c r="D17" s="1367"/>
      <c r="E17" s="2282"/>
      <c r="F17" s="1367"/>
      <c r="G17" s="1367"/>
      <c r="H17" s="1367"/>
      <c r="I17" s="1367"/>
      <c r="J17" s="1367"/>
      <c r="K17" s="1367"/>
      <c r="L17" s="1370"/>
      <c r="M17" s="1345"/>
      <c r="N17" s="1345"/>
      <c r="O17" s="542"/>
      <c r="P17" s="404"/>
      <c r="Q17" s="1368"/>
      <c r="R17" s="404"/>
      <c r="S17" s="1346"/>
      <c r="T17" s="1349" t="s">
        <v>500</v>
      </c>
      <c r="U17" s="1348"/>
      <c r="V17" s="1348"/>
      <c r="W17" s="1348"/>
      <c r="X17" s="1348"/>
      <c r="Y17" s="1348"/>
      <c r="Z17" s="1348"/>
      <c r="AA17" s="1348"/>
      <c r="AB17" s="1348"/>
      <c r="AC17" s="1348"/>
      <c r="AD17" s="1348"/>
      <c r="AE17" s="1348"/>
      <c r="AF17" s="1348"/>
      <c r="AG17" s="1348"/>
      <c r="AH17" s="1348"/>
      <c r="AI17" s="1348"/>
      <c r="AJ17" s="1348"/>
      <c r="AK17" s="1348"/>
      <c r="AL17" s="1348"/>
      <c r="AM17" s="1348"/>
      <c r="AN17" s="1348"/>
      <c r="AO17" s="1348"/>
      <c r="AP17" s="1348"/>
      <c r="AQ17" s="1348"/>
      <c r="AR17" s="1348"/>
      <c r="AS17" s="1348"/>
      <c r="AT17" s="1348"/>
      <c r="AU17" s="1348"/>
      <c r="AW17" s="524"/>
      <c r="AX17" s="524" t="str">
        <f>IF(T17="","",T17)</f>
        <v>Добавить территорию для дифференциации</v>
      </c>
      <c r="AY17" s="524"/>
      <c r="AZ17" s="524"/>
      <c r="BA17" s="535">
        <v>0</v>
      </c>
    </row>
    <row customHeight="1" ht="14.25" hidden="1">
      <c r="AA18" s="351"/>
      <c r="AS18" s="351"/>
      <c r="BA18" s="1179">
        <v>0</v>
      </c>
    </row>
    <row customHeight="1" ht="14.25" hidden="1">
      <c r="AB19" s="1348" t="s">
        <v>19</v>
      </c>
      <c r="AC19" s="1525"/>
      <c r="AD19" s="572">
        <v>1</v>
      </c>
      <c r="AE19" s="1526"/>
      <c r="AF19" s="1348" t="s">
        <v>19</v>
      </c>
      <c r="AG19" s="1525"/>
      <c r="AH19" s="572">
        <v>1</v>
      </c>
      <c r="AI19" s="1526"/>
      <c r="AJ19" s="1348" t="s">
        <v>19</v>
      </c>
      <c r="AK19" s="1527"/>
      <c r="AL19" s="572">
        <v>1</v>
      </c>
      <c r="AM19" s="1530"/>
      <c r="AN19" s="1427"/>
      <c r="AO19" s="1428"/>
      <c r="AP19" s="1760"/>
      <c r="AQ19" s="1484" t="s">
        <v>66</v>
      </c>
      <c r="AR19" s="1760"/>
      <c r="AS19" s="1484" t="s">
        <v>66</v>
      </c>
      <c r="BA19" s="1179">
        <v>0</v>
      </c>
    </row>
    <row customHeight="1" ht="14.25" hidden="1">
      <c r="AV20" s="520"/>
      <c r="AW20" s="520"/>
      <c r="AX20" s="520"/>
      <c r="AY20" s="520"/>
      <c r="AZ20" s="520"/>
      <c r="BA20" s="1179">
        <v>0</v>
      </c>
    </row>
    <row customHeight="1" ht="14.25" hidden="1">
      <c r="O21" s="1391" t="s">
        <v>501</v>
      </c>
      <c r="X21" s="1369"/>
      <c r="Z21" s="1369"/>
      <c r="AA21" s="351"/>
      <c r="AP21" s="1369"/>
      <c r="AR21" s="1369"/>
      <c r="AS21" s="351"/>
      <c r="AV21" s="520"/>
      <c r="AW21" s="520"/>
      <c r="AX21" s="520"/>
      <c r="AY21" s="520"/>
      <c r="AZ21" s="520"/>
      <c r="BA21" s="1179">
        <v>0</v>
      </c>
    </row>
    <row customHeight="1" ht="14.25" hidden="1">
      <c r="AA22" s="351"/>
      <c r="AS22" s="351"/>
      <c r="AV22" s="520"/>
      <c r="AW22" s="520"/>
      <c r="AX22" s="520"/>
      <c r="AY22" s="520"/>
      <c r="AZ22" s="520"/>
      <c r="BA22" s="1179">
        <v>0</v>
      </c>
    </row>
    <row s="1533" customFormat="1" customHeight="1" ht="14.25" hidden="1">
      <c r="M23" s="1532"/>
      <c r="N23" s="1532"/>
      <c r="O23" s="1533" t="s">
        <v>502</v>
      </c>
      <c r="P23" s="1532"/>
      <c r="Q23" s="1534"/>
      <c r="R23" s="1534"/>
      <c r="Y23" s="1531" t="s">
        <v>504</v>
      </c>
      <c r="AA23" s="1531" t="s">
        <v>505</v>
      </c>
      <c r="AB23" s="1531" t="s">
        <v>553</v>
      </c>
      <c r="AE23" s="1531" t="s">
        <v>554</v>
      </c>
      <c r="AF23" s="1531" t="s">
        <v>553</v>
      </c>
      <c r="AI23" s="1531" t="s">
        <v>555</v>
      </c>
      <c r="AJ23" s="1531" t="s">
        <v>553</v>
      </c>
      <c r="AM23" s="1531" t="s">
        <v>556</v>
      </c>
      <c r="AQ23" s="1531" t="s">
        <v>504</v>
      </c>
      <c r="AS23" s="1531" t="s">
        <v>505</v>
      </c>
      <c r="AV23" s="1535"/>
      <c r="AW23" s="1535"/>
      <c r="AX23" s="1535"/>
      <c r="AY23" s="1535"/>
      <c r="AZ23" s="1535"/>
      <c r="BA23" s="1531">
        <v>0</v>
      </c>
    </row>
    <row customHeight="1" ht="14.25" hidden="1">
      <c r="O24" s="1388"/>
      <c r="AV24" s="520"/>
      <c r="AW24" s="520"/>
      <c r="AX24" s="520"/>
      <c r="AY24" s="520"/>
      <c r="AZ24" s="520"/>
      <c r="BA24" s="1179">
        <v>0</v>
      </c>
    </row>
    <row customHeight="1" ht="14.25" hidden="1">
      <c r="O25" s="1388"/>
      <c r="AV25" s="520"/>
      <c r="AW25" s="520"/>
      <c r="AX25" s="520"/>
      <c r="AY25" s="520"/>
      <c r="AZ25" s="520"/>
      <c r="BA25" s="1179">
        <v>0</v>
      </c>
    </row>
    <row customHeight="1" ht="14.699999999999998">
      <c r="Q26" s="315"/>
      <c r="R26" s="400"/>
      <c r="S26" s="1299"/>
      <c r="T26" s="387"/>
      <c r="U26" s="387"/>
      <c r="V26" s="533"/>
      <c r="W26" s="533"/>
      <c r="X26" s="533"/>
      <c r="Y26" s="533"/>
      <c r="Z26" s="533"/>
      <c r="AA26" s="533"/>
      <c r="AB26" s="533"/>
      <c r="AC26" s="533"/>
      <c r="AD26" s="533"/>
      <c r="AE26" s="533"/>
      <c r="AF26" s="533"/>
      <c r="AG26" s="533"/>
      <c r="AH26" s="533"/>
      <c r="AI26" s="533"/>
      <c r="AJ26" s="533"/>
      <c r="AK26" s="533"/>
      <c r="AL26" s="533"/>
      <c r="AM26" s="533"/>
      <c r="AN26" s="533"/>
      <c r="AO26" s="533"/>
      <c r="AP26" s="533"/>
      <c r="AQ26" s="533"/>
      <c r="AR26" s="533"/>
      <c r="AS26" s="533"/>
      <c r="BA26" s="1179">
        <v>14</v>
      </c>
    </row>
    <row customHeight="1" ht="27.299999999999997">
      <c r="Q27" s="315"/>
      <c r="R27" s="400"/>
      <c r="S27" s="227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72"/>
      <c r="U27" s="2272"/>
      <c r="V27" s="2272"/>
      <c r="W27" s="2272"/>
      <c r="X27" s="2272"/>
      <c r="Y27" s="2272"/>
      <c r="Z27" s="2272"/>
      <c r="AA27" s="2272"/>
      <c r="AB27" s="2272"/>
      <c r="AC27" s="2272"/>
      <c r="AD27" s="2272"/>
      <c r="AE27" s="2272"/>
      <c r="AF27" s="2272"/>
      <c r="AG27" s="2272"/>
      <c r="AH27" s="2272"/>
      <c r="AI27" s="2272"/>
      <c r="AJ27" s="2272"/>
      <c r="AK27" s="2272"/>
      <c r="AL27" s="2272"/>
      <c r="AM27" s="2272"/>
      <c r="AN27" s="2272"/>
      <c r="AO27" s="2272"/>
      <c r="AP27" s="2272"/>
      <c r="AQ27" s="2272"/>
      <c r="AR27" s="2272"/>
      <c r="AS27" s="1267"/>
      <c r="BA27" s="1179">
        <v>26</v>
      </c>
    </row>
    <row customHeight="1" ht="14.699999999999998">
      <c r="Q28" s="315"/>
      <c r="R28" s="400"/>
      <c r="S28" s="2273" t="str">
        <f>IF(org=0,"Не определено",org)</f>
        <v>АО "ДГК"</v>
      </c>
      <c r="T28" s="2273"/>
      <c r="U28" s="2273"/>
      <c r="V28" s="2273"/>
      <c r="W28" s="2273"/>
      <c r="X28" s="2273"/>
      <c r="Y28" s="2273"/>
      <c r="Z28" s="2273"/>
      <c r="AA28" s="2273"/>
      <c r="AB28" s="2273"/>
      <c r="AC28" s="2273"/>
      <c r="AD28" s="2273"/>
      <c r="AE28" s="2273"/>
      <c r="AF28" s="2273"/>
      <c r="AG28" s="2273"/>
      <c r="AH28" s="2273"/>
      <c r="AI28" s="2273"/>
      <c r="AJ28" s="2273"/>
      <c r="AK28" s="2273"/>
      <c r="AL28" s="2273"/>
      <c r="AM28" s="2273"/>
      <c r="AN28" s="2273"/>
      <c r="AO28" s="2273"/>
      <c r="AP28" s="2273"/>
      <c r="AQ28" s="2273"/>
      <c r="AR28" s="2273"/>
      <c r="AS28" s="1267"/>
      <c r="BA28" s="1179">
        <v>14</v>
      </c>
    </row>
    <row customHeight="1" ht="14.25" hidden="1">
      <c r="Q29" s="315"/>
      <c r="R29" s="400"/>
      <c r="S29" s="1299"/>
      <c r="T29" s="387"/>
      <c r="U29" s="387"/>
      <c r="V29" s="346"/>
      <c r="W29" s="346"/>
      <c r="X29" s="346"/>
      <c r="Y29" s="346"/>
      <c r="Z29" s="346"/>
      <c r="AA29" s="346"/>
      <c r="AB29" s="346"/>
      <c r="AC29" s="346"/>
      <c r="AD29" s="346"/>
      <c r="AE29" s="346"/>
      <c r="AF29" s="346"/>
      <c r="AG29" s="346"/>
      <c r="AH29" s="346"/>
      <c r="AI29" s="346"/>
      <c r="AJ29" s="346"/>
      <c r="AK29" s="346"/>
      <c r="AL29" s="346"/>
      <c r="AM29" s="346"/>
      <c r="AN29" s="346"/>
      <c r="AO29" s="346"/>
      <c r="AP29" s="346"/>
      <c r="AQ29" s="346"/>
      <c r="AR29" s="346"/>
      <c r="AS29" s="346"/>
      <c r="AT29" s="533"/>
      <c r="BA29" s="1179">
        <v>0</v>
      </c>
    </row>
    <row s="1877" customFormat="1" customHeight="1" ht="25.5" hidden="1">
      <c r="A30" s="1392"/>
      <c r="B30" s="1392"/>
      <c r="C30" s="1392"/>
      <c r="D30" s="1392"/>
      <c r="E30" s="1392"/>
      <c r="F30" s="1392"/>
      <c r="G30" s="1392"/>
      <c r="H30" s="1392"/>
      <c r="I30" s="1392"/>
      <c r="J30" s="1392"/>
      <c r="K30" s="1392"/>
      <c r="L30" s="1393"/>
      <c r="M30" s="1392"/>
      <c r="N30" s="1392"/>
      <c r="O30" s="1392"/>
      <c r="P30" s="1392"/>
      <c r="Q30" s="1392"/>
      <c r="S30" s="2274" t="s">
        <v>42</v>
      </c>
      <c r="T30" s="2274"/>
      <c r="U30" s="1396"/>
      <c r="V30" s="2275" t="str">
        <f>IF(TITLE_NAME_OR_PR_CHANGE="",IF(TITLE_NAME_OR_PR="","",TITLE_NAME_OR_PR),TITLE_NAME_OR_PR_CHANGE)</f>
        <v/>
      </c>
      <c r="W30" s="2275"/>
      <c r="X30" s="2275"/>
      <c r="Y30" s="2275"/>
      <c r="Z30" s="2275"/>
      <c r="AA30" s="350"/>
      <c r="AB30" s="2275" t="str">
        <f>IF(TITLE_NAME_OR_PR_CHANGE="",IF(TITLE_NAME_OR_PR="","",TITLE_NAME_OR_PR),TITLE_NAME_OR_PR_CHANGE)</f>
        <v/>
      </c>
      <c r="AC30" s="2275"/>
      <c r="AD30" s="2275"/>
      <c r="AE30" s="2275"/>
      <c r="AF30" s="2275"/>
      <c r="AG30" s="2275"/>
      <c r="AH30" s="2275"/>
      <c r="AI30" s="2275"/>
      <c r="AJ30" s="2275"/>
      <c r="AK30" s="2275"/>
      <c r="AL30" s="2275"/>
      <c r="AM30" s="2275"/>
      <c r="AN30" s="2275"/>
      <c r="AO30" s="2275"/>
      <c r="AP30" s="2275"/>
      <c r="AQ30" s="2275"/>
      <c r="AR30" s="2275"/>
      <c r="AS30" s="350"/>
      <c r="AT30" s="350"/>
      <c r="AU30" s="304"/>
      <c r="AV30" s="392"/>
      <c r="AW30" s="392"/>
      <c r="AX30" s="392"/>
      <c r="AY30" s="392"/>
      <c r="AZ30" s="392"/>
      <c r="BA30" s="442">
        <v>0</v>
      </c>
    </row>
    <row s="1877" customFormat="1" customHeight="1" ht="18.75" hidden="1">
      <c r="A31" s="1392"/>
      <c r="B31" s="1392"/>
      <c r="C31" s="1392"/>
      <c r="D31" s="1392"/>
      <c r="E31" s="1392"/>
      <c r="F31" s="1392"/>
      <c r="G31" s="1392"/>
      <c r="H31" s="1392"/>
      <c r="I31" s="1392"/>
      <c r="J31" s="1392"/>
      <c r="K31" s="1392"/>
      <c r="L31" s="1393"/>
      <c r="M31" s="1392"/>
      <c r="N31" s="1392"/>
      <c r="O31" s="1392"/>
      <c r="P31" s="1392"/>
      <c r="Q31" s="1392"/>
      <c r="S31" s="2274" t="s">
        <v>507</v>
      </c>
      <c r="T31" s="2274"/>
      <c r="U31" s="1396"/>
      <c r="V31" s="2288" t="str">
        <f>IF(TITLE_DATE_PR_CHANGE="",IF(TITLE_DATE_PR="","",TITLE_DATE_PR),TITLE_DATE_PR_CHANGE)</f>
        <v/>
      </c>
      <c r="W31" s="2288"/>
      <c r="X31" s="2288"/>
      <c r="Y31" s="2288"/>
      <c r="Z31" s="2288"/>
      <c r="AA31" s="350"/>
      <c r="AB31" s="2288" t="str">
        <f>IF(TITLE_DATE_PR_CHANGE="",IF(TITLE_DATE_PR="","",TITLE_DATE_PR),TITLE_DATE_PR_CHANGE)</f>
        <v/>
      </c>
      <c r="AC31" s="2288"/>
      <c r="AD31" s="2288"/>
      <c r="AE31" s="2288"/>
      <c r="AF31" s="2288"/>
      <c r="AG31" s="2288"/>
      <c r="AH31" s="2288"/>
      <c r="AI31" s="2288"/>
      <c r="AJ31" s="2288"/>
      <c r="AK31" s="2288"/>
      <c r="AL31" s="2288"/>
      <c r="AM31" s="2288"/>
      <c r="AN31" s="2288"/>
      <c r="AO31" s="2288"/>
      <c r="AP31" s="2288"/>
      <c r="AQ31" s="2288"/>
      <c r="AR31" s="2288"/>
      <c r="AS31" s="350"/>
      <c r="AT31" s="350"/>
      <c r="AU31" s="304"/>
      <c r="AV31" s="392"/>
      <c r="AW31" s="392"/>
      <c r="AX31" s="392"/>
      <c r="AY31" s="392"/>
      <c r="AZ31" s="392"/>
      <c r="BA31" s="442">
        <v>0</v>
      </c>
    </row>
    <row s="1877" customFormat="1" customHeight="1" ht="18.75" hidden="1">
      <c r="A32" s="1392"/>
      <c r="B32" s="1392"/>
      <c r="C32" s="1392"/>
      <c r="D32" s="1392"/>
      <c r="E32" s="1392"/>
      <c r="F32" s="1392"/>
      <c r="G32" s="1392"/>
      <c r="H32" s="1392"/>
      <c r="I32" s="1392"/>
      <c r="J32" s="1392"/>
      <c r="K32" s="1392"/>
      <c r="L32" s="1393"/>
      <c r="M32" s="1392"/>
      <c r="N32" s="1392"/>
      <c r="O32" s="1392"/>
      <c r="P32" s="1392"/>
      <c r="Q32" s="1392"/>
      <c r="S32" s="2274" t="s">
        <v>508</v>
      </c>
      <c r="T32" s="2274"/>
      <c r="U32" s="1396"/>
      <c r="V32" s="2275" t="str">
        <f>IF(TITLE_NUMBER_PR_CHANGE="",IF(TITLE_NUMBER_PR="","",TITLE_NUMBER_PR),TITLE_NUMBER_PR_CHANGE)</f>
        <v/>
      </c>
      <c r="W32" s="2275"/>
      <c r="X32" s="2275"/>
      <c r="Y32" s="2275"/>
      <c r="Z32" s="2275"/>
      <c r="AA32" s="350"/>
      <c r="AB32" s="2275" t="str">
        <f>IF(TITLE_NUMBER_PR_CHANGE="",IF(TITLE_NUMBER_PR="","",TITLE_NUMBER_PR),TITLE_NUMBER_PR_CHANGE)</f>
        <v/>
      </c>
      <c r="AC32" s="2275"/>
      <c r="AD32" s="2275"/>
      <c r="AE32" s="2275"/>
      <c r="AF32" s="2275"/>
      <c r="AG32" s="2275"/>
      <c r="AH32" s="2275"/>
      <c r="AI32" s="2275"/>
      <c r="AJ32" s="2275"/>
      <c r="AK32" s="2275"/>
      <c r="AL32" s="2275"/>
      <c r="AM32" s="2275"/>
      <c r="AN32" s="2275"/>
      <c r="AO32" s="2275"/>
      <c r="AP32" s="2275"/>
      <c r="AQ32" s="2275"/>
      <c r="AR32" s="2275"/>
      <c r="AS32" s="350"/>
      <c r="AT32" s="350"/>
      <c r="AU32" s="304"/>
      <c r="AV32" s="392"/>
      <c r="AW32" s="392"/>
      <c r="AX32" s="392"/>
      <c r="AY32" s="392"/>
      <c r="AZ32" s="392"/>
      <c r="BA32" s="442">
        <v>0</v>
      </c>
    </row>
    <row s="1877" customFormat="1" customHeight="1" ht="18.75" hidden="1">
      <c r="A33" s="1392"/>
      <c r="B33" s="1392"/>
      <c r="C33" s="1392"/>
      <c r="D33" s="1392"/>
      <c r="E33" s="1392"/>
      <c r="F33" s="1392"/>
      <c r="G33" s="1392"/>
      <c r="H33" s="1392"/>
      <c r="I33" s="1392"/>
      <c r="J33" s="1392"/>
      <c r="K33" s="1392"/>
      <c r="L33" s="1393"/>
      <c r="M33" s="1392"/>
      <c r="N33" s="1392"/>
      <c r="O33" s="1392"/>
      <c r="P33" s="1392"/>
      <c r="Q33" s="1392"/>
      <c r="S33" s="2274" t="s">
        <v>43</v>
      </c>
      <c r="T33" s="2274"/>
      <c r="U33" s="1396"/>
      <c r="V33" s="2275" t="str">
        <f>IF(TITLE_IST_PUB_CHANGE="",IF(TITLE_IST_PUB="","",TITLE_IST_PUB),TITLE_IST_PUB_CHANGE)</f>
        <v/>
      </c>
      <c r="W33" s="2275"/>
      <c r="X33" s="2275"/>
      <c r="Y33" s="2275"/>
      <c r="Z33" s="2275"/>
      <c r="AA33" s="350"/>
      <c r="AB33" s="2275" t="str">
        <f>IF(TITLE_IST_PUB_CHANGE="",IF(TITLE_IST_PUB="","",TITLE_IST_PUB),TITLE_IST_PUB_CHANGE)</f>
        <v/>
      </c>
      <c r="AC33" s="2275"/>
      <c r="AD33" s="2275"/>
      <c r="AE33" s="2275"/>
      <c r="AF33" s="2275"/>
      <c r="AG33" s="2275"/>
      <c r="AH33" s="2275"/>
      <c r="AI33" s="2275"/>
      <c r="AJ33" s="2275"/>
      <c r="AK33" s="2275"/>
      <c r="AL33" s="2275"/>
      <c r="AM33" s="2275"/>
      <c r="AN33" s="2275"/>
      <c r="AO33" s="2275"/>
      <c r="AP33" s="2275"/>
      <c r="AQ33" s="2275"/>
      <c r="AR33" s="2275"/>
      <c r="AS33" s="350"/>
      <c r="AT33" s="350"/>
      <c r="AU33" s="304"/>
      <c r="AV33" s="392"/>
      <c r="AW33" s="392"/>
      <c r="AX33" s="392"/>
      <c r="AY33" s="392"/>
      <c r="AZ33" s="392"/>
      <c r="BA33" s="442">
        <v>0</v>
      </c>
    </row>
    <row customHeight="1" ht="14.25" hidden="1">
      <c r="Q34" s="315"/>
      <c r="R34" s="400"/>
      <c r="S34" s="1299"/>
      <c r="T34" s="387"/>
      <c r="U34" s="387"/>
      <c r="V34" s="346"/>
      <c r="W34" s="346"/>
      <c r="X34" s="346"/>
      <c r="Y34" s="346"/>
      <c r="Z34" s="346"/>
      <c r="AA34" s="346"/>
      <c r="AB34" s="346"/>
      <c r="AC34" s="346"/>
      <c r="AD34" s="346"/>
      <c r="AE34" s="346"/>
      <c r="AF34" s="346"/>
      <c r="AG34" s="346"/>
      <c r="AH34" s="346"/>
      <c r="AI34" s="346"/>
      <c r="AJ34" s="346"/>
      <c r="AK34" s="346"/>
      <c r="AL34" s="346"/>
      <c r="AM34" s="346"/>
      <c r="AN34" s="346"/>
      <c r="AO34" s="346"/>
      <c r="AP34" s="346"/>
      <c r="AQ34" s="346"/>
      <c r="AR34" s="346"/>
      <c r="AS34" s="346"/>
      <c r="AT34" s="533"/>
      <c r="BA34" s="1179">
        <v>0</v>
      </c>
    </row>
    <row s="1877" customFormat="1" customHeight="1" ht="18.75" hidden="1">
      <c r="A35" s="1392"/>
      <c r="B35" s="1392"/>
      <c r="C35" s="1392"/>
      <c r="D35" s="1392"/>
      <c r="E35" s="1392"/>
      <c r="F35" s="1392"/>
      <c r="G35" s="1392"/>
      <c r="H35" s="1392"/>
      <c r="I35" s="1392"/>
      <c r="J35" s="1392"/>
      <c r="K35" s="1392"/>
      <c r="L35" s="1393"/>
      <c r="M35" s="1392"/>
      <c r="N35" s="1392"/>
      <c r="O35" s="1392"/>
      <c r="P35" s="1392"/>
      <c r="Q35" s="1392"/>
      <c r="S35" s="2274" t="s">
        <v>507</v>
      </c>
      <c r="T35" s="2274"/>
      <c r="U35" s="1396"/>
      <c r="V35" s="2288" t="str">
        <f>IF(TITLE_DATE_PR_CHANGE="",IF(TITLE_DATE_PR="","",TITLE_DATE_PR),TITLE_DATE_PR_CHANGE)</f>
        <v/>
      </c>
      <c r="W35" s="2288"/>
      <c r="X35" s="2288"/>
      <c r="Y35" s="2288"/>
      <c r="Z35" s="2288"/>
      <c r="AA35" s="350"/>
      <c r="AB35" s="2288" t="str">
        <f>IF(TITLE_DATE_PR_CHANGE="",IF(TITLE_DATE_PR="","",TITLE_DATE_PR),TITLE_DATE_PR_CHANGE)</f>
        <v/>
      </c>
      <c r="AC35" s="2288"/>
      <c r="AD35" s="2288"/>
      <c r="AE35" s="2288"/>
      <c r="AF35" s="2288"/>
      <c r="AG35" s="2288"/>
      <c r="AH35" s="2288"/>
      <c r="AI35" s="2288"/>
      <c r="AJ35" s="2288"/>
      <c r="AK35" s="2288"/>
      <c r="AL35" s="2288"/>
      <c r="AM35" s="2288"/>
      <c r="AN35" s="2288"/>
      <c r="AO35" s="2288"/>
      <c r="AP35" s="2288"/>
      <c r="AQ35" s="2288"/>
      <c r="AR35" s="2288"/>
      <c r="AS35" s="350"/>
      <c r="AT35" s="350"/>
      <c r="AU35" s="304"/>
      <c r="AV35" s="392"/>
      <c r="AW35" s="392"/>
      <c r="AX35" s="392"/>
      <c r="AY35" s="392"/>
      <c r="AZ35" s="392"/>
      <c r="BA35" s="442">
        <v>0</v>
      </c>
    </row>
    <row s="1877" customFormat="1" customHeight="1" ht="18" hidden="1">
      <c r="A36" s="1392"/>
      <c r="B36" s="1392"/>
      <c r="C36" s="1392"/>
      <c r="D36" s="1392"/>
      <c r="E36" s="1392"/>
      <c r="F36" s="1392"/>
      <c r="G36" s="1392"/>
      <c r="H36" s="1392"/>
      <c r="I36" s="1392"/>
      <c r="J36" s="1392"/>
      <c r="K36" s="1392"/>
      <c r="L36" s="1393"/>
      <c r="M36" s="1392"/>
      <c r="N36" s="1392"/>
      <c r="O36" s="1392"/>
      <c r="P36" s="1392"/>
      <c r="Q36" s="1392"/>
      <c r="S36" s="2274" t="s">
        <v>508</v>
      </c>
      <c r="T36" s="2274"/>
      <c r="U36" s="1396"/>
      <c r="V36" s="2275" t="str">
        <f>IF(TITLE_NUMBER_PR_CHANGE="",IF(TITLE_NUMBER_PR="","",TITLE_NUMBER_PR),TITLE_NUMBER_PR_CHANGE)</f>
        <v/>
      </c>
      <c r="W36" s="2275"/>
      <c r="X36" s="2275"/>
      <c r="Y36" s="2275"/>
      <c r="Z36" s="2275"/>
      <c r="AA36" s="350"/>
      <c r="AB36" s="2275" t="str">
        <f>IF(TITLE_NUMBER_PR_CHANGE="",IF(TITLE_NUMBER_PR="","",TITLE_NUMBER_PR),TITLE_NUMBER_PR_CHANGE)</f>
        <v/>
      </c>
      <c r="AC36" s="2275"/>
      <c r="AD36" s="2275"/>
      <c r="AE36" s="2275"/>
      <c r="AF36" s="2275"/>
      <c r="AG36" s="2275"/>
      <c r="AH36" s="2275"/>
      <c r="AI36" s="2275"/>
      <c r="AJ36" s="2275"/>
      <c r="AK36" s="2275"/>
      <c r="AL36" s="2275"/>
      <c r="AM36" s="2275"/>
      <c r="AN36" s="2275"/>
      <c r="AO36" s="2275"/>
      <c r="AP36" s="2275"/>
      <c r="AQ36" s="2275"/>
      <c r="AR36" s="2275"/>
      <c r="AS36" s="350"/>
      <c r="AT36" s="350"/>
      <c r="AU36" s="304"/>
      <c r="AV36" s="392"/>
      <c r="AW36" s="392"/>
      <c r="AX36" s="392"/>
      <c r="AY36" s="392"/>
      <c r="AZ36" s="392"/>
      <c r="BA36" s="442">
        <v>0</v>
      </c>
    </row>
    <row s="1877" customFormat="1" customHeight="1" ht="1.05">
      <c r="A37" s="1392"/>
      <c r="B37" s="1392"/>
      <c r="C37" s="1392"/>
      <c r="D37" s="1392"/>
      <c r="E37" s="1392"/>
      <c r="F37" s="1392"/>
      <c r="G37" s="1392"/>
      <c r="H37" s="1392"/>
      <c r="I37" s="1392"/>
      <c r="J37" s="1392"/>
      <c r="K37" s="1392"/>
      <c r="L37" s="1393"/>
      <c r="M37" s="1392"/>
      <c r="N37" s="1392"/>
      <c r="O37" s="1392"/>
      <c r="P37" s="1392"/>
      <c r="Q37" s="1392"/>
      <c r="S37" s="347"/>
      <c r="T37" s="347"/>
      <c r="U37" s="1364"/>
      <c r="V37" s="350"/>
      <c r="W37" s="350"/>
      <c r="X37" s="350"/>
      <c r="Y37" s="350"/>
      <c r="Z37" s="350"/>
      <c r="AA37" s="302" t="s">
        <v>511</v>
      </c>
      <c r="AB37" s="350"/>
      <c r="AC37" s="350"/>
      <c r="AD37" s="350"/>
      <c r="AE37" s="350"/>
      <c r="AF37" s="350"/>
      <c r="AG37" s="350"/>
      <c r="AH37" s="350"/>
      <c r="AI37" s="350"/>
      <c r="AJ37" s="350"/>
      <c r="AK37" s="350"/>
      <c r="AL37" s="350"/>
      <c r="AM37" s="350"/>
      <c r="AN37" s="350"/>
      <c r="AO37" s="350"/>
      <c r="AP37" s="350"/>
      <c r="AQ37" s="350"/>
      <c r="AR37" s="350"/>
      <c r="AS37" s="302" t="s">
        <v>511</v>
      </c>
      <c r="AV37" s="392"/>
      <c r="AW37" s="392"/>
      <c r="AX37" s="392"/>
      <c r="AY37" s="392"/>
      <c r="AZ37" s="392"/>
      <c r="BA37" s="442">
        <v>1</v>
      </c>
    </row>
    <row customHeight="1" ht="14.699999999999998">
      <c r="Q38" s="315"/>
      <c r="R38" s="400"/>
      <c r="S38" s="1299"/>
      <c r="T38" s="387"/>
      <c r="U38" s="1268"/>
      <c r="V38" s="2276"/>
      <c r="W38" s="2276"/>
      <c r="X38" s="2276"/>
      <c r="Y38" s="2276"/>
      <c r="Z38" s="2276"/>
      <c r="AA38" s="2276"/>
      <c r="AB38" s="2276"/>
      <c r="AC38" s="2276"/>
      <c r="AD38" s="2276"/>
      <c r="AE38" s="2276"/>
      <c r="AF38" s="2276"/>
      <c r="AG38" s="2276"/>
      <c r="AH38" s="2276"/>
      <c r="AI38" s="2276"/>
      <c r="AJ38" s="2276"/>
      <c r="AK38" s="2276"/>
      <c r="AL38" s="2276"/>
      <c r="AM38" s="2276"/>
      <c r="AN38" s="2276"/>
      <c r="AO38" s="2276"/>
      <c r="AP38" s="2276"/>
      <c r="AQ38" s="2276"/>
      <c r="AR38" s="2276"/>
      <c r="AS38" s="2276"/>
      <c r="BA38" s="1179">
        <v>14</v>
      </c>
    </row>
    <row customHeight="1" ht="14.699999999999998">
      <c r="Q39" s="315"/>
      <c r="R39" s="400"/>
      <c r="S39" s="2151" t="s">
        <v>384</v>
      </c>
      <c r="T39" s="2151"/>
      <c r="U39" s="2151"/>
      <c r="V39" s="2151"/>
      <c r="W39" s="2151"/>
      <c r="X39" s="2151"/>
      <c r="Y39" s="2151"/>
      <c r="Z39" s="2151"/>
      <c r="AA39" s="2151"/>
      <c r="AB39" s="2199"/>
      <c r="AC39" s="2199"/>
      <c r="AD39" s="2199"/>
      <c r="AE39" s="2199"/>
      <c r="AF39" s="2151"/>
      <c r="AG39" s="2151"/>
      <c r="AH39" s="2151"/>
      <c r="AI39" s="2151"/>
      <c r="AJ39" s="2151"/>
      <c r="AK39" s="2151"/>
      <c r="AL39" s="2151"/>
      <c r="AM39" s="2151"/>
      <c r="AN39" s="2151"/>
      <c r="AO39" s="2151"/>
      <c r="AP39" s="2151"/>
      <c r="AQ39" s="2151"/>
      <c r="AR39" s="2151"/>
      <c r="AS39" s="2151"/>
      <c r="AT39" s="2151"/>
      <c r="AU39" s="2151" t="s">
        <v>385</v>
      </c>
      <c r="BA39" s="1179">
        <v>14</v>
      </c>
    </row>
    <row customHeight="1" ht="14.699999999999998">
      <c r="Q40" s="315"/>
      <c r="R40" s="400"/>
      <c r="S40" s="2297" t="s">
        <v>88</v>
      </c>
      <c r="T40" s="2233" t="s">
        <v>557</v>
      </c>
      <c r="U40" s="325"/>
      <c r="V40" s="2299"/>
      <c r="W40" s="2299"/>
      <c r="X40" s="2299"/>
      <c r="Y40" s="2299"/>
      <c r="Z40" s="2300"/>
      <c r="AA40" s="2360" t="s">
        <v>514</v>
      </c>
      <c r="AB40" s="2352" t="s">
        <v>558</v>
      </c>
      <c r="AC40" s="2315"/>
      <c r="AD40" s="2315"/>
      <c r="AE40" s="2353"/>
      <c r="AF40" s="2315" t="s">
        <v>559</v>
      </c>
      <c r="AG40" s="2315"/>
      <c r="AH40" s="2315"/>
      <c r="AI40" s="2353"/>
      <c r="AJ40" s="2352" t="s">
        <v>560</v>
      </c>
      <c r="AK40" s="2315"/>
      <c r="AL40" s="2315"/>
      <c r="AM40" s="2353"/>
      <c r="AN40" s="2352" t="s">
        <v>513</v>
      </c>
      <c r="AO40" s="2315"/>
      <c r="AP40" s="2299"/>
      <c r="AQ40" s="2299"/>
      <c r="AR40" s="2300"/>
      <c r="AS40" s="2301" t="s">
        <v>514</v>
      </c>
      <c r="AT40" s="2304" t="s">
        <v>516</v>
      </c>
      <c r="AU40" s="2151"/>
      <c r="BA40" s="1179">
        <v>14</v>
      </c>
    </row>
    <row customHeight="1" ht="35.699999999999996">
      <c r="Q41" s="315"/>
      <c r="R41" s="400"/>
      <c r="S41" s="2297"/>
      <c r="T41" s="2233"/>
      <c r="U41" s="1055"/>
      <c r="V41" s="2151" t="s">
        <v>561</v>
      </c>
      <c r="W41" s="2151"/>
      <c r="X41" s="2318" t="s">
        <v>520</v>
      </c>
      <c r="Y41" s="2337"/>
      <c r="Z41" s="2338"/>
      <c r="AA41" s="2361"/>
      <c r="AB41" s="2354"/>
      <c r="AC41" s="2355"/>
      <c r="AD41" s="2355"/>
      <c r="AE41" s="2356"/>
      <c r="AF41" s="2355"/>
      <c r="AG41" s="2355"/>
      <c r="AH41" s="2355"/>
      <c r="AI41" s="2356"/>
      <c r="AJ41" s="2354"/>
      <c r="AK41" s="2355"/>
      <c r="AL41" s="2355"/>
      <c r="AM41" s="2355"/>
      <c r="AN41" s="2151" t="s">
        <v>561</v>
      </c>
      <c r="AO41" s="2151"/>
      <c r="AP41" s="2337" t="s">
        <v>520</v>
      </c>
      <c r="AQ41" s="2337"/>
      <c r="AR41" s="2338"/>
      <c r="AS41" s="2302"/>
      <c r="AT41" s="2305"/>
      <c r="AU41" s="2151"/>
      <c r="BA41" s="1179">
        <v>34</v>
      </c>
    </row>
    <row customHeight="1" ht="14.699999999999998">
      <c r="Q42" s="315"/>
      <c r="R42" s="400"/>
      <c r="S42" s="2297"/>
      <c r="T42" s="2233"/>
      <c r="U42" s="1055"/>
      <c r="V42" s="2364" t="str">
        <f>IF($AN$42&lt;&gt;"",$AN$42,"")</f>
        <v/>
      </c>
      <c r="W42" s="2364"/>
      <c r="X42" s="2319"/>
      <c r="Y42" s="2339"/>
      <c r="Z42" s="2340"/>
      <c r="AA42" s="2361"/>
      <c r="AB42" s="2354"/>
      <c r="AC42" s="2355"/>
      <c r="AD42" s="2355"/>
      <c r="AE42" s="2356"/>
      <c r="AF42" s="2355"/>
      <c r="AG42" s="2355"/>
      <c r="AH42" s="2355"/>
      <c r="AI42" s="2356"/>
      <c r="AJ42" s="2354"/>
      <c r="AK42" s="2355"/>
      <c r="AL42" s="2355"/>
      <c r="AM42" s="2355"/>
      <c r="AN42" s="2363"/>
      <c r="AO42" s="2363"/>
      <c r="AP42" s="2339"/>
      <c r="AQ42" s="2339"/>
      <c r="AR42" s="2340"/>
      <c r="AS42" s="2302"/>
      <c r="AT42" s="2305"/>
      <c r="AU42" s="2151"/>
      <c r="BA42" s="1179">
        <v>14</v>
      </c>
    </row>
    <row customHeight="1" ht="14.699999999999998">
      <c r="A43" s="1394"/>
      <c r="B43" s="1394" t="s">
        <v>223</v>
      </c>
      <c r="C43" s="1394" t="s">
        <v>224</v>
      </c>
      <c r="D43" s="1394" t="s">
        <v>225</v>
      </c>
      <c r="E43" s="1388" t="s">
        <v>521</v>
      </c>
      <c r="F43" s="1388" t="s">
        <v>522</v>
      </c>
      <c r="G43" s="1388" t="s">
        <v>523</v>
      </c>
      <c r="H43" s="1388" t="s">
        <v>524</v>
      </c>
      <c r="I43" s="1388" t="s">
        <v>525</v>
      </c>
      <c r="J43" s="1388" t="s">
        <v>526</v>
      </c>
      <c r="K43" s="1388" t="s">
        <v>527</v>
      </c>
      <c r="L43" s="1388" t="s">
        <v>502</v>
      </c>
      <c r="Q43" s="315"/>
      <c r="R43" s="400"/>
      <c r="S43" s="2297"/>
      <c r="T43" s="2233"/>
      <c r="U43" s="326"/>
      <c r="V43" s="1354" t="s">
        <v>562</v>
      </c>
      <c r="W43" s="1354" t="s">
        <v>563</v>
      </c>
      <c r="X43" s="1362" t="s">
        <v>530</v>
      </c>
      <c r="Y43" s="2294" t="s">
        <v>531</v>
      </c>
      <c r="Z43" s="2295"/>
      <c r="AA43" s="2362"/>
      <c r="AB43" s="2357"/>
      <c r="AC43" s="2358"/>
      <c r="AD43" s="2358"/>
      <c r="AE43" s="2359"/>
      <c r="AF43" s="2358"/>
      <c r="AG43" s="2358"/>
      <c r="AH43" s="2358"/>
      <c r="AI43" s="2359"/>
      <c r="AJ43" s="2357"/>
      <c r="AK43" s="2358"/>
      <c r="AL43" s="2358"/>
      <c r="AM43" s="2359"/>
      <c r="AN43" s="1884" t="s">
        <v>562</v>
      </c>
      <c r="AO43" s="1884" t="s">
        <v>563</v>
      </c>
      <c r="AP43" s="1362" t="s">
        <v>530</v>
      </c>
      <c r="AQ43" s="2294" t="s">
        <v>531</v>
      </c>
      <c r="AR43" s="2295"/>
      <c r="AS43" s="2303"/>
      <c r="AT43" s="2306"/>
      <c r="AU43" s="2151"/>
      <c r="BA43" s="1179">
        <v>14</v>
      </c>
    </row>
    <row s="1665" customFormat="1" customHeight="1" ht="11.25" hidden="1">
      <c r="A44" s="1394"/>
      <c r="B44" s="1394"/>
      <c r="C44" s="1394"/>
      <c r="D44" s="1394"/>
      <c r="E44" s="1394"/>
      <c r="F44" s="1394"/>
      <c r="G44" s="1394"/>
      <c r="H44" s="1394"/>
      <c r="I44" s="1394"/>
      <c r="J44" s="1394"/>
      <c r="K44" s="1394"/>
      <c r="L44" s="1388"/>
      <c r="M44" s="1386"/>
      <c r="N44" s="1386"/>
      <c r="O44" s="1386"/>
      <c r="P44" s="534"/>
      <c r="Q44" s="1278"/>
      <c r="R44" s="1278">
        <v>1</v>
      </c>
      <c r="S44" s="1301" t="s">
        <v>170</v>
      </c>
      <c r="T44" s="1279" t="s">
        <v>103</v>
      </c>
      <c r="U44" s="1269" t="str">
        <f>OFFSET(U44,0,-1)</f>
        <v>2</v>
      </c>
      <c r="V44" s="1359">
        <f>OFFSET(V44,0,-1)+1</f>
        <v>3</v>
      </c>
      <c r="W44" s="1359">
        <f>OFFSET(W44,0,-1)+1</f>
        <v>4</v>
      </c>
      <c r="X44" s="1359">
        <f>OFFSET(X44,0,-1)+1</f>
        <v>5</v>
      </c>
      <c r="Y44" s="2296">
        <f>OFFSET(Y44,0,-1)+1</f>
        <v>6</v>
      </c>
      <c r="Z44" s="2296"/>
      <c r="AA44" s="1359">
        <f>OFFSET(AA44,0,-2)+1</f>
        <v>7</v>
      </c>
      <c r="AB44" s="1365">
        <f>OFFSET(AB44,0,-1)+1</f>
        <v>8</v>
      </c>
      <c r="AC44" s="1365"/>
      <c r="AD44" s="1365"/>
      <c r="AE44" s="1365"/>
      <c r="AF44" s="1359"/>
      <c r="AG44" s="1359"/>
      <c r="AH44" s="1359"/>
      <c r="AI44" s="1359"/>
      <c r="AJ44" s="1359"/>
      <c r="AK44" s="1359"/>
      <c r="AL44" s="1359"/>
      <c r="AM44" s="1359"/>
      <c r="AN44" s="1359">
        <f>OFFSET(AN44,0,-1)+1</f>
        <v>1</v>
      </c>
      <c r="AO44" s="1359">
        <f>OFFSET(AO44,0,-1)+1</f>
        <v>2</v>
      </c>
      <c r="AP44" s="1359">
        <f>OFFSET(AP44,0,-1)+1</f>
        <v>3</v>
      </c>
      <c r="AQ44" s="2296">
        <f>OFFSET(AQ44,0,-1)+1</f>
        <v>4</v>
      </c>
      <c r="AR44" s="2296"/>
      <c r="AS44" s="1359">
        <f>OFFSET(AS44,0,-2)+1</f>
        <v>5</v>
      </c>
      <c r="AT44" s="1269">
        <f>OFFSET(AT44,0,-1)</f>
        <v>5</v>
      </c>
      <c r="AU44" s="1359">
        <f>OFFSET(AU44,0,-1)+1</f>
        <v>6</v>
      </c>
      <c r="AV44" s="535"/>
      <c r="AW44" s="535"/>
      <c r="AX44" s="535"/>
      <c r="AY44" s="535"/>
      <c r="AZ44" s="535"/>
      <c r="BA44" s="520">
        <v>0</v>
      </c>
    </row>
    <row customHeight="1" ht="107.25">
      <c r="A45" s="1387" t="s">
        <v>284</v>
      </c>
      <c r="B45" s="1387"/>
      <c r="C45" s="1387"/>
      <c r="D45" s="1387"/>
      <c r="E45" s="2282">
        <v>1</v>
      </c>
      <c r="F45" s="1387"/>
      <c r="G45" s="1387"/>
      <c r="H45" s="1387"/>
      <c r="I45" s="1387"/>
      <c r="J45" s="1387"/>
      <c r="K45" s="1387"/>
      <c r="L45" s="1388"/>
      <c r="M45" s="1389"/>
      <c r="N45" s="1389"/>
      <c r="O45" s="1389"/>
      <c r="P45" s="1433"/>
      <c r="Q45" s="897"/>
      <c r="R45" s="379"/>
      <c r="S45" s="1360">
        <f>INDEX(PT_DIFFERENTIATION_NUM_NTAR,MATCH(A45,PT_DIFFERENTIATION_NTAR_ID,0))</f>
        <v>0</v>
      </c>
      <c r="T45" s="322" t="s">
        <v>211</v>
      </c>
      <c r="U45" s="324"/>
      <c r="V45" s="2267"/>
      <c r="W45" s="2267"/>
      <c r="X45" s="2267"/>
      <c r="Y45" s="2267"/>
      <c r="Z45" s="2267"/>
      <c r="AA45" s="2268"/>
      <c r="AB45" s="2266" t="str">
        <f>INDEX(PT_DIFFERENTIATION_NTAR,MATCH(A45,PT_DIFFERENTIATION_NTAR_ID,0))</f>
        <v/>
      </c>
      <c r="AC45" s="2267"/>
      <c r="AD45" s="2267"/>
      <c r="AE45" s="2267"/>
      <c r="AF45" s="2267"/>
      <c r="AG45" s="2267"/>
      <c r="AH45" s="2267"/>
      <c r="AI45" s="2267"/>
      <c r="AJ45" s="2267"/>
      <c r="AK45" s="2267"/>
      <c r="AL45" s="2267"/>
      <c r="AM45" s="2267"/>
      <c r="AN45" s="2267"/>
      <c r="AO45" s="2267"/>
      <c r="AP45" s="2267"/>
      <c r="AQ45" s="2267"/>
      <c r="AR45" s="2267"/>
      <c r="AS45" s="2267"/>
      <c r="AT45" s="2268"/>
      <c r="AU45" s="12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24"/>
      <c r="AX45" s="524" t="str">
        <f>IF(T45="","",T45)</f>
        <v>Наименование тарифа</v>
      </c>
      <c r="AY45" s="524"/>
      <c r="AZ45" s="524"/>
      <c r="BA45" s="1179">
        <v>102</v>
      </c>
    </row>
    <row customHeight="1" ht="22.049999999999997">
      <c r="A46" s="1387" t="s">
        <v>284</v>
      </c>
      <c r="B46" s="1387" t="s">
        <v>285</v>
      </c>
      <c r="C46" s="1387"/>
      <c r="D46" s="1387"/>
      <c r="E46" s="2283"/>
      <c r="F46" s="2282">
        <v>1</v>
      </c>
      <c r="G46" s="1387"/>
      <c r="H46" s="1387"/>
      <c r="I46" s="1387"/>
      <c r="J46" s="1387"/>
      <c r="K46" s="1387"/>
      <c r="L46" s="1388"/>
      <c r="M46" s="1389"/>
      <c r="N46" s="1389"/>
      <c r="O46" s="1389"/>
      <c r="P46" s="1434"/>
      <c r="Q46" s="1435"/>
      <c r="R46" s="377"/>
      <c r="S46" s="1360" t="str">
        <f>INDEX(PT_DIFFERENTIATION_NUM_TER,MATCH(B46,PT_DIFFERENTIATION_TER_ID,0))</f>
        <v>.</v>
      </c>
      <c r="T46" s="332" t="s">
        <v>481</v>
      </c>
      <c r="U46" s="324"/>
      <c r="V46" s="2267"/>
      <c r="W46" s="2267"/>
      <c r="X46" s="2267"/>
      <c r="Y46" s="2267"/>
      <c r="Z46" s="2267"/>
      <c r="AA46" s="2268"/>
      <c r="AB46" s="2266" t="str">
        <f>INDEX(PT_DIFFERENTIATION_TER,MATCH(B46,PT_DIFFERENTIATION_TER_ID,0))</f>
        <v/>
      </c>
      <c r="AC46" s="2267"/>
      <c r="AD46" s="2267"/>
      <c r="AE46" s="2267"/>
      <c r="AF46" s="2267"/>
      <c r="AG46" s="2267"/>
      <c r="AH46" s="2267"/>
      <c r="AI46" s="2267"/>
      <c r="AJ46" s="2267"/>
      <c r="AK46" s="2267"/>
      <c r="AL46" s="2267"/>
      <c r="AM46" s="2267"/>
      <c r="AN46" s="2267"/>
      <c r="AO46" s="2267"/>
      <c r="AP46" s="2267"/>
      <c r="AQ46" s="2267"/>
      <c r="AR46" s="2267"/>
      <c r="AS46" s="2267"/>
      <c r="AT46" s="2268"/>
      <c r="AU46" s="1282" t="s">
        <v>482</v>
      </c>
      <c r="AW46" s="524"/>
      <c r="AX46" s="524" t="str">
        <f>IF(T46="","",T46)</f>
        <v>Территория действия тарифа</v>
      </c>
      <c r="AY46" s="524"/>
      <c r="AZ46" s="524"/>
      <c r="BA46" s="1179">
        <v>21</v>
      </c>
    </row>
    <row customHeight="1" ht="24">
      <c r="A47" s="1387" t="s">
        <v>284</v>
      </c>
      <c r="B47" s="1387" t="s">
        <v>285</v>
      </c>
      <c r="C47" s="1387" t="s">
        <v>286</v>
      </c>
      <c r="D47" s="1387"/>
      <c r="E47" s="2283"/>
      <c r="F47" s="2283"/>
      <c r="G47" s="2282">
        <v>1</v>
      </c>
      <c r="H47" s="1387"/>
      <c r="I47" s="1387"/>
      <c r="J47" s="1387"/>
      <c r="K47" s="1387"/>
      <c r="L47" s="1388"/>
      <c r="M47" s="1389"/>
      <c r="N47" s="1389"/>
      <c r="O47" s="1389"/>
      <c r="P47" s="1436"/>
      <c r="Q47" s="1435"/>
      <c r="R47" s="377"/>
      <c r="S47" s="1360" t="str">
        <f>INDEX(PT_DIFFERENTIATION_NUM_CS,MATCH(C47,PT_DIFFERENTIATION_CS_ID,0))</f>
        <v>..</v>
      </c>
      <c r="T47" s="333" t="s">
        <v>483</v>
      </c>
      <c r="U47" s="324"/>
      <c r="V47" s="2267"/>
      <c r="W47" s="2267"/>
      <c r="X47" s="2267"/>
      <c r="Y47" s="2267"/>
      <c r="Z47" s="2267"/>
      <c r="AA47" s="2268"/>
      <c r="AB47" s="2266" t="str">
        <f>INDEX(PT_DIFFERENTIATION_CS,MATCH(C47,PT_DIFFERENTIATION_CS_ID,0))</f>
        <v/>
      </c>
      <c r="AC47" s="2267"/>
      <c r="AD47" s="2267"/>
      <c r="AE47" s="2267"/>
      <c r="AF47" s="2267"/>
      <c r="AG47" s="2267"/>
      <c r="AH47" s="2267"/>
      <c r="AI47" s="2267"/>
      <c r="AJ47" s="2267"/>
      <c r="AK47" s="2267"/>
      <c r="AL47" s="2267"/>
      <c r="AM47" s="2267"/>
      <c r="AN47" s="2267"/>
      <c r="AO47" s="2267"/>
      <c r="AP47" s="2267"/>
      <c r="AQ47" s="2267"/>
      <c r="AR47" s="2267"/>
      <c r="AS47" s="2267"/>
      <c r="AT47" s="2268"/>
      <c r="AU47" s="1282" t="s">
        <v>484</v>
      </c>
      <c r="AW47" s="524"/>
      <c r="AX47" s="524" t="str">
        <f>IF(T47="","",T47)</f>
        <v>Наименование системы теплоснабжения </v>
      </c>
      <c r="AY47" s="524"/>
      <c r="AZ47" s="524"/>
      <c r="BA47" s="1179">
        <v>23</v>
      </c>
    </row>
    <row customHeight="1" ht="21">
      <c r="A48" s="1387" t="s">
        <v>284</v>
      </c>
      <c r="B48" s="1387" t="s">
        <v>285</v>
      </c>
      <c r="C48" s="1387" t="s">
        <v>286</v>
      </c>
      <c r="D48" s="1387" t="s">
        <v>287</v>
      </c>
      <c r="E48" s="2283"/>
      <c r="F48" s="2283"/>
      <c r="G48" s="2283"/>
      <c r="H48" s="2282">
        <v>1</v>
      </c>
      <c r="I48" s="1387"/>
      <c r="J48" s="1387"/>
      <c r="K48" s="1387"/>
      <c r="L48" s="1388"/>
      <c r="M48" s="1389"/>
      <c r="N48" s="1389"/>
      <c r="O48" s="1389"/>
      <c r="P48" s="1436"/>
      <c r="Q48" s="1435"/>
      <c r="R48" s="377"/>
      <c r="S48" s="1360" t="str">
        <f>INDEX(PT_DIFFERENTIATION_NUM_IST_TE,MATCH(D48,PT_DIFFERENTIATION_IST_TE_ID,0))</f>
        <v>...</v>
      </c>
      <c r="T48" s="334" t="s">
        <v>485</v>
      </c>
      <c r="U48" s="324"/>
      <c r="V48" s="2267"/>
      <c r="W48" s="2267"/>
      <c r="X48" s="2267"/>
      <c r="Y48" s="2267"/>
      <c r="Z48" s="2267"/>
      <c r="AA48" s="2268"/>
      <c r="AB48" s="2266" t="str">
        <f>INDEX(PT_DIFFERENTIATION_IST_TE,MATCH(D48,PT_DIFFERENTIATION_IST_TE_ID,0))</f>
        <v/>
      </c>
      <c r="AC48" s="2267"/>
      <c r="AD48" s="2267"/>
      <c r="AE48" s="2267"/>
      <c r="AF48" s="2267"/>
      <c r="AG48" s="2267"/>
      <c r="AH48" s="2267"/>
      <c r="AI48" s="2267"/>
      <c r="AJ48" s="2267"/>
      <c r="AK48" s="2267"/>
      <c r="AL48" s="2267"/>
      <c r="AM48" s="2267"/>
      <c r="AN48" s="2267"/>
      <c r="AO48" s="2267"/>
      <c r="AP48" s="2267"/>
      <c r="AQ48" s="2267"/>
      <c r="AR48" s="2267"/>
      <c r="AS48" s="2267"/>
      <c r="AT48" s="2268"/>
      <c r="AU48" s="1282" t="s">
        <v>486</v>
      </c>
      <c r="AW48" s="524"/>
      <c r="AX48" s="524" t="str">
        <f>IF(T48="","",T48)</f>
        <v>Источник тепловой энергии  </v>
      </c>
      <c r="AY48" s="524"/>
      <c r="AZ48" s="524"/>
      <c r="BA48" s="1179">
        <v>20</v>
      </c>
    </row>
    <row s="1666" customFormat="1" customHeight="1" ht="1.05">
      <c r="A49" s="1367" t="s">
        <v>284</v>
      </c>
      <c r="B49" s="1367" t="s">
        <v>285</v>
      </c>
      <c r="C49" s="1367" t="s">
        <v>286</v>
      </c>
      <c r="D49" s="1367" t="s">
        <v>287</v>
      </c>
      <c r="E49" s="2283"/>
      <c r="F49" s="2283"/>
      <c r="G49" s="2283"/>
      <c r="H49" s="2283"/>
      <c r="I49" s="2280" t="str">
        <f>S48&amp;".1"</f>
        <v>....1</v>
      </c>
      <c r="J49" s="1367"/>
      <c r="K49" s="1367"/>
      <c r="L49" s="1370" t="s">
        <v>487</v>
      </c>
      <c r="M49" s="534"/>
      <c r="N49" s="534"/>
      <c r="O49" s="534"/>
      <c r="P49" s="2281">
        <v>1</v>
      </c>
      <c r="Q49" s="1355"/>
      <c r="R49" s="380"/>
      <c r="S49" s="1066"/>
      <c r="T49" s="1407"/>
      <c r="U49" s="1408"/>
      <c r="V49" s="2321"/>
      <c r="W49" s="2321"/>
      <c r="X49" s="2321"/>
      <c r="Y49" s="2321"/>
      <c r="Z49" s="2321"/>
      <c r="AA49" s="2322"/>
      <c r="AB49" s="2320"/>
      <c r="AC49" s="2321"/>
      <c r="AD49" s="2321"/>
      <c r="AE49" s="2321"/>
      <c r="AF49" s="2321"/>
      <c r="AG49" s="2321"/>
      <c r="AH49" s="2321"/>
      <c r="AI49" s="2321"/>
      <c r="AJ49" s="2321"/>
      <c r="AK49" s="2321"/>
      <c r="AL49" s="2321"/>
      <c r="AM49" s="2321"/>
      <c r="AN49" s="2321"/>
      <c r="AO49" s="2321"/>
      <c r="AP49" s="2321"/>
      <c r="AQ49" s="2321"/>
      <c r="AR49" s="2321"/>
      <c r="AS49" s="2321"/>
      <c r="AT49" s="2322"/>
      <c r="AU49" s="1409"/>
      <c r="AW49" s="524"/>
      <c r="AX49" s="524" t="str">
        <f>IF(T49="","",T49)</f>
        <v/>
      </c>
      <c r="AY49" s="524"/>
      <c r="AZ49" s="524"/>
      <c r="BA49" s="535">
        <v>1</v>
      </c>
    </row>
    <row s="1666" customFormat="1" customHeight="1" ht="1.05">
      <c r="A50" s="1367" t="s">
        <v>284</v>
      </c>
      <c r="B50" s="1367" t="s">
        <v>285</v>
      </c>
      <c r="C50" s="1367" t="s">
        <v>286</v>
      </c>
      <c r="D50" s="1367" t="s">
        <v>287</v>
      </c>
      <c r="E50" s="2283"/>
      <c r="F50" s="2283"/>
      <c r="G50" s="2283"/>
      <c r="H50" s="2283"/>
      <c r="I50" s="2310"/>
      <c r="J50" s="2280" t="str">
        <f>S48&amp;".1"</f>
        <v>....1</v>
      </c>
      <c r="K50" s="1367"/>
      <c r="L50" s="1370"/>
      <c r="M50" s="534"/>
      <c r="N50" s="534"/>
      <c r="O50" s="534"/>
      <c r="P50" s="2281"/>
      <c r="Q50" s="2281">
        <v>1</v>
      </c>
      <c r="R50" s="381"/>
      <c r="S50" s="1066"/>
      <c r="T50" s="1423"/>
      <c r="U50" s="1408"/>
      <c r="V50" s="2321"/>
      <c r="W50" s="2321"/>
      <c r="X50" s="2321"/>
      <c r="Y50" s="2321"/>
      <c r="Z50" s="2321"/>
      <c r="AA50" s="2322"/>
      <c r="AB50" s="2320"/>
      <c r="AC50" s="2321"/>
      <c r="AD50" s="2321"/>
      <c r="AE50" s="2321"/>
      <c r="AF50" s="2321"/>
      <c r="AG50" s="2321"/>
      <c r="AH50" s="2321"/>
      <c r="AI50" s="2321"/>
      <c r="AJ50" s="2321"/>
      <c r="AK50" s="2321"/>
      <c r="AL50" s="2321"/>
      <c r="AM50" s="2321"/>
      <c r="AN50" s="2321"/>
      <c r="AO50" s="2321"/>
      <c r="AP50" s="2321"/>
      <c r="AQ50" s="2321"/>
      <c r="AR50" s="2321"/>
      <c r="AS50" s="2321"/>
      <c r="AT50" s="2322"/>
      <c r="AU50" s="1409"/>
      <c r="AW50" s="524"/>
      <c r="AX50" s="524" t="str">
        <f>IF(T50="","",T50)</f>
        <v/>
      </c>
      <c r="AY50" s="524"/>
      <c r="AZ50" s="524"/>
      <c r="BA50" s="535">
        <v>1</v>
      </c>
    </row>
    <row customHeight="1" ht="22.049999999999997">
      <c r="A51" s="1387" t="s">
        <v>284</v>
      </c>
      <c r="B51" s="1387" t="s">
        <v>285</v>
      </c>
      <c r="C51" s="1387" t="s">
        <v>286</v>
      </c>
      <c r="D51" s="1387" t="s">
        <v>287</v>
      </c>
      <c r="E51" s="2283"/>
      <c r="F51" s="2283"/>
      <c r="G51" s="2283"/>
      <c r="H51" s="2283"/>
      <c r="I51" s="2310"/>
      <c r="J51" s="2310"/>
      <c r="K51" s="2280" t="str">
        <f>S48&amp;".1"</f>
        <v>....1</v>
      </c>
      <c r="L51" s="1388"/>
      <c r="P51" s="2281"/>
      <c r="Q51" s="2281"/>
      <c r="R51" s="381">
        <v>1</v>
      </c>
      <c r="S51" s="2365" t="str">
        <f>$K51</f>
        <v>....1</v>
      </c>
      <c r="T51" s="2368"/>
      <c r="U51" s="324"/>
      <c r="V51" s="775"/>
      <c r="W51" s="1281"/>
      <c r="X51" s="1758"/>
      <c r="Y51" s="1483" t="s">
        <v>66</v>
      </c>
      <c r="Z51" s="1758"/>
      <c r="AA51" s="1483" t="s">
        <v>66</v>
      </c>
      <c r="AB51" s="2131" t="s">
        <v>19</v>
      </c>
      <c r="AC51" s="2350"/>
      <c r="AD51" s="2229">
        <v>1</v>
      </c>
      <c r="AE51" s="2372" t="s">
        <v>22</v>
      </c>
      <c r="AF51" s="2131" t="s">
        <v>19</v>
      </c>
      <c r="AG51" s="2350"/>
      <c r="AH51" s="2229">
        <v>1</v>
      </c>
      <c r="AI51" s="2372" t="s">
        <v>22</v>
      </c>
      <c r="AJ51" s="2131" t="s">
        <v>19</v>
      </c>
      <c r="AK51" s="335"/>
      <c r="AL51" s="1361">
        <v>1</v>
      </c>
      <c r="AM51" s="1426"/>
      <c r="AN51" s="775"/>
      <c r="AO51" s="1281"/>
      <c r="AP51" s="1758"/>
      <c r="AQ51" s="1483" t="s">
        <v>66</v>
      </c>
      <c r="AR51" s="1758"/>
      <c r="AS51" s="1483" t="s">
        <v>66</v>
      </c>
      <c r="AT51" s="1372"/>
      <c r="AU51" s="2277" t="s">
        <v>564</v>
      </c>
      <c r="AV51" s="535">
        <f>STRCHECKDATE(V54:AT54)</f>
      </c>
      <c r="AW51" s="524"/>
      <c r="AX51" s="524" t="str">
        <f>IF(T51="","",T51)</f>
        <v/>
      </c>
      <c r="AY51" s="524"/>
      <c r="AZ51" s="524"/>
      <c r="BA51" s="1179">
        <v>21</v>
      </c>
    </row>
    <row customHeight="1" ht="11.549999999999999">
      <c r="A52" s="1387" t="s">
        <v>284</v>
      </c>
      <c r="B52" s="1387"/>
      <c r="C52" s="1387"/>
      <c r="D52" s="1387"/>
      <c r="E52" s="2283"/>
      <c r="F52" s="2283"/>
      <c r="G52" s="2283"/>
      <c r="H52" s="2283"/>
      <c r="I52" s="2310"/>
      <c r="J52" s="2310"/>
      <c r="K52" s="2280"/>
      <c r="L52" s="1388"/>
      <c r="P52" s="2281"/>
      <c r="Q52" s="2281"/>
      <c r="R52" s="381"/>
      <c r="S52" s="2366"/>
      <c r="T52" s="2369"/>
      <c r="U52" s="324"/>
      <c r="V52" s="1417"/>
      <c r="W52" s="1520"/>
      <c r="X52" s="1417"/>
      <c r="Y52" s="1417"/>
      <c r="Z52" s="1417"/>
      <c r="AA52" s="1417"/>
      <c r="AB52" s="2131"/>
      <c r="AC52" s="2350"/>
      <c r="AD52" s="2229"/>
      <c r="AE52" s="2372"/>
      <c r="AF52" s="2131"/>
      <c r="AG52" s="2350"/>
      <c r="AH52" s="2229"/>
      <c r="AI52" s="2372"/>
      <c r="AJ52" s="2131"/>
      <c r="AK52" s="340"/>
      <c r="AL52" s="440"/>
      <c r="AM52" s="439" t="s">
        <v>549</v>
      </c>
      <c r="AN52" s="1417"/>
      <c r="AO52" s="1520"/>
      <c r="AP52" s="1417"/>
      <c r="AQ52" s="1417"/>
      <c r="AR52" s="1417"/>
      <c r="AS52" s="1417"/>
      <c r="AT52" s="1414"/>
      <c r="AU52" s="2278"/>
      <c r="AW52" s="524"/>
      <c r="AX52" s="524"/>
      <c r="AY52" s="524"/>
      <c r="AZ52" s="524"/>
      <c r="BA52" s="1179">
        <v>11</v>
      </c>
    </row>
    <row customHeight="1" ht="11.549999999999999">
      <c r="A53" s="1387" t="s">
        <v>284</v>
      </c>
      <c r="B53" s="1387"/>
      <c r="C53" s="1387"/>
      <c r="D53" s="1387"/>
      <c r="E53" s="2283"/>
      <c r="F53" s="2283"/>
      <c r="G53" s="2283"/>
      <c r="H53" s="2283"/>
      <c r="I53" s="2310"/>
      <c r="J53" s="2310"/>
      <c r="K53" s="2280"/>
      <c r="L53" s="1388"/>
      <c r="P53" s="2281"/>
      <c r="Q53" s="2281"/>
      <c r="R53" s="381"/>
      <c r="S53" s="2366"/>
      <c r="T53" s="2369"/>
      <c r="U53" s="324"/>
      <c r="V53" s="1417"/>
      <c r="W53" s="1520"/>
      <c r="X53" s="1417"/>
      <c r="Y53" s="1417"/>
      <c r="Z53" s="1417"/>
      <c r="AA53" s="1417"/>
      <c r="AB53" s="2131"/>
      <c r="AC53" s="2350"/>
      <c r="AD53" s="2229"/>
      <c r="AE53" s="2372"/>
      <c r="AF53" s="2131"/>
      <c r="AG53" s="318"/>
      <c r="AH53" s="439"/>
      <c r="AI53" s="439" t="s">
        <v>550</v>
      </c>
      <c r="AJ53" s="1417"/>
      <c r="AK53" s="1417"/>
      <c r="AL53" s="1417"/>
      <c r="AM53" s="1417"/>
      <c r="AN53" s="1417"/>
      <c r="AO53" s="1520"/>
      <c r="AP53" s="1417"/>
      <c r="AQ53" s="1417"/>
      <c r="AR53" s="1417"/>
      <c r="AS53" s="1417"/>
      <c r="AT53" s="1414"/>
      <c r="AU53" s="2278"/>
      <c r="AW53" s="524"/>
      <c r="AX53" s="524"/>
      <c r="AY53" s="524"/>
      <c r="AZ53" s="524"/>
      <c r="BA53" s="1179">
        <v>11</v>
      </c>
    </row>
    <row customHeight="1" ht="11.549999999999999">
      <c r="A54" s="1387" t="s">
        <v>284</v>
      </c>
      <c r="B54" s="1387" t="s">
        <v>285</v>
      </c>
      <c r="C54" s="1387" t="s">
        <v>286</v>
      </c>
      <c r="D54" s="1387" t="s">
        <v>287</v>
      </c>
      <c r="E54" s="2283"/>
      <c r="F54" s="2283"/>
      <c r="G54" s="2283"/>
      <c r="H54" s="2283"/>
      <c r="I54" s="2310"/>
      <c r="J54" s="2310"/>
      <c r="K54" s="2280"/>
      <c r="L54" s="1388"/>
      <c r="P54" s="2281"/>
      <c r="Q54" s="2281"/>
      <c r="R54" s="381"/>
      <c r="S54" s="2367"/>
      <c r="T54" s="2370"/>
      <c r="U54" s="324"/>
      <c r="V54" s="1417"/>
      <c r="W54" s="1418" t="str">
        <f>X51&amp;"-"&amp;Z51</f>
        <v>-</v>
      </c>
      <c r="X54" s="1417"/>
      <c r="Y54" s="1417"/>
      <c r="Z54" s="1417"/>
      <c r="AA54" s="1417"/>
      <c r="AB54" s="2131"/>
      <c r="AC54" s="336"/>
      <c r="AD54" s="338"/>
      <c r="AE54" s="439" t="s">
        <v>551</v>
      </c>
      <c r="AF54" s="1417"/>
      <c r="AG54" s="1417"/>
      <c r="AH54" s="1417"/>
      <c r="AI54" s="1417"/>
      <c r="AJ54" s="1417"/>
      <c r="AK54" s="1417"/>
      <c r="AL54" s="1417"/>
      <c r="AM54" s="1417"/>
      <c r="AN54" s="1417"/>
      <c r="AO54" s="1418" t="str">
        <f>AP51&amp;"-"&amp;AR51</f>
        <v>-</v>
      </c>
      <c r="AP54" s="1417"/>
      <c r="AQ54" s="1417"/>
      <c r="AR54" s="1417"/>
      <c r="AS54" s="1417"/>
      <c r="AT54" s="1373"/>
      <c r="AU54" s="2278"/>
      <c r="AW54" s="524"/>
      <c r="AX54" s="524" t="str">
        <f>IF(T54="","",T54)</f>
        <v/>
      </c>
      <c r="AY54" s="524"/>
      <c r="AZ54" s="524"/>
      <c r="BA54" s="1179">
        <v>11</v>
      </c>
    </row>
    <row customHeight="1" ht="11.549999999999999">
      <c r="A55" s="1387" t="s">
        <v>284</v>
      </c>
      <c r="B55" s="1387" t="s">
        <v>285</v>
      </c>
      <c r="C55" s="1387" t="s">
        <v>286</v>
      </c>
      <c r="D55" s="1387" t="s">
        <v>287</v>
      </c>
      <c r="E55" s="2283"/>
      <c r="F55" s="2283"/>
      <c r="G55" s="2283"/>
      <c r="H55" s="2283"/>
      <c r="I55" s="2310"/>
      <c r="J55" s="2280"/>
      <c r="K55" s="1387"/>
      <c r="L55" s="1388"/>
      <c r="P55" s="2281"/>
      <c r="Q55" s="2281"/>
      <c r="R55" s="380"/>
      <c r="S55" s="1302"/>
      <c r="T55" s="311" t="s">
        <v>552</v>
      </c>
      <c r="U55" s="391"/>
      <c r="V55" s="391"/>
      <c r="W55" s="391"/>
      <c r="X55" s="391"/>
      <c r="Y55" s="391"/>
      <c r="Z55" s="391"/>
      <c r="AA55" s="348"/>
      <c r="AB55" s="1529"/>
      <c r="AC55" s="391"/>
      <c r="AD55" s="391"/>
      <c r="AE55" s="391"/>
      <c r="AF55" s="391"/>
      <c r="AG55" s="391"/>
      <c r="AH55" s="391"/>
      <c r="AI55" s="391"/>
      <c r="AJ55" s="391"/>
      <c r="AK55" s="391"/>
      <c r="AL55" s="391"/>
      <c r="AM55" s="391"/>
      <c r="AN55" s="391"/>
      <c r="AO55" s="391"/>
      <c r="AP55" s="391"/>
      <c r="AQ55" s="391"/>
      <c r="AR55" s="391"/>
      <c r="AS55" s="391"/>
      <c r="AT55" s="348"/>
      <c r="AU55" s="2279"/>
      <c r="AW55" s="524"/>
      <c r="AX55" s="524" t="str">
        <f>IF(T55="","",T55)</f>
        <v>Добавить строку</v>
      </c>
      <c r="AY55" s="524"/>
      <c r="AZ55" s="524"/>
      <c r="BA55" s="1179">
        <v>11</v>
      </c>
    </row>
    <row s="1666" customFormat="1" customHeight="1" ht="1.05">
      <c r="A56" s="1367" t="s">
        <v>284</v>
      </c>
      <c r="B56" s="1367" t="s">
        <v>285</v>
      </c>
      <c r="C56" s="1367" t="s">
        <v>286</v>
      </c>
      <c r="D56" s="1367" t="s">
        <v>287</v>
      </c>
      <c r="E56" s="2283"/>
      <c r="F56" s="2283"/>
      <c r="G56" s="2283"/>
      <c r="H56" s="2283"/>
      <c r="I56" s="2280"/>
      <c r="J56" s="1367"/>
      <c r="K56" s="1367"/>
      <c r="L56" s="1370"/>
      <c r="M56" s="534"/>
      <c r="N56" s="534"/>
      <c r="O56" s="534"/>
      <c r="P56" s="2281"/>
      <c r="Q56" s="1355"/>
      <c r="R56" s="380"/>
      <c r="S56" s="1410"/>
      <c r="T56" s="1411" t="s">
        <v>496</v>
      </c>
      <c r="U56" s="1412"/>
      <c r="V56" s="1412"/>
      <c r="W56" s="1412"/>
      <c r="X56" s="1412"/>
      <c r="Y56" s="1412"/>
      <c r="Z56" s="1412"/>
      <c r="AA56" s="1412"/>
      <c r="AB56" s="1412"/>
      <c r="AC56" s="1412"/>
      <c r="AD56" s="1412"/>
      <c r="AE56" s="1412"/>
      <c r="AF56" s="1412"/>
      <c r="AG56" s="1412"/>
      <c r="AH56" s="1412"/>
      <c r="AI56" s="1412"/>
      <c r="AJ56" s="1412"/>
      <c r="AK56" s="1412"/>
      <c r="AL56" s="1412"/>
      <c r="AM56" s="1412"/>
      <c r="AN56" s="1412"/>
      <c r="AO56" s="1412"/>
      <c r="AP56" s="1412"/>
      <c r="AQ56" s="1412"/>
      <c r="AR56" s="1412"/>
      <c r="AS56" s="1412"/>
      <c r="AT56" s="1412"/>
      <c r="AU56" s="1413"/>
      <c r="AW56" s="524"/>
      <c r="AX56" s="524" t="str">
        <f>IF(T56="","",T56)</f>
        <v>Добавить группу потребителей</v>
      </c>
      <c r="AY56" s="524"/>
      <c r="AZ56" s="524"/>
      <c r="BA56" s="535">
        <v>1</v>
      </c>
    </row>
    <row s="1665" customFormat="1" customHeight="1" ht="1.05">
      <c r="A57" s="1367" t="s">
        <v>284</v>
      </c>
      <c r="B57" s="1367" t="s">
        <v>285</v>
      </c>
      <c r="C57" s="1367" t="s">
        <v>286</v>
      </c>
      <c r="D57" s="1367" t="s">
        <v>287</v>
      </c>
      <c r="E57" s="2283"/>
      <c r="F57" s="2283"/>
      <c r="G57" s="2283"/>
      <c r="H57" s="2282"/>
      <c r="I57" s="1367"/>
      <c r="J57" s="1367"/>
      <c r="K57" s="1367"/>
      <c r="L57" s="1370"/>
      <c r="M57" s="1339"/>
      <c r="N57" s="1339"/>
      <c r="O57" s="542"/>
      <c r="P57" s="404"/>
      <c r="Q57" s="1368"/>
      <c r="R57" s="1424"/>
      <c r="S57" s="1410"/>
      <c r="T57" s="1411"/>
      <c r="U57" s="1412"/>
      <c r="V57" s="1412"/>
      <c r="W57" s="1412"/>
      <c r="X57" s="1412"/>
      <c r="Y57" s="1412"/>
      <c r="Z57" s="1412"/>
      <c r="AA57" s="1412"/>
      <c r="AB57" s="1412"/>
      <c r="AC57" s="1412"/>
      <c r="AD57" s="1412"/>
      <c r="AE57" s="1412"/>
      <c r="AF57" s="1412"/>
      <c r="AG57" s="1412"/>
      <c r="AH57" s="1412"/>
      <c r="AI57" s="1412"/>
      <c r="AJ57" s="1412"/>
      <c r="AK57" s="1412"/>
      <c r="AL57" s="1412"/>
      <c r="AM57" s="1412"/>
      <c r="AN57" s="1412"/>
      <c r="AO57" s="1412"/>
      <c r="AP57" s="1412"/>
      <c r="AQ57" s="1412"/>
      <c r="AR57" s="1412"/>
      <c r="AS57" s="1412"/>
      <c r="AT57" s="1412"/>
      <c r="AU57" s="1413"/>
      <c r="AV57" s="535"/>
      <c r="AW57" s="524"/>
      <c r="AX57" s="524" t="str">
        <f>IF(T57="","",T57)</f>
        <v/>
      </c>
      <c r="AY57" s="524"/>
      <c r="AZ57" s="524"/>
      <c r="BA57" s="520">
        <v>1</v>
      </c>
    </row>
    <row s="1666" customFormat="1" customHeight="1" ht="1.05">
      <c r="A58" s="1367" t="s">
        <v>284</v>
      </c>
      <c r="B58" s="1367" t="s">
        <v>285</v>
      </c>
      <c r="C58" s="1367" t="s">
        <v>286</v>
      </c>
      <c r="D58" s="1338"/>
      <c r="E58" s="2283"/>
      <c r="F58" s="2283"/>
      <c r="G58" s="2282"/>
      <c r="H58" s="1338"/>
      <c r="I58" s="1338"/>
      <c r="J58" s="1338"/>
      <c r="K58" s="1338"/>
      <c r="L58" s="1363"/>
      <c r="M58" s="1339"/>
      <c r="N58" s="1339"/>
      <c r="P58" s="1340"/>
      <c r="Q58" s="1341"/>
      <c r="R58" s="1340"/>
      <c r="S58" s="1346"/>
      <c r="T58" s="1349" t="s">
        <v>498</v>
      </c>
      <c r="U58" s="1348"/>
      <c r="V58" s="1348"/>
      <c r="W58" s="1348"/>
      <c r="X58" s="1348"/>
      <c r="Y58" s="1348"/>
      <c r="Z58" s="1348"/>
      <c r="AA58" s="1348"/>
      <c r="AB58" s="1348"/>
      <c r="AC58" s="1348"/>
      <c r="AD58" s="1348"/>
      <c r="AE58" s="1348"/>
      <c r="AF58" s="1348"/>
      <c r="AG58" s="1348"/>
      <c r="AH58" s="1348"/>
      <c r="AI58" s="1348"/>
      <c r="AJ58" s="1348"/>
      <c r="AK58" s="1348"/>
      <c r="AL58" s="1348"/>
      <c r="AM58" s="1348"/>
      <c r="AN58" s="1348"/>
      <c r="AO58" s="1348"/>
      <c r="AP58" s="1348"/>
      <c r="AQ58" s="1348"/>
      <c r="AR58" s="1348"/>
      <c r="AS58" s="1348"/>
      <c r="AT58" s="1348"/>
      <c r="AU58" s="1348"/>
      <c r="AW58" s="813"/>
      <c r="AX58" s="813" t="str">
        <f>IF(T58="","",T58)</f>
        <v>Добавить источник для дифференциации</v>
      </c>
      <c r="AY58" s="813"/>
      <c r="AZ58" s="813"/>
      <c r="BA58" s="542">
        <v>1</v>
      </c>
    </row>
    <row s="1666" customFormat="1" customHeight="1" ht="1.05">
      <c r="A59" s="1367" t="s">
        <v>284</v>
      </c>
      <c r="B59" s="1367" t="s">
        <v>285</v>
      </c>
      <c r="C59" s="1338"/>
      <c r="D59" s="1338"/>
      <c r="E59" s="2283"/>
      <c r="F59" s="2282"/>
      <c r="G59" s="1338"/>
      <c r="H59" s="1338"/>
      <c r="I59" s="1338"/>
      <c r="J59" s="1338"/>
      <c r="K59" s="1338"/>
      <c r="L59" s="1363"/>
      <c r="M59" s="1345"/>
      <c r="N59" s="1345"/>
      <c r="P59" s="1340"/>
      <c r="Q59" s="1341"/>
      <c r="R59" s="1340"/>
      <c r="S59" s="1346"/>
      <c r="T59" s="1349" t="s">
        <v>499</v>
      </c>
      <c r="U59" s="1348"/>
      <c r="V59" s="1348"/>
      <c r="W59" s="1348"/>
      <c r="X59" s="1348"/>
      <c r="Y59" s="1348"/>
      <c r="Z59" s="1348"/>
      <c r="AA59" s="1348"/>
      <c r="AB59" s="1348"/>
      <c r="AC59" s="1348"/>
      <c r="AD59" s="1348"/>
      <c r="AE59" s="1348"/>
      <c r="AF59" s="1348"/>
      <c r="AG59" s="1348"/>
      <c r="AH59" s="1348"/>
      <c r="AI59" s="1348"/>
      <c r="AJ59" s="1348"/>
      <c r="AK59" s="1348"/>
      <c r="AL59" s="1348"/>
      <c r="AM59" s="1348"/>
      <c r="AN59" s="1348"/>
      <c r="AO59" s="1348"/>
      <c r="AP59" s="1348"/>
      <c r="AQ59" s="1348"/>
      <c r="AR59" s="1348"/>
      <c r="AS59" s="1348"/>
      <c r="AT59" s="1348"/>
      <c r="AU59" s="1348"/>
      <c r="AW59" s="813"/>
      <c r="AX59" s="813" t="str">
        <f>IF(T59="","",T59)</f>
        <v>Добавить централизованную систему для дифференциации</v>
      </c>
      <c r="AY59" s="813"/>
      <c r="AZ59" s="813"/>
      <c r="BA59" s="542">
        <v>1</v>
      </c>
    </row>
    <row s="1666" customFormat="1" customHeight="1" ht="1.05">
      <c r="A60" s="1367" t="s">
        <v>284</v>
      </c>
      <c r="B60" s="1367"/>
      <c r="C60" s="1367"/>
      <c r="D60" s="1367"/>
      <c r="E60" s="2283"/>
      <c r="F60" s="1367"/>
      <c r="G60" s="1367"/>
      <c r="H60" s="1367"/>
      <c r="I60" s="1367"/>
      <c r="J60" s="1367"/>
      <c r="K60" s="1367"/>
      <c r="L60" s="1370"/>
      <c r="M60" s="1345"/>
      <c r="N60" s="1345"/>
      <c r="O60" s="542"/>
      <c r="P60" s="404"/>
      <c r="Q60" s="1368"/>
      <c r="R60" s="404"/>
      <c r="S60" s="1346"/>
      <c r="T60" s="1349" t="s">
        <v>500</v>
      </c>
      <c r="U60" s="1348"/>
      <c r="V60" s="1348"/>
      <c r="W60" s="1348"/>
      <c r="X60" s="1348"/>
      <c r="Y60" s="1348"/>
      <c r="Z60" s="1348"/>
      <c r="AA60" s="1348"/>
      <c r="AB60" s="1348"/>
      <c r="AC60" s="1348"/>
      <c r="AD60" s="1348"/>
      <c r="AE60" s="1348"/>
      <c r="AF60" s="1348"/>
      <c r="AG60" s="1348"/>
      <c r="AH60" s="1348"/>
      <c r="AI60" s="1348"/>
      <c r="AJ60" s="1348"/>
      <c r="AK60" s="1348"/>
      <c r="AL60" s="1348"/>
      <c r="AM60" s="1348"/>
      <c r="AN60" s="1348"/>
      <c r="AO60" s="1348"/>
      <c r="AP60" s="1348"/>
      <c r="AQ60" s="1348"/>
      <c r="AR60" s="1348"/>
      <c r="AS60" s="1348"/>
      <c r="AT60" s="1348"/>
      <c r="AU60" s="1348"/>
      <c r="AW60" s="524"/>
      <c r="AX60" s="524" t="str">
        <f>IF(T60="","",T60)</f>
        <v>Добавить территорию для дифференциации</v>
      </c>
      <c r="AY60" s="524"/>
      <c r="AZ60" s="524"/>
      <c r="BA60" s="535">
        <v>1</v>
      </c>
    </row>
    <row s="1666" customFormat="1" customHeight="1" ht="1.05">
      <c r="A61" s="1367" t="s">
        <v>284</v>
      </c>
      <c r="B61" s="1367"/>
      <c r="C61" s="1367"/>
      <c r="D61" s="1367"/>
      <c r="E61" s="2282"/>
      <c r="F61" s="1367"/>
      <c r="G61" s="1367"/>
      <c r="H61" s="1367"/>
      <c r="I61" s="1367"/>
      <c r="J61" s="1367"/>
      <c r="K61" s="1367"/>
      <c r="L61" s="1370"/>
      <c r="M61" s="1345"/>
      <c r="N61" s="1345"/>
      <c r="O61" s="542"/>
      <c r="P61" s="404"/>
      <c r="Q61" s="1368"/>
      <c r="R61" s="404"/>
      <c r="S61" s="1346"/>
      <c r="T61" s="1349" t="s">
        <v>500</v>
      </c>
      <c r="U61" s="1348"/>
      <c r="V61" s="1348"/>
      <c r="W61" s="1348"/>
      <c r="X61" s="1348"/>
      <c r="Y61" s="1348"/>
      <c r="Z61" s="1348"/>
      <c r="AA61" s="1348"/>
      <c r="AB61" s="1348"/>
      <c r="AC61" s="1348"/>
      <c r="AD61" s="1348"/>
      <c r="AE61" s="1348"/>
      <c r="AF61" s="1348"/>
      <c r="AG61" s="1348"/>
      <c r="AH61" s="1348"/>
      <c r="AI61" s="1348"/>
      <c r="AJ61" s="1348"/>
      <c r="AK61" s="1348"/>
      <c r="AL61" s="1348"/>
      <c r="AM61" s="1348"/>
      <c r="AN61" s="1348"/>
      <c r="AO61" s="1348"/>
      <c r="AP61" s="1348"/>
      <c r="AQ61" s="1348"/>
      <c r="AR61" s="1348"/>
      <c r="AS61" s="1348"/>
      <c r="AT61" s="1348"/>
      <c r="AU61" s="1348"/>
      <c r="AW61" s="524"/>
      <c r="AX61" s="524" t="str">
        <f>IF(T61="","",T61)</f>
        <v>Добавить территорию для дифференциации</v>
      </c>
      <c r="AY61" s="524"/>
      <c r="AZ61" s="524"/>
      <c r="BA61" s="535">
        <v>1</v>
      </c>
    </row>
    <row s="1666" customFormat="1" customHeight="1" ht="1.05">
      <c r="A62" s="1338"/>
      <c r="B62" s="1338"/>
      <c r="C62" s="1338"/>
      <c r="D62" s="1338"/>
      <c r="E62" s="1367"/>
      <c r="F62" s="1338"/>
      <c r="G62" s="1338"/>
      <c r="H62" s="1338"/>
      <c r="I62" s="1338"/>
      <c r="J62" s="1338"/>
      <c r="K62" s="1338"/>
      <c r="L62" s="1363"/>
      <c r="M62" s="1345"/>
      <c r="N62" s="1345"/>
      <c r="P62" s="1340"/>
      <c r="Q62" s="1341"/>
      <c r="R62" s="1340"/>
      <c r="S62" s="1346"/>
      <c r="T62" s="1349" t="s">
        <v>532</v>
      </c>
      <c r="U62" s="1348"/>
      <c r="V62" s="1348"/>
      <c r="W62" s="1348"/>
      <c r="X62" s="1348"/>
      <c r="Y62" s="1348"/>
      <c r="Z62" s="1348"/>
      <c r="AA62" s="1348"/>
      <c r="AB62" s="1348"/>
      <c r="AC62" s="1348"/>
      <c r="AD62" s="1348"/>
      <c r="AE62" s="1348"/>
      <c r="AF62" s="1348"/>
      <c r="AG62" s="1348"/>
      <c r="AH62" s="1348"/>
      <c r="AI62" s="1348"/>
      <c r="AJ62" s="1348"/>
      <c r="AK62" s="1348"/>
      <c r="AL62" s="1348"/>
      <c r="AM62" s="1348"/>
      <c r="AN62" s="1348"/>
      <c r="AO62" s="1348"/>
      <c r="AP62" s="1348"/>
      <c r="AQ62" s="1348"/>
      <c r="AR62" s="1348"/>
      <c r="AS62" s="1348"/>
      <c r="AT62" s="1348"/>
      <c r="AU62" s="1348"/>
      <c r="AW62" s="813"/>
      <c r="AX62" s="813" t="str">
        <f>IF(T62="","",T62)</f>
        <v>Добавить наименование тарифа</v>
      </c>
      <c r="AY62" s="813"/>
      <c r="AZ62" s="813"/>
      <c r="BA62" s="542">
        <v>1</v>
      </c>
    </row>
    <row customHeight="1" ht="11.549999999999999">
      <c r="M63" s="1184"/>
      <c r="N63" s="1184"/>
      <c r="O63" s="561"/>
      <c r="P63" s="1184"/>
      <c r="Q63" s="1184"/>
      <c r="R63" s="1179"/>
      <c r="S63" s="1179"/>
      <c r="AV63" s="1179"/>
      <c r="AW63" s="1179"/>
      <c r="AX63" s="1179"/>
      <c r="AY63" s="1179"/>
      <c r="AZ63" s="1179"/>
      <c r="BA63" s="1179">
        <v>11</v>
      </c>
    </row>
    <row customHeight="1" ht="19.95">
      <c r="O64" s="561"/>
      <c r="S64" s="1277"/>
      <c r="T64" s="2309"/>
      <c r="U64" s="2309"/>
      <c r="V64" s="2309"/>
      <c r="W64" s="2309"/>
      <c r="X64" s="2309"/>
      <c r="Y64" s="2309"/>
      <c r="Z64" s="2309"/>
      <c r="AA64" s="2309"/>
      <c r="AB64" s="2309"/>
      <c r="AC64" s="2309"/>
      <c r="AD64" s="2309"/>
      <c r="AE64" s="2309"/>
      <c r="AF64" s="2309"/>
      <c r="AG64" s="2309"/>
      <c r="AH64" s="2309"/>
      <c r="AI64" s="2309"/>
      <c r="AJ64" s="2309"/>
      <c r="AK64" s="2309"/>
      <c r="AL64" s="2309"/>
      <c r="AM64" s="2309"/>
      <c r="AN64" s="2309"/>
      <c r="AO64" s="2309"/>
      <c r="AP64" s="2309"/>
      <c r="AQ64" s="2309"/>
      <c r="AR64" s="2309"/>
      <c r="AS64" s="2309"/>
      <c r="AT64" s="2309"/>
      <c r="AU64" s="2309"/>
      <c r="BA64" s="1179">
        <v>19</v>
      </c>
    </row>
    <row customHeight="1" ht="21">
      <c r="O65" s="561"/>
      <c r="T65" s="2309"/>
      <c r="U65" s="2309"/>
      <c r="V65" s="2309"/>
      <c r="W65" s="2309"/>
      <c r="X65" s="2309"/>
      <c r="Y65" s="2309"/>
      <c r="Z65" s="2309"/>
      <c r="AA65" s="2309"/>
      <c r="AB65" s="2309"/>
      <c r="AC65" s="2309"/>
      <c r="AD65" s="2309"/>
      <c r="AE65" s="2309"/>
      <c r="AF65" s="2309"/>
      <c r="AG65" s="2309"/>
      <c r="AH65" s="2309"/>
      <c r="AI65" s="2309"/>
      <c r="AJ65" s="2309"/>
      <c r="AK65" s="2309"/>
      <c r="AL65" s="2309"/>
      <c r="AM65" s="2309"/>
      <c r="AN65" s="2309"/>
      <c r="AO65" s="2309"/>
      <c r="AP65" s="2309"/>
      <c r="AQ65" s="2309"/>
      <c r="AR65" s="2309"/>
      <c r="AS65" s="2309"/>
      <c r="AT65" s="2309"/>
      <c r="AU65" s="2309"/>
      <c r="BA65" s="1179">
        <v>20</v>
      </c>
    </row>
    <row customHeight="1" ht="14.699999999999998">
      <c r="O66" s="561"/>
      <c r="T66" s="1357"/>
      <c r="U66" s="1357"/>
      <c r="V66" s="1357"/>
      <c r="W66" s="1357"/>
      <c r="X66" s="1357"/>
      <c r="Y66" s="1357"/>
      <c r="Z66" s="1357"/>
      <c r="AA66" s="1357"/>
      <c r="AB66" s="1357"/>
      <c r="AC66" s="1357"/>
      <c r="AD66" s="1357"/>
      <c r="AE66" s="1357"/>
      <c r="AF66" s="1357"/>
      <c r="AG66" s="1357"/>
      <c r="AH66" s="1357"/>
      <c r="AI66" s="1357"/>
      <c r="AJ66" s="1357"/>
      <c r="AK66" s="1357"/>
      <c r="AL66" s="1357"/>
      <c r="AM66" s="1357"/>
      <c r="AN66" s="1357"/>
      <c r="AO66" s="1357"/>
      <c r="AP66" s="1357"/>
      <c r="AQ66" s="1357"/>
      <c r="AR66" s="1357"/>
      <c r="AS66" s="1357"/>
      <c r="AT66" s="1357"/>
      <c r="AU66" s="1357"/>
      <c r="BA66" s="1179">
        <v>14</v>
      </c>
    </row>
    <row customHeight="1" ht="19.95">
      <c r="O67" s="561"/>
      <c r="T67" s="2309"/>
      <c r="U67" s="2309"/>
      <c r="V67" s="2309"/>
      <c r="W67" s="2309"/>
      <c r="X67" s="2309"/>
      <c r="Y67" s="2309"/>
      <c r="Z67" s="2309"/>
      <c r="AA67" s="2309"/>
      <c r="AB67" s="2309"/>
      <c r="AC67" s="2309"/>
      <c r="AD67" s="2309"/>
      <c r="AE67" s="2309"/>
      <c r="AF67" s="2309"/>
      <c r="AG67" s="2309"/>
      <c r="AH67" s="2309"/>
      <c r="AI67" s="2309"/>
      <c r="AJ67" s="2309"/>
      <c r="AK67" s="2309"/>
      <c r="AL67" s="2309"/>
      <c r="AM67" s="2309"/>
      <c r="AN67" s="2309"/>
      <c r="AO67" s="2309"/>
      <c r="AP67" s="2309"/>
      <c r="AQ67" s="2309"/>
      <c r="AR67" s="2309"/>
      <c r="AS67" s="2309"/>
      <c r="AT67" s="2309"/>
      <c r="AU67" s="2309"/>
      <c r="BA67" s="1179">
        <v>19</v>
      </c>
    </row>
    <row customHeight="1" ht="16.8">
      <c r="O68" s="561"/>
      <c r="T68" s="2309"/>
      <c r="U68" s="2309"/>
      <c r="V68" s="2309"/>
      <c r="W68" s="2309"/>
      <c r="X68" s="2309"/>
      <c r="Y68" s="2309"/>
      <c r="Z68" s="2309"/>
      <c r="AA68" s="2309"/>
      <c r="AB68" s="2309"/>
      <c r="AC68" s="2309"/>
      <c r="AD68" s="2309"/>
      <c r="AE68" s="2309"/>
      <c r="AF68" s="2309"/>
      <c r="AG68" s="2309"/>
      <c r="AH68" s="2309"/>
      <c r="AI68" s="2309"/>
      <c r="AJ68" s="2309"/>
      <c r="AK68" s="2309"/>
      <c r="AL68" s="2309"/>
      <c r="AM68" s="2309"/>
      <c r="AN68" s="2309"/>
      <c r="AO68" s="2309"/>
      <c r="AP68" s="2309"/>
      <c r="AQ68" s="2309"/>
      <c r="AR68" s="2309"/>
      <c r="AS68" s="2309"/>
      <c r="AT68" s="2309"/>
      <c r="AU68" s="2309"/>
      <c r="BA68" s="1179">
        <v>16</v>
      </c>
    </row>
    <row customHeight="1" ht="14.699999999999998">
      <c r="O69" s="561"/>
      <c r="BA69" s="1179">
        <v>14</v>
      </c>
    </row>
    <row customHeight="1" ht="22.5" hidden="1">
      <c r="A70" s="1184" t="s">
        <v>82</v>
      </c>
      <c r="B70" s="1184">
        <v>0</v>
      </c>
      <c r="C70" s="1184">
        <v>0</v>
      </c>
      <c r="D70" s="1184">
        <v>0</v>
      </c>
      <c r="E70" s="1184">
        <v>0</v>
      </c>
      <c r="F70" s="1184">
        <v>0</v>
      </c>
      <c r="G70" s="1184">
        <v>0</v>
      </c>
      <c r="H70" s="1184">
        <v>0</v>
      </c>
      <c r="I70" s="1184">
        <v>0</v>
      </c>
      <c r="J70" s="1184">
        <v>0</v>
      </c>
      <c r="K70" s="1184">
        <v>0</v>
      </c>
      <c r="L70" s="1353">
        <v>0</v>
      </c>
      <c r="M70" s="1386">
        <v>0</v>
      </c>
      <c r="N70" s="1386">
        <v>0</v>
      </c>
      <c r="O70" s="1386">
        <v>0</v>
      </c>
      <c r="P70" s="1386">
        <v>3</v>
      </c>
      <c r="Q70" s="1395">
        <v>3</v>
      </c>
      <c r="R70" s="368">
        <v>3</v>
      </c>
      <c r="S70" s="605">
        <v>12</v>
      </c>
      <c r="T70" s="1179">
        <v>31</v>
      </c>
      <c r="U70" s="1179">
        <v>0</v>
      </c>
      <c r="V70" s="1179">
        <v>0</v>
      </c>
      <c r="W70" s="1179">
        <v>0</v>
      </c>
      <c r="X70" s="1179">
        <v>0</v>
      </c>
      <c r="Y70" s="1179">
        <v>0</v>
      </c>
      <c r="Z70" s="1179">
        <v>0</v>
      </c>
      <c r="AA70" s="1179">
        <v>0</v>
      </c>
      <c r="AB70" s="1179">
        <v>5</v>
      </c>
      <c r="AC70" s="1179">
        <v>3</v>
      </c>
      <c r="AD70" s="1179">
        <v>3</v>
      </c>
      <c r="AE70" s="1179">
        <v>24</v>
      </c>
      <c r="AF70" s="1179">
        <v>3</v>
      </c>
      <c r="AG70" s="1179">
        <v>3</v>
      </c>
      <c r="AH70" s="1179">
        <v>3</v>
      </c>
      <c r="AI70" s="1179">
        <v>24</v>
      </c>
      <c r="AJ70" s="1179">
        <v>3</v>
      </c>
      <c r="AK70" s="1179">
        <v>3</v>
      </c>
      <c r="AL70" s="1179">
        <v>3</v>
      </c>
      <c r="AM70" s="1179">
        <v>18</v>
      </c>
      <c r="AN70" s="1179">
        <v>21</v>
      </c>
      <c r="AO70" s="1179">
        <v>21</v>
      </c>
      <c r="AP70" s="1179">
        <v>11</v>
      </c>
      <c r="AQ70" s="1179">
        <v>3</v>
      </c>
      <c r="AR70" s="1179">
        <v>11</v>
      </c>
      <c r="AS70" s="1179">
        <v>8</v>
      </c>
      <c r="AT70" s="1179">
        <v>4</v>
      </c>
      <c r="AU70" s="1179">
        <v>115</v>
      </c>
      <c r="AV70" s="535">
        <v>10</v>
      </c>
      <c r="AW70" s="535">
        <v>10</v>
      </c>
      <c r="AX70" s="535">
        <v>10</v>
      </c>
      <c r="AY70" s="535">
        <v>10</v>
      </c>
      <c r="AZ70" s="535">
        <v>10</v>
      </c>
      <c r="BA70" s="1179">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B8676A-D328-EB59-973C-0.D6044DF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4.140625" hidden="1" customWidth="1"/>
    <col min="10" max="10" style="1390" width="9.8515625" hidden="1" customWidth="1"/>
    <col min="11" max="11" style="1390" width="14.7109375" hidden="1" customWidth="1"/>
    <col min="12" max="12" style="2631" width="19.140625" hidden="1" customWidth="1"/>
    <col min="13" max="14" style="1800" width="12.28125" hidden="1" customWidth="1"/>
    <col min="15" max="15" style="1800" width="23.421875" hidden="1" customWidth="1"/>
    <col min="16" max="16" style="2421" width="3.00390625" customWidth="1"/>
    <col min="17" max="18" style="368" width="3.00390625" customWidth="1"/>
    <col min="19" max="19" style="2431" width="12.00390625" customWidth="1"/>
    <col min="20" max="20" style="1659" width="35.00390625" customWidth="1"/>
    <col min="21" max="21" style="1659" width="0.140625" customWidth="1"/>
    <col min="22" max="24" style="1659" width="24.7109375" hidden="1" customWidth="1"/>
    <col min="25" max="25" style="1659" width="11.7109375" hidden="1" customWidth="1"/>
    <col min="26" max="26" style="1659" width="3.7109375" hidden="1" customWidth="1"/>
    <col min="27" max="27" style="1659" width="11.7109375" hidden="1" customWidth="1"/>
    <col min="28" max="28" style="1659" width="8.57421875" hidden="1" customWidth="1"/>
    <col min="29" max="29" style="1659" width="24.7109375" customWidth="1"/>
    <col min="30" max="31" style="1659" width="24.00390625" customWidth="1"/>
    <col min="32" max="32" style="1659" width="11.00390625" customWidth="1"/>
    <col min="33" max="33" style="1659" width="3.7109375" customWidth="1"/>
    <col min="34" max="34" style="1659" width="11.00390625" customWidth="1"/>
    <col min="35" max="35" style="1659" width="8.57421875" hidden="1" customWidth="1"/>
    <col min="36" max="36" style="1659" width="4.00390625" customWidth="1"/>
    <col min="37" max="37" style="1659" width="115.00390625" customWidth="1"/>
    <col min="38" max="42" style="1666" width="10.00390625" customWidth="1"/>
    <col min="43" max="43" style="1659" width="10.57421875" hidden="1"/>
  </cols>
  <sheetData>
    <row customHeight="1" ht="22.5" hidden="1">
      <c r="X1" s="351"/>
      <c r="Y1" s="351"/>
      <c r="AE1" s="351"/>
      <c r="AF1" s="351"/>
      <c r="AQ1" s="1179" t="s">
        <v>14</v>
      </c>
    </row>
    <row customHeight="1" ht="23.25" hidden="1">
      <c r="A2" s="1387"/>
      <c r="B2" s="1387"/>
      <c r="C2" s="1387"/>
      <c r="D2" s="1387"/>
      <c r="E2" s="2282">
        <v>1</v>
      </c>
      <c r="F2" s="1387"/>
      <c r="G2" s="1387"/>
      <c r="H2" s="1387"/>
      <c r="I2" s="1387"/>
      <c r="J2" s="1387"/>
      <c r="K2" s="1387"/>
      <c r="L2" s="1388"/>
      <c r="M2" s="1389"/>
      <c r="N2" s="1389"/>
      <c r="O2" s="1389"/>
      <c r="P2" s="385"/>
      <c r="Q2" s="384"/>
      <c r="R2" s="379"/>
      <c r="S2" s="1449">
        <f>INDEX(PT_DIFFERENTIATION_NUM_NTAR,MATCH(A2,PT_DIFFERENTIATION_NTAR_ID,0))</f>
      </c>
      <c r="T2" s="322" t="s">
        <v>211</v>
      </c>
      <c r="U2" s="324"/>
      <c r="V2" s="2266"/>
      <c r="W2" s="2267"/>
      <c r="X2" s="2267"/>
      <c r="Y2" s="2267"/>
      <c r="Z2" s="2267"/>
      <c r="AA2" s="2267"/>
      <c r="AB2" s="2268"/>
      <c r="AC2" s="2266">
        <f>INDEX(PT_DIFFERENTIATION_NTAR,MATCH(A2,PT_DIFFERENTIATION_NTAR_ID,0))</f>
      </c>
      <c r="AD2" s="2267"/>
      <c r="AE2" s="2267"/>
      <c r="AF2" s="2267"/>
      <c r="AG2" s="2267"/>
      <c r="AH2" s="2267"/>
      <c r="AI2" s="2267"/>
      <c r="AJ2" s="2268"/>
      <c r="AK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24"/>
      <c r="AN2" s="524" t="str">
        <f>IF(T2="","",T2)</f>
        <v>Наименование тарифа</v>
      </c>
      <c r="AO2" s="524"/>
      <c r="AP2" s="524"/>
      <c r="AQ2" s="1179">
        <v>0</v>
      </c>
    </row>
    <row customHeight="1" ht="23.25" hidden="1">
      <c r="A3" s="1387"/>
      <c r="B3" s="1387"/>
      <c r="C3" s="1387"/>
      <c r="D3" s="1387"/>
      <c r="E3" s="2283"/>
      <c r="F3" s="2282">
        <v>1</v>
      </c>
      <c r="G3" s="1387"/>
      <c r="H3" s="1387"/>
      <c r="I3" s="1387"/>
      <c r="J3" s="1387"/>
      <c r="K3" s="1387"/>
      <c r="L3" s="1388"/>
      <c r="M3" s="1389"/>
      <c r="N3" s="1389"/>
      <c r="O3" s="1389"/>
      <c r="P3" s="1447"/>
      <c r="Q3" s="376"/>
      <c r="R3" s="377"/>
      <c r="S3" s="1449">
        <f>INDEX(PT_DIFFERENTIATION_NUM_TER,MATCH(B3,PT_DIFFERENTIATION_TER_ID,0))</f>
      </c>
      <c r="T3" s="332" t="s">
        <v>481</v>
      </c>
      <c r="U3" s="324"/>
      <c r="V3" s="2266"/>
      <c r="W3" s="2267"/>
      <c r="X3" s="2267"/>
      <c r="Y3" s="2267"/>
      <c r="Z3" s="2267"/>
      <c r="AA3" s="2267"/>
      <c r="AB3" s="2268"/>
      <c r="AC3" s="2266">
        <f>INDEX(PT_DIFFERENTIATION_TER,MATCH(B3,PT_DIFFERENTIATION_TER_ID,0))</f>
      </c>
      <c r="AD3" s="2267"/>
      <c r="AE3" s="2267"/>
      <c r="AF3" s="2267"/>
      <c r="AG3" s="2267"/>
      <c r="AH3" s="2267"/>
      <c r="AI3" s="2267"/>
      <c r="AJ3" s="2268"/>
      <c r="AK3" s="1282" t="s">
        <v>482</v>
      </c>
      <c r="AM3" s="524"/>
      <c r="AN3" s="524" t="str">
        <f>IF(T3="","",T3)</f>
        <v>Территория действия тарифа</v>
      </c>
      <c r="AO3" s="524"/>
      <c r="AP3" s="524"/>
      <c r="AQ3" s="1179">
        <v>0</v>
      </c>
    </row>
    <row customHeight="1" ht="23.25" hidden="1">
      <c r="A4" s="1387"/>
      <c r="B4" s="1387"/>
      <c r="C4" s="1387"/>
      <c r="D4" s="1387"/>
      <c r="E4" s="2283"/>
      <c r="F4" s="2283"/>
      <c r="G4" s="2282">
        <v>1</v>
      </c>
      <c r="H4" s="1387"/>
      <c r="I4" s="1387"/>
      <c r="J4" s="1387"/>
      <c r="K4" s="1387"/>
      <c r="L4" s="1388"/>
      <c r="M4" s="1389"/>
      <c r="N4" s="1389"/>
      <c r="O4" s="1389"/>
      <c r="P4" s="378"/>
      <c r="Q4" s="376"/>
      <c r="R4" s="377"/>
      <c r="S4" s="1449">
        <f>INDEX(PT_DIFFERENTIATION_NUM_CS,MATCH(C4,PT_DIFFERENTIATION_CS_ID,0))</f>
      </c>
      <c r="T4" s="333" t="s">
        <v>565</v>
      </c>
      <c r="U4" s="324"/>
      <c r="V4" s="2266"/>
      <c r="W4" s="2267"/>
      <c r="X4" s="2267"/>
      <c r="Y4" s="2267"/>
      <c r="Z4" s="2267"/>
      <c r="AA4" s="2267"/>
      <c r="AB4" s="2268"/>
      <c r="AC4" s="2266">
        <f>INDEX(PT_DIFFERENTIATION_CS,MATCH(C4,PT_DIFFERENTIATION_CS_ID,0))</f>
      </c>
      <c r="AD4" s="2267"/>
      <c r="AE4" s="2267"/>
      <c r="AF4" s="2267"/>
      <c r="AG4" s="2267"/>
      <c r="AH4" s="2267"/>
      <c r="AI4" s="2267"/>
      <c r="AJ4" s="2268"/>
      <c r="AK4" s="1282" t="s">
        <v>566</v>
      </c>
      <c r="AM4" s="524"/>
      <c r="AN4" s="524" t="str">
        <f>IF(T4="","",T4)</f>
        <v>Наименование централизованной системы холодного водоснабжения</v>
      </c>
      <c r="AO4" s="524"/>
      <c r="AP4" s="524"/>
      <c r="AQ4" s="1179">
        <v>0</v>
      </c>
    </row>
    <row customHeight="1" ht="23.25" hidden="1">
      <c r="A5" s="1387"/>
      <c r="B5" s="1387"/>
      <c r="C5" s="1387"/>
      <c r="D5" s="1387"/>
      <c r="E5" s="2283"/>
      <c r="F5" s="2283"/>
      <c r="G5" s="2283"/>
      <c r="H5" s="2283"/>
      <c r="I5" s="2280">
        <f>S4&amp;".1"</f>
      </c>
      <c r="J5" s="1387"/>
      <c r="K5" s="1387"/>
      <c r="L5" s="1388"/>
      <c r="P5" s="2281">
        <v>1</v>
      </c>
      <c r="Q5" s="1446"/>
      <c r="R5" s="380"/>
      <c r="S5" s="1449">
        <f>$I5</f>
      </c>
      <c r="T5" s="309" t="s">
        <v>567</v>
      </c>
      <c r="U5" s="324"/>
      <c r="V5" s="2374"/>
      <c r="W5" s="2375"/>
      <c r="X5" s="2375"/>
      <c r="Y5" s="2375"/>
      <c r="Z5" s="2375"/>
      <c r="AA5" s="2375"/>
      <c r="AB5" s="2376"/>
      <c r="AC5" s="2377"/>
      <c r="AD5" s="2378"/>
      <c r="AE5" s="2378"/>
      <c r="AF5" s="2378"/>
      <c r="AG5" s="2378"/>
      <c r="AH5" s="2378"/>
      <c r="AI5" s="2378"/>
      <c r="AJ5" s="2379"/>
      <c r="AK5" s="1282" t="s">
        <v>568</v>
      </c>
      <c r="AM5" s="524"/>
      <c r="AN5" s="524" t="str">
        <f>IF(T5="","",T5)</f>
        <v>Наименование признака дифференциации</v>
      </c>
      <c r="AO5" s="524"/>
      <c r="AP5" s="524"/>
      <c r="AQ5" s="1179">
        <v>0</v>
      </c>
    </row>
    <row customHeight="1" ht="23.25" hidden="1">
      <c r="A6" s="1387"/>
      <c r="B6" s="1387"/>
      <c r="C6" s="1387"/>
      <c r="D6" s="1387"/>
      <c r="E6" s="2283"/>
      <c r="F6" s="2283"/>
      <c r="G6" s="2283"/>
      <c r="H6" s="2283"/>
      <c r="I6" s="2310"/>
      <c r="J6" s="2280">
        <f>I5&amp;".1"</f>
      </c>
      <c r="K6" s="1387"/>
      <c r="L6" s="1388" t="s">
        <v>490</v>
      </c>
      <c r="P6" s="2281"/>
      <c r="Q6" s="2281">
        <v>1</v>
      </c>
      <c r="R6" s="381"/>
      <c r="S6" s="1449">
        <f>$J6</f>
      </c>
      <c r="T6" s="310" t="s">
        <v>491</v>
      </c>
      <c r="U6" s="324"/>
      <c r="V6" s="2269"/>
      <c r="W6" s="2270"/>
      <c r="X6" s="2270"/>
      <c r="Y6" s="2270"/>
      <c r="Z6" s="2270"/>
      <c r="AA6" s="2270"/>
      <c r="AB6" s="2271"/>
      <c r="AC6" s="2269"/>
      <c r="AD6" s="2270"/>
      <c r="AE6" s="2270"/>
      <c r="AF6" s="2270"/>
      <c r="AG6" s="2270"/>
      <c r="AH6" s="2270"/>
      <c r="AI6" s="2270"/>
      <c r="AJ6" s="2271"/>
      <c r="AK6" s="1331" t="s">
        <v>569</v>
      </c>
      <c r="AM6" s="524"/>
      <c r="AN6" s="524" t="str">
        <f>IF(T6="","",T6)</f>
        <v>Группа потребителей</v>
      </c>
      <c r="AO6" s="524"/>
      <c r="AP6" s="524"/>
      <c r="AQ6" s="1179">
        <v>0</v>
      </c>
    </row>
    <row customHeight="1" ht="23.25" hidden="1">
      <c r="A7" s="1387"/>
      <c r="B7" s="1387"/>
      <c r="C7" s="1387"/>
      <c r="D7" s="1387"/>
      <c r="E7" s="2283"/>
      <c r="F7" s="2283"/>
      <c r="G7" s="2283"/>
      <c r="H7" s="2283"/>
      <c r="I7" s="2310"/>
      <c r="J7" s="2310"/>
      <c r="K7" s="2280">
        <f>J6&amp;".1"</f>
      </c>
      <c r="L7" s="1388"/>
      <c r="P7" s="2281"/>
      <c r="Q7" s="2281"/>
      <c r="R7" s="381">
        <v>1</v>
      </c>
      <c r="S7" s="1449">
        <f>$K7</f>
      </c>
      <c r="T7" s="1461"/>
      <c r="U7" s="324"/>
      <c r="V7" s="775"/>
      <c r="W7" s="775"/>
      <c r="X7" s="1281"/>
      <c r="Y7" s="2289"/>
      <c r="Z7" s="2131" t="s">
        <v>66</v>
      </c>
      <c r="AA7" s="2289"/>
      <c r="AB7" s="2131" t="s">
        <v>66</v>
      </c>
      <c r="AC7" s="775"/>
      <c r="AD7" s="775"/>
      <c r="AE7" s="1281"/>
      <c r="AF7" s="2289"/>
      <c r="AG7" s="2131" t="s">
        <v>66</v>
      </c>
      <c r="AH7" s="2311"/>
      <c r="AI7" s="2131" t="s">
        <v>66</v>
      </c>
      <c r="AJ7" s="1462"/>
      <c r="AK7"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35">
        <f>STRCHECKDATE(V8:AJ8)</f>
      </c>
      <c r="AM7" s="524"/>
      <c r="AN7" s="524" t="str">
        <f>IF(T7="","",T7)</f>
        <v/>
      </c>
      <c r="AO7" s="524"/>
      <c r="AP7" s="524"/>
      <c r="AQ7" s="1179">
        <v>0</v>
      </c>
    </row>
    <row customHeight="1" ht="14.25" hidden="1">
      <c r="A8" s="1387"/>
      <c r="B8" s="1387"/>
      <c r="C8" s="1387"/>
      <c r="D8" s="1387"/>
      <c r="E8" s="2283"/>
      <c r="F8" s="2283"/>
      <c r="G8" s="2283"/>
      <c r="H8" s="2283"/>
      <c r="I8" s="2310"/>
      <c r="J8" s="2310"/>
      <c r="K8" s="2280"/>
      <c r="L8" s="1388"/>
      <c r="P8" s="2281"/>
      <c r="Q8" s="2281"/>
      <c r="R8" s="381"/>
      <c r="S8" s="1448"/>
      <c r="T8" s="324"/>
      <c r="U8" s="324"/>
      <c r="V8" s="349"/>
      <c r="W8" s="349"/>
      <c r="X8" s="352" t="str">
        <f>Y7&amp;"-"&amp;AA7</f>
        <v>-</v>
      </c>
      <c r="Y8" s="2290"/>
      <c r="Z8" s="2131"/>
      <c r="AA8" s="2290"/>
      <c r="AB8" s="2131"/>
      <c r="AC8" s="349"/>
      <c r="AD8" s="349"/>
      <c r="AE8" s="352" t="str">
        <f>AF7&amp;"-"&amp;AH7</f>
        <v>-</v>
      </c>
      <c r="AF8" s="2290"/>
      <c r="AG8" s="2131"/>
      <c r="AH8" s="2312"/>
      <c r="AI8" s="2131"/>
      <c r="AJ8" s="1463"/>
      <c r="AK8" s="2373"/>
      <c r="AM8" s="524"/>
      <c r="AN8" s="524" t="str">
        <f>IF(T8="","",T8)</f>
        <v/>
      </c>
      <c r="AO8" s="524"/>
      <c r="AP8" s="524"/>
      <c r="AQ8" s="1179">
        <v>0</v>
      </c>
    </row>
    <row customHeight="1" ht="21" hidden="1">
      <c r="A9" s="1387"/>
      <c r="B9" s="1387"/>
      <c r="C9" s="1387"/>
      <c r="D9" s="1387"/>
      <c r="E9" s="2283"/>
      <c r="F9" s="2283"/>
      <c r="G9" s="2283"/>
      <c r="H9" s="2283"/>
      <c r="I9" s="2310"/>
      <c r="J9" s="2280"/>
      <c r="K9" s="1387"/>
      <c r="L9" s="1388"/>
      <c r="P9" s="2281"/>
      <c r="Q9" s="2281"/>
      <c r="R9" s="380"/>
      <c r="S9" s="1302"/>
      <c r="T9" s="311" t="s">
        <v>570</v>
      </c>
      <c r="U9" s="391"/>
      <c r="V9" s="391"/>
      <c r="W9" s="391"/>
      <c r="X9" s="391"/>
      <c r="Y9" s="391"/>
      <c r="Z9" s="391"/>
      <c r="AA9" s="391"/>
      <c r="AB9" s="391"/>
      <c r="AC9" s="391"/>
      <c r="AD9" s="391"/>
      <c r="AE9" s="391"/>
      <c r="AF9" s="391"/>
      <c r="AG9" s="391"/>
      <c r="AH9" s="391"/>
      <c r="AI9" s="391"/>
      <c r="AJ9" s="391"/>
      <c r="AK9" s="1282" t="s">
        <v>571</v>
      </c>
      <c r="AM9" s="524"/>
      <c r="AN9" s="524" t="str">
        <f>IF(T9="","",T9)</f>
        <v>Добавить значение признака дифференциации</v>
      </c>
      <c r="AO9" s="524"/>
      <c r="AP9" s="524"/>
      <c r="AQ9" s="1179">
        <v>0</v>
      </c>
    </row>
    <row customHeight="1" ht="21" hidden="1">
      <c r="A10" s="1387"/>
      <c r="B10" s="1387"/>
      <c r="C10" s="1387"/>
      <c r="D10" s="1387"/>
      <c r="E10" s="2283"/>
      <c r="F10" s="2283"/>
      <c r="G10" s="2283"/>
      <c r="H10" s="2283"/>
      <c r="I10" s="2280"/>
      <c r="J10" s="1387"/>
      <c r="K10" s="1387"/>
      <c r="L10" s="1388"/>
      <c r="P10" s="2281"/>
      <c r="Q10" s="1446"/>
      <c r="R10" s="380"/>
      <c r="S10" s="1302"/>
      <c r="T10" s="389" t="s">
        <v>496</v>
      </c>
      <c r="U10" s="391"/>
      <c r="V10" s="391"/>
      <c r="W10" s="391"/>
      <c r="X10" s="391"/>
      <c r="Y10" s="391"/>
      <c r="Z10" s="391"/>
      <c r="AA10" s="391"/>
      <c r="AB10" s="390"/>
      <c r="AC10" s="391"/>
      <c r="AD10" s="391"/>
      <c r="AE10" s="391"/>
      <c r="AF10" s="391"/>
      <c r="AG10" s="391"/>
      <c r="AH10" s="391"/>
      <c r="AI10" s="390"/>
      <c r="AJ10" s="391"/>
      <c r="AK10" s="1464"/>
      <c r="AM10" s="524"/>
      <c r="AN10" s="524" t="str">
        <f>IF(T10="","",T10)</f>
        <v>Добавить группу потребителей</v>
      </c>
      <c r="AO10" s="524"/>
      <c r="AP10" s="524"/>
      <c r="AQ10" s="1179">
        <v>0</v>
      </c>
    </row>
    <row customHeight="1" ht="14.25" hidden="1">
      <c r="A11" s="1387"/>
      <c r="B11" s="1387"/>
      <c r="C11" s="1387"/>
      <c r="D11" s="1387"/>
      <c r="E11" s="2283"/>
      <c r="F11" s="2283"/>
      <c r="G11" s="2283"/>
      <c r="H11" s="2282"/>
      <c r="I11" s="1387"/>
      <c r="J11" s="1387"/>
      <c r="K11" s="1387"/>
      <c r="L11" s="1388"/>
      <c r="M11" s="1389"/>
      <c r="N11" s="1389"/>
      <c r="O11" s="561"/>
      <c r="P11" s="384"/>
      <c r="Q11" s="399"/>
      <c r="R11" s="379"/>
      <c r="S11" s="1302"/>
      <c r="T11" s="396" t="s">
        <v>572</v>
      </c>
      <c r="U11" s="391"/>
      <c r="V11" s="391"/>
      <c r="W11" s="391"/>
      <c r="X11" s="391"/>
      <c r="Y11" s="391"/>
      <c r="Z11" s="391"/>
      <c r="AA11" s="391"/>
      <c r="AB11" s="390"/>
      <c r="AC11" s="391"/>
      <c r="AD11" s="391"/>
      <c r="AE11" s="391"/>
      <c r="AF11" s="391"/>
      <c r="AG11" s="391"/>
      <c r="AH11" s="391"/>
      <c r="AI11" s="390"/>
      <c r="AJ11" s="391"/>
      <c r="AK11" s="327"/>
      <c r="AM11" s="524"/>
      <c r="AN11" s="524" t="str">
        <f>IF(T11="","",T11)</f>
        <v>Добавить наименование признака дифференциации</v>
      </c>
      <c r="AO11" s="524"/>
      <c r="AP11" s="524"/>
      <c r="AQ11" s="1179">
        <v>0</v>
      </c>
    </row>
    <row s="1666" customFormat="1" customHeight="1" ht="14.25" hidden="1">
      <c r="A12" s="1367"/>
      <c r="B12" s="1367"/>
      <c r="C12" s="1338"/>
      <c r="D12" s="1338"/>
      <c r="E12" s="2283"/>
      <c r="F12" s="2282"/>
      <c r="G12" s="1338"/>
      <c r="H12" s="1338"/>
      <c r="I12" s="1338"/>
      <c r="J12" s="1338"/>
      <c r="K12" s="1338"/>
      <c r="L12" s="1450"/>
      <c r="M12" s="1345"/>
      <c r="N12" s="1345"/>
      <c r="P12" s="1340"/>
      <c r="Q12" s="1341"/>
      <c r="R12" s="1340"/>
      <c r="S12" s="1346"/>
      <c r="T12" s="1349" t="s">
        <v>499</v>
      </c>
      <c r="U12" s="1348"/>
      <c r="V12" s="1348"/>
      <c r="W12" s="1348"/>
      <c r="X12" s="1348"/>
      <c r="Y12" s="1348"/>
      <c r="Z12" s="1348"/>
      <c r="AA12" s="1348"/>
      <c r="AB12" s="1348"/>
      <c r="AC12" s="1348"/>
      <c r="AD12" s="1348"/>
      <c r="AE12" s="1348"/>
      <c r="AF12" s="1348"/>
      <c r="AG12" s="1348"/>
      <c r="AH12" s="1348"/>
      <c r="AI12" s="1348"/>
      <c r="AJ12" s="1348"/>
      <c r="AK12" s="1348"/>
      <c r="AM12" s="813"/>
      <c r="AN12" s="813" t="str">
        <f>IF(T12="","",T12)</f>
        <v>Добавить централизованную систему для дифференциации</v>
      </c>
      <c r="AO12" s="813"/>
      <c r="AP12" s="813"/>
      <c r="AQ12" s="542">
        <v>0</v>
      </c>
    </row>
    <row s="1666" customFormat="1" customHeight="1" ht="14.25" hidden="1">
      <c r="A13" s="1367"/>
      <c r="B13" s="1367"/>
      <c r="C13" s="1367"/>
      <c r="D13" s="1367"/>
      <c r="E13" s="2282"/>
      <c r="F13" s="1367"/>
      <c r="G13" s="1367"/>
      <c r="H13" s="1367"/>
      <c r="I13" s="1367"/>
      <c r="J13" s="1367"/>
      <c r="K13" s="1367"/>
      <c r="L13" s="1370"/>
      <c r="M13" s="1345"/>
      <c r="N13" s="1345"/>
      <c r="O13" s="542"/>
      <c r="P13" s="404"/>
      <c r="Q13" s="1368"/>
      <c r="R13" s="404"/>
      <c r="S13" s="1346"/>
      <c r="T13" s="1349" t="s">
        <v>500</v>
      </c>
      <c r="U13" s="1348"/>
      <c r="V13" s="1348"/>
      <c r="W13" s="1348"/>
      <c r="X13" s="1348"/>
      <c r="Y13" s="1348"/>
      <c r="Z13" s="1348"/>
      <c r="AA13" s="1348"/>
      <c r="AB13" s="1348"/>
      <c r="AC13" s="1348"/>
      <c r="AD13" s="1348"/>
      <c r="AE13" s="1348"/>
      <c r="AF13" s="1348"/>
      <c r="AG13" s="1348"/>
      <c r="AH13" s="1348"/>
      <c r="AI13" s="1348"/>
      <c r="AJ13" s="1348"/>
      <c r="AK13" s="1348"/>
      <c r="AM13" s="524"/>
      <c r="AN13" s="524" t="str">
        <f>IF(T13="","",T13)</f>
        <v>Добавить территорию для дифференциации</v>
      </c>
      <c r="AO13" s="524"/>
      <c r="AP13" s="524"/>
      <c r="AQ13" s="535">
        <v>0</v>
      </c>
    </row>
    <row customHeight="1" ht="14.25" hidden="1">
      <c r="AB14" s="351"/>
      <c r="AI14" s="351"/>
      <c r="AQ14" s="1179">
        <v>0</v>
      </c>
    </row>
    <row customHeight="1" ht="14.25" hidden="1">
      <c r="AC15" s="1384"/>
      <c r="AD15" s="1384"/>
      <c r="AE15" s="1385"/>
      <c r="AF15" s="2291"/>
      <c r="AG15" s="2292" t="s">
        <v>66</v>
      </c>
      <c r="AH15" s="2291"/>
      <c r="AI15" s="2292" t="s">
        <v>66</v>
      </c>
      <c r="AQ15" s="1179">
        <v>0</v>
      </c>
    </row>
    <row customHeight="1" ht="14.25" hidden="1">
      <c r="AC16" s="1384"/>
      <c r="AD16" s="1384"/>
      <c r="AE16" s="352" t="str">
        <f>AF15&amp;"-"&amp;AH15</f>
        <v>-</v>
      </c>
      <c r="AF16" s="2292"/>
      <c r="AG16" s="2292"/>
      <c r="AH16" s="2292"/>
      <c r="AI16" s="2292"/>
      <c r="AQ16" s="1179">
        <v>0</v>
      </c>
    </row>
    <row customHeight="1" ht="14.25" hidden="1">
      <c r="AI17" s="351"/>
      <c r="AQ17" s="1179">
        <v>0</v>
      </c>
    </row>
    <row s="1390" customFormat="1" customHeight="1" ht="22.5" hidden="1">
      <c r="L18" s="1445"/>
      <c r="M18" s="1386"/>
      <c r="N18" s="1386"/>
      <c r="O18" s="1391" t="s">
        <v>501</v>
      </c>
      <c r="P18" s="1386"/>
      <c r="Q18" s="1395"/>
      <c r="R18" s="1395"/>
      <c r="S18" s="753"/>
      <c r="Y18" s="1391"/>
      <c r="AA18" s="1391"/>
      <c r="AB18" s="1390"/>
      <c r="AF18" s="1391"/>
      <c r="AH18" s="1391"/>
      <c r="AI18" s="1390"/>
      <c r="AL18" s="535"/>
      <c r="AM18" s="535"/>
      <c r="AN18" s="535"/>
      <c r="AO18" s="535"/>
      <c r="AP18" s="535"/>
      <c r="AQ18" s="1184">
        <v>0</v>
      </c>
    </row>
    <row s="1390" customFormat="1" customHeight="1" ht="14.25" hidden="1">
      <c r="L19" s="1445"/>
      <c r="M19" s="1386"/>
      <c r="N19" s="1386"/>
      <c r="O19" s="1386"/>
      <c r="P19" s="1386"/>
      <c r="Q19" s="1395"/>
      <c r="R19" s="1395"/>
      <c r="S19" s="753"/>
      <c r="AB19" s="1390"/>
      <c r="AI19" s="1390"/>
      <c r="AL19" s="535"/>
      <c r="AM19" s="535"/>
      <c r="AN19" s="535"/>
      <c r="AO19" s="535"/>
      <c r="AP19" s="535"/>
      <c r="AQ19" s="1184">
        <v>0</v>
      </c>
    </row>
    <row s="1390" customFormat="1" customHeight="1" ht="12" hidden="1">
      <c r="L20" s="1445"/>
      <c r="M20" s="1386"/>
      <c r="N20" s="1386"/>
      <c r="O20" s="1388" t="s">
        <v>502</v>
      </c>
      <c r="P20" s="1386"/>
      <c r="Q20" s="1466"/>
      <c r="R20" s="1466"/>
      <c r="S20" s="753"/>
      <c r="T20" s="1184" t="s">
        <v>503</v>
      </c>
      <c r="Z20" s="210" t="s">
        <v>504</v>
      </c>
      <c r="AB20" s="210" t="s">
        <v>505</v>
      </c>
      <c r="AC20" s="1184" t="s">
        <v>503</v>
      </c>
      <c r="AG20" s="210" t="s">
        <v>506</v>
      </c>
      <c r="AI20" s="210" t="s">
        <v>505</v>
      </c>
      <c r="AQ20" s="1184">
        <v>0</v>
      </c>
    </row>
    <row customHeight="1" ht="14.25" hidden="1">
      <c r="O21" s="1388"/>
      <c r="AQ21" s="1179">
        <v>0</v>
      </c>
    </row>
    <row customHeight="1" ht="14.25" hidden="1">
      <c r="O22" s="1388"/>
      <c r="AQ22" s="1179">
        <v>0</v>
      </c>
    </row>
    <row customHeight="1" ht="14.699999999999998">
      <c r="Q23" s="400"/>
      <c r="R23" s="400"/>
      <c r="S23" s="1299"/>
      <c r="T23" s="387"/>
      <c r="U23" s="387"/>
      <c r="V23" s="533"/>
      <c r="W23" s="533"/>
      <c r="X23" s="533"/>
      <c r="Y23" s="533"/>
      <c r="Z23" s="533"/>
      <c r="AA23" s="533"/>
      <c r="AB23" s="533"/>
      <c r="AC23" s="533"/>
      <c r="AD23" s="533"/>
      <c r="AE23" s="533"/>
      <c r="AF23" s="533"/>
      <c r="AG23" s="533"/>
      <c r="AH23" s="533"/>
      <c r="AI23" s="533"/>
      <c r="AQ23" s="1179">
        <v>14</v>
      </c>
    </row>
    <row customHeight="1" ht="14.699999999999998">
      <c r="Q24" s="400"/>
      <c r="R24" s="400"/>
      <c r="S24" s="227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2"/>
      <c r="U24" s="2272"/>
      <c r="V24" s="2272"/>
      <c r="W24" s="2272"/>
      <c r="X24" s="2272"/>
      <c r="Y24" s="2272"/>
      <c r="Z24" s="2272"/>
      <c r="AA24" s="2272"/>
      <c r="AB24" s="2272"/>
      <c r="AC24" s="2272"/>
      <c r="AD24" s="2272"/>
      <c r="AE24" s="2272"/>
      <c r="AF24" s="2272"/>
      <c r="AG24" s="2272"/>
      <c r="AH24" s="2272"/>
      <c r="AI24" s="1267"/>
      <c r="AQ24" s="1179">
        <v>14</v>
      </c>
    </row>
    <row customHeight="1" ht="14.699999999999998">
      <c r="Q25" s="400"/>
      <c r="R25" s="400"/>
      <c r="S25" s="2273" t="str">
        <f>IF(org=0,"Не определено",org)</f>
        <v>АО "ДГК"</v>
      </c>
      <c r="T25" s="2273"/>
      <c r="U25" s="2273"/>
      <c r="V25" s="2273"/>
      <c r="W25" s="2273"/>
      <c r="X25" s="2273"/>
      <c r="Y25" s="2273"/>
      <c r="Z25" s="2273"/>
      <c r="AA25" s="2273"/>
      <c r="AB25" s="2273"/>
      <c r="AC25" s="2273"/>
      <c r="AD25" s="2273"/>
      <c r="AE25" s="2273"/>
      <c r="AF25" s="2273"/>
      <c r="AG25" s="2273"/>
      <c r="AH25" s="2273"/>
      <c r="AI25" s="1267"/>
      <c r="AQ25" s="1179">
        <v>14</v>
      </c>
    </row>
    <row customHeight="1" ht="14.25" hidden="1">
      <c r="Q26" s="400"/>
      <c r="R26" s="400"/>
      <c r="S26" s="1299"/>
      <c r="T26" s="387"/>
      <c r="U26" s="387"/>
      <c r="V26" s="346"/>
      <c r="W26" s="346"/>
      <c r="X26" s="346"/>
      <c r="Y26" s="346"/>
      <c r="Z26" s="346"/>
      <c r="AA26" s="346"/>
      <c r="AB26" s="346"/>
      <c r="AC26" s="346"/>
      <c r="AD26" s="346"/>
      <c r="AE26" s="346"/>
      <c r="AF26" s="346"/>
      <c r="AG26" s="346"/>
      <c r="AH26" s="346"/>
      <c r="AI26" s="346"/>
      <c r="AJ26" s="533"/>
      <c r="AQ26" s="1179">
        <v>0</v>
      </c>
    </row>
    <row s="1877" customFormat="1" customHeight="1" ht="25.5" hidden="1">
      <c r="A27" s="1392"/>
      <c r="B27" s="1392"/>
      <c r="C27" s="1392"/>
      <c r="D27" s="1392"/>
      <c r="E27" s="1392"/>
      <c r="F27" s="1392"/>
      <c r="G27" s="1392"/>
      <c r="H27" s="1392"/>
      <c r="I27" s="1392"/>
      <c r="J27" s="1392"/>
      <c r="K27" s="1392"/>
      <c r="L27" s="1393"/>
      <c r="M27" s="1392"/>
      <c r="N27" s="1392"/>
      <c r="O27" s="1392"/>
      <c r="S27" s="2274" t="s">
        <v>42</v>
      </c>
      <c r="T27" s="2274"/>
      <c r="U27" s="1396"/>
      <c r="V27" s="2275" t="str">
        <f>IF(TITLE_NAME_OR_PR_CHANGE="",IF(TITLE_NAME_OR_PR="","",TITLE_NAME_OR_PR),TITLE_NAME_OR_PR_CHANGE)</f>
        <v/>
      </c>
      <c r="W27" s="2275"/>
      <c r="X27" s="2275"/>
      <c r="Y27" s="2275"/>
      <c r="Z27" s="2275"/>
      <c r="AA27" s="2275"/>
      <c r="AB27" s="350"/>
      <c r="AC27" s="2275" t="str">
        <f>IF(TITLE_NAME_OR_PR_CHANGE="",IF(TITLE_NAME_OR_PR="","",TITLE_NAME_OR_PR),TITLE_NAME_OR_PR_CHANGE)</f>
        <v/>
      </c>
      <c r="AD27" s="2275"/>
      <c r="AE27" s="2275"/>
      <c r="AF27" s="2275"/>
      <c r="AG27" s="2275"/>
      <c r="AH27" s="2275"/>
      <c r="AI27" s="350"/>
      <c r="AJ27" s="350"/>
      <c r="AK27" s="304"/>
      <c r="AL27" s="392"/>
      <c r="AM27" s="392"/>
      <c r="AN27" s="392"/>
      <c r="AO27" s="392"/>
      <c r="AP27" s="392"/>
      <c r="AQ27" s="442">
        <v>0</v>
      </c>
    </row>
    <row s="1877" customFormat="1" customHeight="1" ht="18.75" hidden="1">
      <c r="A28" s="1392"/>
      <c r="B28" s="1392"/>
      <c r="C28" s="1392"/>
      <c r="D28" s="1392"/>
      <c r="E28" s="1392"/>
      <c r="F28" s="1392"/>
      <c r="G28" s="1392"/>
      <c r="H28" s="1392"/>
      <c r="I28" s="1392"/>
      <c r="J28" s="1392"/>
      <c r="K28" s="1392"/>
      <c r="L28" s="1393"/>
      <c r="M28" s="1392"/>
      <c r="N28" s="1392"/>
      <c r="O28" s="1392"/>
      <c r="S28" s="2274" t="s">
        <v>507</v>
      </c>
      <c r="T28" s="2274"/>
      <c r="U28" s="1396"/>
      <c r="V28" s="2288" t="str">
        <f>IF(TITLE_DATE_PR_CHANGE="",IF(TITLE_DATE_PR="","",TITLE_DATE_PR),TITLE_DATE_PR_CHANGE)</f>
        <v/>
      </c>
      <c r="W28" s="2288"/>
      <c r="X28" s="2288"/>
      <c r="Y28" s="2288"/>
      <c r="Z28" s="2288"/>
      <c r="AA28" s="2288"/>
      <c r="AB28" s="350"/>
      <c r="AC28" s="2288" t="str">
        <f>IF(TITLE_DATE_PR_CHANGE="",IF(TITLE_DATE_PR="","",TITLE_DATE_PR),TITLE_DATE_PR_CHANGE)</f>
        <v/>
      </c>
      <c r="AD28" s="2288"/>
      <c r="AE28" s="2288"/>
      <c r="AF28" s="2288"/>
      <c r="AG28" s="2288"/>
      <c r="AH28" s="2288"/>
      <c r="AI28" s="350"/>
      <c r="AJ28" s="350"/>
      <c r="AK28" s="304"/>
      <c r="AL28" s="392"/>
      <c r="AM28" s="392"/>
      <c r="AN28" s="392"/>
      <c r="AO28" s="392"/>
      <c r="AP28" s="392"/>
      <c r="AQ28" s="442">
        <v>0</v>
      </c>
    </row>
    <row s="1877" customFormat="1" customHeight="1" ht="18.75" hidden="1">
      <c r="A29" s="1392"/>
      <c r="B29" s="1392"/>
      <c r="C29" s="1392"/>
      <c r="D29" s="1392"/>
      <c r="E29" s="1392"/>
      <c r="F29" s="1392"/>
      <c r="G29" s="1392"/>
      <c r="H29" s="1392"/>
      <c r="I29" s="1392"/>
      <c r="J29" s="1392"/>
      <c r="K29" s="1392"/>
      <c r="L29" s="1393"/>
      <c r="M29" s="1392"/>
      <c r="N29" s="1392"/>
      <c r="O29" s="1392"/>
      <c r="S29" s="2274" t="s">
        <v>508</v>
      </c>
      <c r="T29" s="2274"/>
      <c r="U29" s="1396"/>
      <c r="V29" s="2275" t="str">
        <f>IF(TITLE_NUMBER_PR_CHANGE="",IF(TITLE_NUMBER_PR="","",TITLE_NUMBER_PR),TITLE_NUMBER_PR_CHANGE)</f>
        <v/>
      </c>
      <c r="W29" s="2275"/>
      <c r="X29" s="2275"/>
      <c r="Y29" s="2275"/>
      <c r="Z29" s="2275"/>
      <c r="AA29" s="2275"/>
      <c r="AB29" s="350"/>
      <c r="AC29" s="2275" t="str">
        <f>IF(TITLE_NUMBER_PR_CHANGE="",IF(TITLE_NUMBER_PR="","",TITLE_NUMBER_PR),TITLE_NUMBER_PR_CHANGE)</f>
        <v/>
      </c>
      <c r="AD29" s="2275"/>
      <c r="AE29" s="2275"/>
      <c r="AF29" s="2275"/>
      <c r="AG29" s="2275"/>
      <c r="AH29" s="2275"/>
      <c r="AI29" s="350"/>
      <c r="AJ29" s="350"/>
      <c r="AK29" s="304"/>
      <c r="AL29" s="392"/>
      <c r="AM29" s="392"/>
      <c r="AN29" s="392"/>
      <c r="AO29" s="392"/>
      <c r="AP29" s="392"/>
      <c r="AQ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43</v>
      </c>
      <c r="T30" s="2274"/>
      <c r="U30" s="1396"/>
      <c r="V30" s="2275" t="str">
        <f>IF(TITLE_IST_PUB_CHANGE="",IF(TITLE_IST_PUB="","",TITLE_IST_PUB),TITLE_IST_PUB_CHANGE)</f>
        <v/>
      </c>
      <c r="W30" s="2275"/>
      <c r="X30" s="2275"/>
      <c r="Y30" s="2275"/>
      <c r="Z30" s="2275"/>
      <c r="AA30" s="2275"/>
      <c r="AB30" s="350"/>
      <c r="AC30" s="2275" t="str">
        <f>IF(TITLE_IST_PUB_CHANGE="",IF(TITLE_IST_PUB="","",TITLE_IST_PUB),TITLE_IST_PUB_CHANGE)</f>
        <v/>
      </c>
      <c r="AD30" s="2275"/>
      <c r="AE30" s="2275"/>
      <c r="AF30" s="2275"/>
      <c r="AG30" s="2275"/>
      <c r="AH30" s="2275"/>
      <c r="AI30" s="350"/>
      <c r="AJ30" s="350"/>
      <c r="AK30" s="304"/>
      <c r="AL30" s="392"/>
      <c r="AM30" s="392"/>
      <c r="AN30" s="392"/>
      <c r="AO30" s="392"/>
      <c r="AP30" s="392"/>
      <c r="AQ30" s="442">
        <v>0</v>
      </c>
    </row>
    <row customHeight="1" ht="14.25" hidden="1">
      <c r="Q31" s="400"/>
      <c r="R31" s="400"/>
      <c r="S31" s="1299"/>
      <c r="T31" s="387"/>
      <c r="U31" s="387"/>
      <c r="V31" s="346"/>
      <c r="W31" s="346"/>
      <c r="X31" s="346"/>
      <c r="Y31" s="346"/>
      <c r="Z31" s="346"/>
      <c r="AA31" s="346"/>
      <c r="AB31" s="346"/>
      <c r="AC31" s="346"/>
      <c r="AD31" s="346"/>
      <c r="AE31" s="346"/>
      <c r="AF31" s="346"/>
      <c r="AG31" s="346"/>
      <c r="AH31" s="346"/>
      <c r="AI31" s="346"/>
      <c r="AJ31" s="533"/>
      <c r="AQ31" s="1179">
        <v>0</v>
      </c>
    </row>
    <row s="1877" customFormat="1" customHeight="1" ht="18.75" hidden="1">
      <c r="A32" s="1392"/>
      <c r="B32" s="1392"/>
      <c r="C32" s="1392"/>
      <c r="D32" s="1392"/>
      <c r="E32" s="1392"/>
      <c r="F32" s="1392"/>
      <c r="G32" s="1392"/>
      <c r="H32" s="1392"/>
      <c r="I32" s="1392"/>
      <c r="J32" s="1392"/>
      <c r="K32" s="1392"/>
      <c r="L32" s="1393"/>
      <c r="M32" s="1392"/>
      <c r="N32" s="1392"/>
      <c r="O32" s="1392"/>
      <c r="S32" s="2274" t="s">
        <v>509</v>
      </c>
      <c r="T32" s="2274"/>
      <c r="U32" s="1396"/>
      <c r="V32" s="2288" t="str">
        <f>IF(TITLE_DATE_PR_CHANGE="",IF(TITLE_DATE_PR="","",TITLE_DATE_PR),TITLE_DATE_PR_CHANGE)</f>
        <v/>
      </c>
      <c r="W32" s="2288"/>
      <c r="X32" s="2288"/>
      <c r="Y32" s="2288"/>
      <c r="Z32" s="2288"/>
      <c r="AA32" s="2288"/>
      <c r="AB32" s="350"/>
      <c r="AC32" s="2288" t="str">
        <f>IF(TITLE_DATE_PR_CHANGE="",IF(TITLE_DATE_PR="","",TITLE_DATE_PR),TITLE_DATE_PR_CHANGE)</f>
        <v/>
      </c>
      <c r="AD32" s="2288"/>
      <c r="AE32" s="2288"/>
      <c r="AF32" s="2288"/>
      <c r="AG32" s="2288"/>
      <c r="AH32" s="2288"/>
      <c r="AI32" s="350"/>
      <c r="AJ32" s="350"/>
      <c r="AK32" s="304"/>
      <c r="AL32" s="392"/>
      <c r="AM32" s="392"/>
      <c r="AN32" s="392"/>
      <c r="AO32" s="392"/>
      <c r="AP32" s="392"/>
      <c r="AQ32" s="442">
        <v>0</v>
      </c>
    </row>
    <row s="1877" customFormat="1" customHeight="1" ht="18.75" hidden="1">
      <c r="A33" s="1392"/>
      <c r="B33" s="1392"/>
      <c r="C33" s="1392"/>
      <c r="D33" s="1392"/>
      <c r="E33" s="1392"/>
      <c r="F33" s="1392"/>
      <c r="G33" s="1392"/>
      <c r="H33" s="1392"/>
      <c r="I33" s="1392"/>
      <c r="J33" s="1392"/>
      <c r="K33" s="1392"/>
      <c r="L33" s="1393"/>
      <c r="M33" s="1392"/>
      <c r="N33" s="1392"/>
      <c r="O33" s="1392"/>
      <c r="S33" s="2274" t="s">
        <v>510</v>
      </c>
      <c r="T33" s="2274"/>
      <c r="U33" s="1396"/>
      <c r="V33" s="2275" t="str">
        <f>IF(TITLE_NUMBER_PR_CHANGE="",IF(TITLE_NUMBER_PR="","",TITLE_NUMBER_PR),TITLE_NUMBER_PR_CHANGE)</f>
        <v/>
      </c>
      <c r="W33" s="2275"/>
      <c r="X33" s="2275"/>
      <c r="Y33" s="2275"/>
      <c r="Z33" s="2275"/>
      <c r="AA33" s="2275"/>
      <c r="AB33" s="350"/>
      <c r="AC33" s="2275" t="str">
        <f>IF(TITLE_NUMBER_PR_CHANGE="",IF(TITLE_NUMBER_PR="","",TITLE_NUMBER_PR),TITLE_NUMBER_PR_CHANGE)</f>
        <v/>
      </c>
      <c r="AD33" s="2275"/>
      <c r="AE33" s="2275"/>
      <c r="AF33" s="2275"/>
      <c r="AG33" s="2275"/>
      <c r="AH33" s="2275"/>
      <c r="AI33" s="350"/>
      <c r="AJ33" s="350"/>
      <c r="AK33" s="304"/>
      <c r="AL33" s="392"/>
      <c r="AM33" s="392"/>
      <c r="AN33" s="392"/>
      <c r="AO33" s="392"/>
      <c r="AP33" s="392"/>
      <c r="AQ33" s="442">
        <v>0</v>
      </c>
    </row>
    <row s="1877" customFormat="1" customHeight="1" ht="1.05">
      <c r="A34" s="1392"/>
      <c r="B34" s="1392"/>
      <c r="C34" s="1392"/>
      <c r="D34" s="1392"/>
      <c r="E34" s="1392"/>
      <c r="F34" s="1392"/>
      <c r="G34" s="1392"/>
      <c r="H34" s="1392"/>
      <c r="I34" s="1392"/>
      <c r="J34" s="1392"/>
      <c r="K34" s="1392"/>
      <c r="L34" s="1393"/>
      <c r="M34" s="1392"/>
      <c r="N34" s="1392"/>
      <c r="O34" s="1392"/>
      <c r="S34" s="347"/>
      <c r="T34" s="347"/>
      <c r="U34" s="1379"/>
      <c r="V34" s="350"/>
      <c r="W34" s="350"/>
      <c r="X34" s="350"/>
      <c r="Y34" s="350"/>
      <c r="Z34" s="350"/>
      <c r="AA34" s="350"/>
      <c r="AB34" s="302" t="s">
        <v>511</v>
      </c>
      <c r="AC34" s="350"/>
      <c r="AD34" s="350"/>
      <c r="AE34" s="350"/>
      <c r="AF34" s="350"/>
      <c r="AG34" s="350"/>
      <c r="AH34" s="350"/>
      <c r="AI34" s="302" t="s">
        <v>511</v>
      </c>
      <c r="AL34" s="392"/>
      <c r="AM34" s="392"/>
      <c r="AN34" s="392"/>
      <c r="AO34" s="392"/>
      <c r="AP34" s="392"/>
      <c r="AQ34" s="442">
        <v>1</v>
      </c>
    </row>
    <row customHeight="1" ht="14.699999999999998">
      <c r="Q35" s="400"/>
      <c r="R35" s="400"/>
      <c r="S35" s="1299"/>
      <c r="T35" s="387"/>
      <c r="U35" s="1268"/>
      <c r="V35" s="2276"/>
      <c r="W35" s="2276"/>
      <c r="X35" s="2276"/>
      <c r="Y35" s="2276"/>
      <c r="Z35" s="2276"/>
      <c r="AA35" s="2276"/>
      <c r="AB35" s="2276"/>
      <c r="AC35" s="2276"/>
      <c r="AD35" s="2276"/>
      <c r="AE35" s="2276"/>
      <c r="AF35" s="2276"/>
      <c r="AG35" s="2276"/>
      <c r="AH35" s="2276"/>
      <c r="AI35" s="2276"/>
      <c r="AQ35" s="1179">
        <v>14</v>
      </c>
    </row>
    <row customHeight="1" ht="14.699999999999998">
      <c r="Q36" s="400"/>
      <c r="R36" s="400"/>
      <c r="S36" s="2151" t="s">
        <v>384</v>
      </c>
      <c r="T36" s="2151"/>
      <c r="U36" s="2151"/>
      <c r="V36" s="2151"/>
      <c r="W36" s="2151"/>
      <c r="X36" s="2151"/>
      <c r="Y36" s="2151"/>
      <c r="Z36" s="2151"/>
      <c r="AA36" s="2151"/>
      <c r="AB36" s="2151"/>
      <c r="AC36" s="2151"/>
      <c r="AD36" s="2151"/>
      <c r="AE36" s="2151"/>
      <c r="AF36" s="2151"/>
      <c r="AG36" s="2151"/>
      <c r="AH36" s="2151"/>
      <c r="AI36" s="2151"/>
      <c r="AJ36" s="2151"/>
      <c r="AK36" s="2151" t="s">
        <v>385</v>
      </c>
      <c r="AQ36" s="1179">
        <v>14</v>
      </c>
    </row>
    <row customHeight="1" ht="14.699999999999998">
      <c r="Q37" s="400"/>
      <c r="R37" s="400"/>
      <c r="S37" s="2297" t="s">
        <v>88</v>
      </c>
      <c r="T37" s="2233" t="s">
        <v>512</v>
      </c>
      <c r="U37" s="325"/>
      <c r="V37" s="2298" t="s">
        <v>513</v>
      </c>
      <c r="W37" s="2299"/>
      <c r="X37" s="2299"/>
      <c r="Y37" s="2299"/>
      <c r="Z37" s="2299"/>
      <c r="AA37" s="2300"/>
      <c r="AB37" s="2301" t="s">
        <v>514</v>
      </c>
      <c r="AC37" s="2298" t="s">
        <v>513</v>
      </c>
      <c r="AD37" s="2299"/>
      <c r="AE37" s="2299"/>
      <c r="AF37" s="2299"/>
      <c r="AG37" s="2299"/>
      <c r="AH37" s="2300"/>
      <c r="AI37" s="2301" t="s">
        <v>515</v>
      </c>
      <c r="AJ37" s="2304" t="s">
        <v>516</v>
      </c>
      <c r="AK37" s="2151"/>
      <c r="AQ37" s="1179">
        <v>14</v>
      </c>
    </row>
    <row customHeight="1" ht="35.699999999999996">
      <c r="Q38" s="400"/>
      <c r="R38" s="400"/>
      <c r="S38" s="2297"/>
      <c r="T38" s="2233"/>
      <c r="U38" s="1055"/>
      <c r="V38" s="1376" t="s">
        <v>573</v>
      </c>
      <c r="W38" s="2286" t="s">
        <v>519</v>
      </c>
      <c r="X38" s="2287"/>
      <c r="Y38" s="2286" t="s">
        <v>520</v>
      </c>
      <c r="Z38" s="2293"/>
      <c r="AA38" s="2287"/>
      <c r="AB38" s="2302"/>
      <c r="AC38" s="1376" t="s">
        <v>573</v>
      </c>
      <c r="AD38" s="2286" t="s">
        <v>519</v>
      </c>
      <c r="AE38" s="2287"/>
      <c r="AF38" s="2286" t="s">
        <v>520</v>
      </c>
      <c r="AG38" s="2293"/>
      <c r="AH38" s="2287"/>
      <c r="AI38" s="2302"/>
      <c r="AJ38" s="2305"/>
      <c r="AK38" s="2151"/>
      <c r="AQ38" s="1179">
        <v>34</v>
      </c>
    </row>
    <row customHeight="1" ht="35.699999999999996">
      <c r="A39" s="1394"/>
      <c r="B39" s="1394" t="s">
        <v>223</v>
      </c>
      <c r="C39" s="1394" t="s">
        <v>224</v>
      </c>
      <c r="D39" s="1394" t="s">
        <v>225</v>
      </c>
      <c r="E39" s="1388" t="s">
        <v>521</v>
      </c>
      <c r="F39" s="1388" t="s">
        <v>522</v>
      </c>
      <c r="G39" s="1388" t="s">
        <v>523</v>
      </c>
      <c r="H39" s="1388"/>
      <c r="I39" s="1388" t="s">
        <v>574</v>
      </c>
      <c r="J39" s="1388" t="s">
        <v>526</v>
      </c>
      <c r="K39" s="1388" t="s">
        <v>575</v>
      </c>
      <c r="L39" s="1388" t="s">
        <v>502</v>
      </c>
      <c r="Q39" s="400"/>
      <c r="R39" s="400"/>
      <c r="S39" s="2297"/>
      <c r="T39" s="2233"/>
      <c r="U39" s="326"/>
      <c r="V39" s="1376" t="s">
        <v>576</v>
      </c>
      <c r="W39" s="1246" t="s">
        <v>577</v>
      </c>
      <c r="X39" s="1246" t="s">
        <v>578</v>
      </c>
      <c r="Y39" s="1381" t="s">
        <v>530</v>
      </c>
      <c r="Z39" s="2294" t="s">
        <v>531</v>
      </c>
      <c r="AA39" s="2295"/>
      <c r="AB39" s="2303"/>
      <c r="AC39" s="1376" t="s">
        <v>576</v>
      </c>
      <c r="AD39" s="1246" t="s">
        <v>577</v>
      </c>
      <c r="AE39" s="1246" t="s">
        <v>578</v>
      </c>
      <c r="AF39" s="1381" t="s">
        <v>530</v>
      </c>
      <c r="AG39" s="2294" t="s">
        <v>531</v>
      </c>
      <c r="AH39" s="2295"/>
      <c r="AI39" s="2303"/>
      <c r="AJ39" s="2306"/>
      <c r="AK39" s="2151"/>
      <c r="AQ39" s="1179">
        <v>34</v>
      </c>
    </row>
    <row s="1665" customFormat="1" customHeight="1" ht="11.25" hidden="1">
      <c r="A40" s="1394"/>
      <c r="B40" s="1394"/>
      <c r="C40" s="1394"/>
      <c r="D40" s="1394"/>
      <c r="E40" s="1394"/>
      <c r="F40" s="1394"/>
      <c r="G40" s="1394"/>
      <c r="H40" s="1394"/>
      <c r="I40" s="1394"/>
      <c r="J40" s="1394"/>
      <c r="K40" s="1394"/>
      <c r="L40" s="1388"/>
      <c r="M40" s="1386"/>
      <c r="N40" s="1386"/>
      <c r="O40" s="1386"/>
      <c r="P40" s="1270"/>
      <c r="Q40" s="1271"/>
      <c r="R40" s="1278">
        <v>1</v>
      </c>
      <c r="S40" s="1301" t="s">
        <v>170</v>
      </c>
      <c r="T40" s="1279" t="s">
        <v>103</v>
      </c>
      <c r="U40" s="1269" t="str">
        <f>OFFSET(U40,0,-1)</f>
        <v>2</v>
      </c>
      <c r="V40" s="1377">
        <f>OFFSET(V40,0,-1)+1</f>
        <v>3</v>
      </c>
      <c r="W40" s="1377">
        <f>OFFSET(W40,0,-1)+1</f>
        <v>4</v>
      </c>
      <c r="X40" s="1377">
        <f>OFFSET(X40,0,-1)+1</f>
        <v>5</v>
      </c>
      <c r="Y40" s="1377">
        <f>OFFSET(Y40,0,-1)+1</f>
        <v>6</v>
      </c>
      <c r="Z40" s="2296">
        <f>OFFSET(Z40,0,-1)+1</f>
        <v>7</v>
      </c>
      <c r="AA40" s="2296"/>
      <c r="AB40" s="1377">
        <f>OFFSET(AB40,0,-2)+1</f>
        <v>8</v>
      </c>
      <c r="AC40" s="1377">
        <f>OFFSET(AC40,0,-1)+1</f>
        <v>9</v>
      </c>
      <c r="AD40" s="1377">
        <f>OFFSET(AD40,0,-1)+1</f>
        <v>10</v>
      </c>
      <c r="AE40" s="1377">
        <f>OFFSET(AE40,0,-1)+1</f>
        <v>11</v>
      </c>
      <c r="AF40" s="1377">
        <f>OFFSET(AF40,0,-1)+1</f>
        <v>12</v>
      </c>
      <c r="AG40" s="2296">
        <f>OFFSET(AG40,0,-1)+1</f>
        <v>13</v>
      </c>
      <c r="AH40" s="2296"/>
      <c r="AI40" s="1377">
        <f>OFFSET(AI40,0,-2)+1</f>
        <v>14</v>
      </c>
      <c r="AJ40" s="1269">
        <f>OFFSET(AJ40,0,-1)</f>
        <v>14</v>
      </c>
      <c r="AK40" s="1377">
        <f>OFFSET(AK40,0,-1)+1</f>
        <v>15</v>
      </c>
      <c r="AL40" s="535"/>
      <c r="AM40" s="535"/>
      <c r="AN40" s="535"/>
      <c r="AO40" s="535"/>
      <c r="AP40" s="535"/>
      <c r="AQ40" s="520">
        <v>0</v>
      </c>
    </row>
    <row customHeight="1" ht="24">
      <c r="A41" s="1387" t="s">
        <v>310</v>
      </c>
      <c r="B41" s="1387"/>
      <c r="C41" s="1387"/>
      <c r="D41" s="1387"/>
      <c r="E41" s="2282">
        <v>1</v>
      </c>
      <c r="F41" s="1387"/>
      <c r="G41" s="1387"/>
      <c r="H41" s="1387"/>
      <c r="I41" s="1387"/>
      <c r="J41" s="1387"/>
      <c r="K41" s="1387"/>
      <c r="L41" s="1388"/>
      <c r="M41" s="1389"/>
      <c r="N41" s="1389"/>
      <c r="O41" s="1389"/>
      <c r="P41" s="385"/>
      <c r="Q41" s="384"/>
      <c r="R41" s="379"/>
      <c r="S41" s="1382">
        <f>INDEX(PT_DIFFERENTIATION_NUM_NTAR,MATCH(A41,PT_DIFFERENTIATION_NTAR_ID,0))</f>
        <v>0</v>
      </c>
      <c r="T41" s="322" t="s">
        <v>211</v>
      </c>
      <c r="U41" s="324"/>
      <c r="V41" s="2266"/>
      <c r="W41" s="2267"/>
      <c r="X41" s="2267"/>
      <c r="Y41" s="2267"/>
      <c r="Z41" s="2267"/>
      <c r="AA41" s="2267"/>
      <c r="AB41" s="2268"/>
      <c r="AC41" s="2266" t="str">
        <f>INDEX(PT_DIFFERENTIATION_NTAR,MATCH(A41,PT_DIFFERENTIATION_NTAR_ID,0))</f>
        <v/>
      </c>
      <c r="AD41" s="2267"/>
      <c r="AE41" s="2267"/>
      <c r="AF41" s="2267"/>
      <c r="AG41" s="2267"/>
      <c r="AH41" s="2267"/>
      <c r="AI41" s="2267"/>
      <c r="AJ41" s="2268"/>
      <c r="AK41"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24"/>
      <c r="AN41" s="524" t="str">
        <f>IF(T41="","",T41)</f>
        <v>Наименование тарифа</v>
      </c>
      <c r="AO41" s="524"/>
      <c r="AP41" s="524"/>
      <c r="AQ41" s="1179">
        <v>23</v>
      </c>
    </row>
    <row customHeight="1" ht="24">
      <c r="A42" s="1387" t="s">
        <v>310</v>
      </c>
      <c r="B42" s="1387" t="s">
        <v>311</v>
      </c>
      <c r="C42" s="1387"/>
      <c r="D42" s="1387"/>
      <c r="E42" s="2283"/>
      <c r="F42" s="2282">
        <v>1</v>
      </c>
      <c r="G42" s="1387"/>
      <c r="H42" s="1387"/>
      <c r="I42" s="1387"/>
      <c r="J42" s="1387"/>
      <c r="K42" s="1387"/>
      <c r="L42" s="1388"/>
      <c r="M42" s="1389"/>
      <c r="N42" s="1389"/>
      <c r="O42" s="1389"/>
      <c r="P42" s="1380"/>
      <c r="Q42" s="376"/>
      <c r="R42" s="377"/>
      <c r="S42" s="1382" t="str">
        <f>INDEX(PT_DIFFERENTIATION_NUM_TER,MATCH(B42,PT_DIFFERENTIATION_TER_ID,0))</f>
        <v>.</v>
      </c>
      <c r="T42" s="332" t="s">
        <v>481</v>
      </c>
      <c r="U42" s="324"/>
      <c r="V42" s="2266"/>
      <c r="W42" s="2267"/>
      <c r="X42" s="2267"/>
      <c r="Y42" s="2267"/>
      <c r="Z42" s="2267"/>
      <c r="AA42" s="2267"/>
      <c r="AB42" s="2268"/>
      <c r="AC42" s="2266" t="str">
        <f>INDEX(PT_DIFFERENTIATION_TER,MATCH(B42,PT_DIFFERENTIATION_TER_ID,0))</f>
        <v/>
      </c>
      <c r="AD42" s="2267"/>
      <c r="AE42" s="2267"/>
      <c r="AF42" s="2267"/>
      <c r="AG42" s="2267"/>
      <c r="AH42" s="2267"/>
      <c r="AI42" s="2267"/>
      <c r="AJ42" s="2268"/>
      <c r="AK42" s="1282" t="s">
        <v>482</v>
      </c>
      <c r="AM42" s="524"/>
      <c r="AN42" s="524" t="str">
        <f>IF(T42="","",T42)</f>
        <v>Территория действия тарифа</v>
      </c>
      <c r="AO42" s="524"/>
      <c r="AP42" s="524"/>
      <c r="AQ42" s="1179">
        <v>23</v>
      </c>
    </row>
    <row customHeight="1" ht="24">
      <c r="A43" s="1387" t="s">
        <v>310</v>
      </c>
      <c r="B43" s="1387" t="s">
        <v>311</v>
      </c>
      <c r="C43" s="1387" t="s">
        <v>312</v>
      </c>
      <c r="D43" s="1387"/>
      <c r="E43" s="2283"/>
      <c r="F43" s="2283"/>
      <c r="G43" s="2282">
        <v>1</v>
      </c>
      <c r="H43" s="1387"/>
      <c r="I43" s="1387"/>
      <c r="J43" s="1387"/>
      <c r="K43" s="1387"/>
      <c r="L43" s="1388"/>
      <c r="M43" s="1389"/>
      <c r="N43" s="1389"/>
      <c r="O43" s="1389"/>
      <c r="P43" s="378"/>
      <c r="Q43" s="376"/>
      <c r="R43" s="377"/>
      <c r="S43" s="1382" t="str">
        <f>INDEX(PT_DIFFERENTIATION_NUM_CS,MATCH(C43,PT_DIFFERENTIATION_CS_ID,0))</f>
        <v>..</v>
      </c>
      <c r="T43" s="333" t="s">
        <v>565</v>
      </c>
      <c r="U43" s="324"/>
      <c r="V43" s="2266"/>
      <c r="W43" s="2267"/>
      <c r="X43" s="2267"/>
      <c r="Y43" s="2267"/>
      <c r="Z43" s="2267"/>
      <c r="AA43" s="2267"/>
      <c r="AB43" s="2268"/>
      <c r="AC43" s="2266" t="str">
        <f>INDEX(PT_DIFFERENTIATION_CS,MATCH(C43,PT_DIFFERENTIATION_CS_ID,0))</f>
        <v/>
      </c>
      <c r="AD43" s="2267"/>
      <c r="AE43" s="2267"/>
      <c r="AF43" s="2267"/>
      <c r="AG43" s="2267"/>
      <c r="AH43" s="2267"/>
      <c r="AI43" s="2267"/>
      <c r="AJ43" s="2268"/>
      <c r="AK43" s="1282" t="s">
        <v>566</v>
      </c>
      <c r="AM43" s="524"/>
      <c r="AN43" s="524" t="str">
        <f>IF(T43="","",T43)</f>
        <v>Наименование централизованной системы холодного водоснабжения</v>
      </c>
      <c r="AO43" s="524"/>
      <c r="AP43" s="524"/>
      <c r="AQ43" s="1179">
        <v>23</v>
      </c>
    </row>
    <row customHeight="1" ht="24">
      <c r="A44" s="1387" t="s">
        <v>310</v>
      </c>
      <c r="B44" s="1387" t="s">
        <v>311</v>
      </c>
      <c r="C44" s="1387" t="s">
        <v>312</v>
      </c>
      <c r="D44" s="1387" t="s">
        <v>579</v>
      </c>
      <c r="E44" s="2283"/>
      <c r="F44" s="2283"/>
      <c r="G44" s="2283"/>
      <c r="H44" s="2283"/>
      <c r="I44" s="2280" t="str">
        <f>S43&amp;".1"</f>
        <v>...1</v>
      </c>
      <c r="J44" s="1387"/>
      <c r="K44" s="1387"/>
      <c r="L44" s="1388"/>
      <c r="P44" s="2281">
        <v>1</v>
      </c>
      <c r="Q44" s="1378"/>
      <c r="R44" s="380"/>
      <c r="S44" s="1382" t="str">
        <f>$I44</f>
        <v>...1</v>
      </c>
      <c r="T44" s="309" t="s">
        <v>567</v>
      </c>
      <c r="U44" s="324"/>
      <c r="V44" s="2374"/>
      <c r="W44" s="2375"/>
      <c r="X44" s="2375"/>
      <c r="Y44" s="2375"/>
      <c r="Z44" s="2375"/>
      <c r="AA44" s="2375"/>
      <c r="AB44" s="2376"/>
      <c r="AC44" s="2377"/>
      <c r="AD44" s="2378"/>
      <c r="AE44" s="2378"/>
      <c r="AF44" s="2378"/>
      <c r="AG44" s="2378"/>
      <c r="AH44" s="2378"/>
      <c r="AI44" s="2378"/>
      <c r="AJ44" s="2379"/>
      <c r="AK44" s="1282" t="s">
        <v>568</v>
      </c>
      <c r="AM44" s="524"/>
      <c r="AN44" s="524" t="str">
        <f>IF(T44="","",T44)</f>
        <v>Наименование признака дифференциации</v>
      </c>
      <c r="AO44" s="524"/>
      <c r="AP44" s="524"/>
      <c r="AQ44" s="1179">
        <v>23</v>
      </c>
    </row>
    <row customHeight="1" ht="24">
      <c r="A45" s="1387" t="s">
        <v>310</v>
      </c>
      <c r="B45" s="1387" t="s">
        <v>311</v>
      </c>
      <c r="C45" s="1387" t="s">
        <v>312</v>
      </c>
      <c r="D45" s="1387" t="s">
        <v>579</v>
      </c>
      <c r="E45" s="2283"/>
      <c r="F45" s="2283"/>
      <c r="G45" s="2283"/>
      <c r="H45" s="2283"/>
      <c r="I45" s="2310"/>
      <c r="J45" s="2280" t="str">
        <f>I44&amp;".1"</f>
        <v>...1.1</v>
      </c>
      <c r="K45" s="1387"/>
      <c r="L45" s="1388" t="s">
        <v>490</v>
      </c>
      <c r="P45" s="2281"/>
      <c r="Q45" s="2281">
        <v>1</v>
      </c>
      <c r="R45" s="381"/>
      <c r="S45" s="1382" t="str">
        <f>$J45</f>
        <v>...1.1</v>
      </c>
      <c r="T45" s="310" t="s">
        <v>491</v>
      </c>
      <c r="U45" s="324"/>
      <c r="V45" s="2269"/>
      <c r="W45" s="2270"/>
      <c r="X45" s="2270"/>
      <c r="Y45" s="2270"/>
      <c r="Z45" s="2270"/>
      <c r="AA45" s="2270"/>
      <c r="AB45" s="2271"/>
      <c r="AC45" s="2269"/>
      <c r="AD45" s="2270"/>
      <c r="AE45" s="2270"/>
      <c r="AF45" s="2270"/>
      <c r="AG45" s="2270"/>
      <c r="AH45" s="2270"/>
      <c r="AI45" s="2270"/>
      <c r="AJ45" s="2271"/>
      <c r="AK45" s="1331" t="s">
        <v>569</v>
      </c>
      <c r="AM45" s="524"/>
      <c r="AN45" s="524" t="str">
        <f>IF(T45="","",T45)</f>
        <v>Группа потребителей</v>
      </c>
      <c r="AO45" s="524"/>
      <c r="AP45" s="524"/>
      <c r="AQ45" s="1179">
        <v>23</v>
      </c>
    </row>
    <row customHeight="1" ht="24">
      <c r="A46" s="1387" t="s">
        <v>310</v>
      </c>
      <c r="B46" s="1387" t="s">
        <v>311</v>
      </c>
      <c r="C46" s="1387" t="s">
        <v>312</v>
      </c>
      <c r="D46" s="1387" t="s">
        <v>579</v>
      </c>
      <c r="E46" s="2283"/>
      <c r="F46" s="2283"/>
      <c r="G46" s="2283"/>
      <c r="H46" s="2283"/>
      <c r="I46" s="2310"/>
      <c r="J46" s="2310"/>
      <c r="K46" s="2280" t="str">
        <f>J45&amp;".1"</f>
        <v>...1.1.1</v>
      </c>
      <c r="L46" s="1388"/>
      <c r="P46" s="2281"/>
      <c r="Q46" s="2281"/>
      <c r="R46" s="381">
        <v>1</v>
      </c>
      <c r="S46" s="1382" t="str">
        <f>$K46</f>
        <v>...1.1.1</v>
      </c>
      <c r="T46" s="1461"/>
      <c r="U46" s="324"/>
      <c r="V46" s="1384"/>
      <c r="W46" s="1384"/>
      <c r="X46" s="1385"/>
      <c r="Y46" s="2291"/>
      <c r="Z46" s="2292" t="s">
        <v>66</v>
      </c>
      <c r="AA46" s="2291"/>
      <c r="AB46" s="2292" t="s">
        <v>66</v>
      </c>
      <c r="AC46" s="775"/>
      <c r="AD46" s="775"/>
      <c r="AE46" s="1281"/>
      <c r="AF46" s="2289"/>
      <c r="AG46" s="2131" t="s">
        <v>66</v>
      </c>
      <c r="AH46" s="2311"/>
      <c r="AI46" s="2131" t="s">
        <v>19</v>
      </c>
      <c r="AJ46" s="1462"/>
      <c r="AK46"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35">
        <f>STRCHECKDATE(V47:AJ47)</f>
      </c>
      <c r="AM46" s="524"/>
      <c r="AN46" s="524" t="str">
        <f>IF(T46="","",T46)</f>
        <v/>
      </c>
      <c r="AO46" s="524"/>
      <c r="AP46" s="524"/>
      <c r="AQ46" s="1179">
        <v>23</v>
      </c>
    </row>
    <row customHeight="1" ht="0">
      <c r="A47" s="1387" t="s">
        <v>310</v>
      </c>
      <c r="B47" s="1387" t="s">
        <v>311</v>
      </c>
      <c r="C47" s="1387" t="s">
        <v>312</v>
      </c>
      <c r="D47" s="1387" t="s">
        <v>579</v>
      </c>
      <c r="E47" s="2283"/>
      <c r="F47" s="2283"/>
      <c r="G47" s="2283"/>
      <c r="H47" s="2283"/>
      <c r="I47" s="2310"/>
      <c r="J47" s="2310"/>
      <c r="K47" s="2280"/>
      <c r="L47" s="1388"/>
      <c r="P47" s="2281"/>
      <c r="Q47" s="2281"/>
      <c r="R47" s="381"/>
      <c r="S47" s="1383"/>
      <c r="T47" s="324"/>
      <c r="U47" s="324"/>
      <c r="V47" s="1384"/>
      <c r="W47" s="1384"/>
      <c r="X47" s="352" t="str">
        <f>Y46&amp;"-"&amp;AA46</f>
        <v>-</v>
      </c>
      <c r="Y47" s="2292"/>
      <c r="Z47" s="2292"/>
      <c r="AA47" s="2292"/>
      <c r="AB47" s="2292"/>
      <c r="AC47" s="349"/>
      <c r="AD47" s="349"/>
      <c r="AE47" s="352" t="str">
        <f>AF46&amp;"-"&amp;AH46</f>
        <v>-</v>
      </c>
      <c r="AF47" s="2290"/>
      <c r="AG47" s="2131"/>
      <c r="AH47" s="2312"/>
      <c r="AI47" s="2131"/>
      <c r="AJ47" s="1463"/>
      <c r="AK47" s="2373"/>
      <c r="AM47" s="524"/>
      <c r="AN47" s="524" t="str">
        <f>IF(T47="","",T47)</f>
        <v/>
      </c>
      <c r="AO47" s="524"/>
      <c r="AP47" s="524"/>
      <c r="AQ47" s="1179">
        <v>0</v>
      </c>
    </row>
    <row customHeight="1" ht="21">
      <c r="A48" s="1387" t="s">
        <v>310</v>
      </c>
      <c r="B48" s="1387" t="s">
        <v>311</v>
      </c>
      <c r="C48" s="1387" t="s">
        <v>312</v>
      </c>
      <c r="D48" s="1387" t="s">
        <v>579</v>
      </c>
      <c r="E48" s="2283"/>
      <c r="F48" s="2283"/>
      <c r="G48" s="2283"/>
      <c r="H48" s="2283"/>
      <c r="I48" s="2310"/>
      <c r="J48" s="2280"/>
      <c r="K48" s="1387"/>
      <c r="L48" s="1388"/>
      <c r="P48" s="2281"/>
      <c r="Q48" s="2281"/>
      <c r="R48" s="380"/>
      <c r="S48" s="1302"/>
      <c r="T48" s="311" t="s">
        <v>570</v>
      </c>
      <c r="U48" s="391"/>
      <c r="V48" s="391"/>
      <c r="W48" s="391"/>
      <c r="X48" s="391"/>
      <c r="Y48" s="391"/>
      <c r="Z48" s="391"/>
      <c r="AA48" s="391"/>
      <c r="AB48" s="391"/>
      <c r="AC48" s="391"/>
      <c r="AD48" s="391"/>
      <c r="AE48" s="391"/>
      <c r="AF48" s="391"/>
      <c r="AG48" s="391"/>
      <c r="AH48" s="391"/>
      <c r="AI48" s="391"/>
      <c r="AJ48" s="391"/>
      <c r="AK48" s="1282" t="s">
        <v>571</v>
      </c>
      <c r="AM48" s="524"/>
      <c r="AN48" s="524" t="str">
        <f>IF(T48="","",T48)</f>
        <v>Добавить значение признака дифференциации</v>
      </c>
      <c r="AO48" s="524"/>
      <c r="AP48" s="524"/>
      <c r="AQ48" s="1179">
        <v>20</v>
      </c>
    </row>
    <row customHeight="1" ht="22.049999999999997">
      <c r="A49" s="1387" t="s">
        <v>310</v>
      </c>
      <c r="B49" s="1387" t="s">
        <v>311</v>
      </c>
      <c r="C49" s="1387" t="s">
        <v>312</v>
      </c>
      <c r="D49" s="1387" t="s">
        <v>579</v>
      </c>
      <c r="E49" s="2283"/>
      <c r="F49" s="2283"/>
      <c r="G49" s="2283"/>
      <c r="H49" s="2283"/>
      <c r="I49" s="2280"/>
      <c r="J49" s="1387"/>
      <c r="K49" s="1387"/>
      <c r="L49" s="1388"/>
      <c r="P49" s="2281"/>
      <c r="Q49" s="1378"/>
      <c r="R49" s="380"/>
      <c r="S49" s="1302"/>
      <c r="T49" s="389" t="s">
        <v>496</v>
      </c>
      <c r="U49" s="391"/>
      <c r="V49" s="391"/>
      <c r="W49" s="391"/>
      <c r="X49" s="391"/>
      <c r="Y49" s="391"/>
      <c r="Z49" s="391"/>
      <c r="AA49" s="391"/>
      <c r="AB49" s="390"/>
      <c r="AC49" s="391"/>
      <c r="AD49" s="391"/>
      <c r="AE49" s="391"/>
      <c r="AF49" s="391"/>
      <c r="AG49" s="391"/>
      <c r="AH49" s="391"/>
      <c r="AI49" s="390"/>
      <c r="AJ49" s="391"/>
      <c r="AK49" s="1464"/>
      <c r="AM49" s="524"/>
      <c r="AN49" s="524" t="str">
        <f>IF(T49="","",T49)</f>
        <v>Добавить группу потребителей</v>
      </c>
      <c r="AO49" s="524"/>
      <c r="AP49" s="524"/>
      <c r="AQ49" s="1179">
        <v>21</v>
      </c>
    </row>
    <row customHeight="1" ht="22.049999999999997">
      <c r="A50" s="1387" t="s">
        <v>310</v>
      </c>
      <c r="B50" s="1387" t="s">
        <v>311</v>
      </c>
      <c r="C50" s="1387" t="s">
        <v>312</v>
      </c>
      <c r="D50" s="1387" t="s">
        <v>579</v>
      </c>
      <c r="E50" s="2283"/>
      <c r="F50" s="2283"/>
      <c r="G50" s="2283"/>
      <c r="H50" s="2282"/>
      <c r="I50" s="1387"/>
      <c r="J50" s="1387"/>
      <c r="K50" s="1387"/>
      <c r="L50" s="1388"/>
      <c r="M50" s="1389"/>
      <c r="N50" s="1389"/>
      <c r="O50" s="561"/>
      <c r="P50" s="384"/>
      <c r="Q50" s="399"/>
      <c r="R50" s="379"/>
      <c r="S50" s="1302"/>
      <c r="T50" s="396" t="s">
        <v>572</v>
      </c>
      <c r="U50" s="391"/>
      <c r="V50" s="391"/>
      <c r="W50" s="391"/>
      <c r="X50" s="391"/>
      <c r="Y50" s="391"/>
      <c r="Z50" s="391"/>
      <c r="AA50" s="391"/>
      <c r="AB50" s="390"/>
      <c r="AC50" s="391"/>
      <c r="AD50" s="391"/>
      <c r="AE50" s="391"/>
      <c r="AF50" s="391"/>
      <c r="AG50" s="391"/>
      <c r="AH50" s="391"/>
      <c r="AI50" s="390"/>
      <c r="AJ50" s="391"/>
      <c r="AK50" s="327"/>
      <c r="AM50" s="524"/>
      <c r="AN50" s="524" t="str">
        <f>IF(T50="","",T50)</f>
        <v>Добавить наименование признака дифференциации</v>
      </c>
      <c r="AO50" s="524"/>
      <c r="AP50" s="524"/>
      <c r="AQ50" s="1179">
        <v>21</v>
      </c>
    </row>
    <row s="1666" customFormat="1" customHeight="1" ht="0">
      <c r="A51" s="1367" t="s">
        <v>310</v>
      </c>
      <c r="B51" s="1367" t="s">
        <v>311</v>
      </c>
      <c r="C51" s="1338"/>
      <c r="D51" s="1338"/>
      <c r="E51" s="2283"/>
      <c r="F51" s="2282"/>
      <c r="G51" s="1338"/>
      <c r="H51" s="1338"/>
      <c r="I51" s="1338"/>
      <c r="J51" s="1338"/>
      <c r="K51" s="1338"/>
      <c r="L51" s="1450"/>
      <c r="M51" s="1345"/>
      <c r="N51" s="1345"/>
      <c r="P51" s="1340"/>
      <c r="Q51" s="1341"/>
      <c r="R51" s="1340"/>
      <c r="S51" s="1346"/>
      <c r="T51" s="1349" t="s">
        <v>499</v>
      </c>
      <c r="U51" s="1348"/>
      <c r="V51" s="1348"/>
      <c r="W51" s="1348"/>
      <c r="X51" s="1348"/>
      <c r="Y51" s="1348"/>
      <c r="Z51" s="1348"/>
      <c r="AA51" s="1348"/>
      <c r="AB51" s="1348"/>
      <c r="AC51" s="1348"/>
      <c r="AD51" s="1348"/>
      <c r="AE51" s="1348"/>
      <c r="AF51" s="1348"/>
      <c r="AG51" s="1348"/>
      <c r="AH51" s="1348"/>
      <c r="AI51" s="1348"/>
      <c r="AJ51" s="1348"/>
      <c r="AK51" s="1348"/>
      <c r="AM51" s="813"/>
      <c r="AN51" s="813" t="str">
        <f>IF(T51="","",T51)</f>
        <v>Добавить централизованную систему для дифференциации</v>
      </c>
      <c r="AO51" s="813"/>
      <c r="AP51" s="813"/>
      <c r="AQ51" s="542">
        <v>0</v>
      </c>
    </row>
    <row s="1666" customFormat="1" customHeight="1" ht="0">
      <c r="A52" s="1367" t="s">
        <v>310</v>
      </c>
      <c r="B52" s="1367"/>
      <c r="C52" s="1367"/>
      <c r="D52" s="1367"/>
      <c r="E52" s="2282"/>
      <c r="F52" s="1367"/>
      <c r="G52" s="1367"/>
      <c r="H52" s="1367"/>
      <c r="I52" s="1367"/>
      <c r="J52" s="1367"/>
      <c r="K52" s="1367"/>
      <c r="L52" s="1370"/>
      <c r="M52" s="1345"/>
      <c r="N52" s="1345"/>
      <c r="O52" s="542"/>
      <c r="P52" s="404"/>
      <c r="Q52" s="1368"/>
      <c r="R52" s="404"/>
      <c r="S52" s="1346"/>
      <c r="T52" s="1349" t="s">
        <v>500</v>
      </c>
      <c r="U52" s="1348"/>
      <c r="V52" s="1348"/>
      <c r="W52" s="1348"/>
      <c r="X52" s="1348"/>
      <c r="Y52" s="1348"/>
      <c r="Z52" s="1348"/>
      <c r="AA52" s="1348"/>
      <c r="AB52" s="1348"/>
      <c r="AC52" s="1348"/>
      <c r="AD52" s="1348"/>
      <c r="AE52" s="1348"/>
      <c r="AF52" s="1348"/>
      <c r="AG52" s="1348"/>
      <c r="AH52" s="1348"/>
      <c r="AI52" s="1348"/>
      <c r="AJ52" s="1348"/>
      <c r="AK52" s="1348"/>
      <c r="AM52" s="524"/>
      <c r="AN52" s="524" t="str">
        <f>IF(T52="","",T52)</f>
        <v>Добавить территорию для дифференциации</v>
      </c>
      <c r="AO52" s="524"/>
      <c r="AP52" s="524"/>
      <c r="AQ52" s="535">
        <v>0</v>
      </c>
    </row>
    <row s="1666" customFormat="1" customHeight="1" ht="0">
      <c r="A53" s="1338"/>
      <c r="B53" s="1338"/>
      <c r="C53" s="1338"/>
      <c r="D53" s="1338"/>
      <c r="E53" s="1367"/>
      <c r="F53" s="1338"/>
      <c r="G53" s="1338"/>
      <c r="H53" s="1338"/>
      <c r="I53" s="1338"/>
      <c r="J53" s="1338"/>
      <c r="K53" s="1338"/>
      <c r="L53" s="1450"/>
      <c r="M53" s="1345"/>
      <c r="N53" s="1345"/>
      <c r="P53" s="1340"/>
      <c r="Q53" s="1341"/>
      <c r="R53" s="1340"/>
      <c r="S53" s="1346"/>
      <c r="T53" s="1349" t="s">
        <v>532</v>
      </c>
      <c r="U53" s="1348"/>
      <c r="V53" s="1348"/>
      <c r="W53" s="1348"/>
      <c r="X53" s="1348"/>
      <c r="Y53" s="1348"/>
      <c r="Z53" s="1348"/>
      <c r="AA53" s="1348"/>
      <c r="AB53" s="1348"/>
      <c r="AC53" s="1348"/>
      <c r="AD53" s="1348"/>
      <c r="AE53" s="1348"/>
      <c r="AF53" s="1348"/>
      <c r="AG53" s="1348"/>
      <c r="AH53" s="1348"/>
      <c r="AI53" s="1348"/>
      <c r="AJ53" s="1348"/>
      <c r="AK53" s="1348"/>
      <c r="AM53" s="813"/>
      <c r="AN53" s="813" t="str">
        <f>IF(T53="","",T53)</f>
        <v>Добавить наименование тарифа</v>
      </c>
      <c r="AO53" s="813"/>
      <c r="AP53" s="813"/>
      <c r="AQ53" s="542">
        <v>0</v>
      </c>
    </row>
    <row customHeight="1" ht="11.549999999999999">
      <c r="M54" s="1184"/>
      <c r="N54" s="1184"/>
      <c r="O54" s="561"/>
      <c r="P54" s="1179"/>
      <c r="Q54" s="1179"/>
      <c r="R54" s="1179"/>
      <c r="S54" s="1179"/>
      <c r="AL54" s="1179"/>
      <c r="AM54" s="1179"/>
      <c r="AN54" s="1179"/>
      <c r="AO54" s="1179"/>
      <c r="AP54" s="1179"/>
      <c r="AQ54" s="1179">
        <v>11</v>
      </c>
    </row>
    <row customHeight="1" ht="14.699999999999998">
      <c r="O55" s="561"/>
      <c r="S55" s="1277"/>
      <c r="T55" s="2309"/>
      <c r="U55" s="2309"/>
      <c r="V55" s="2309"/>
      <c r="W55" s="2309"/>
      <c r="X55" s="2309"/>
      <c r="Y55" s="2309"/>
      <c r="Z55" s="2309"/>
      <c r="AA55" s="2309"/>
      <c r="AB55" s="2309"/>
      <c r="AC55" s="2309"/>
      <c r="AD55" s="2309"/>
      <c r="AE55" s="2309"/>
      <c r="AF55" s="2309"/>
      <c r="AG55" s="2309"/>
      <c r="AH55" s="2309"/>
      <c r="AI55" s="2309"/>
      <c r="AJ55" s="2309"/>
      <c r="AK55" s="2309"/>
      <c r="AQ55" s="1179">
        <v>14</v>
      </c>
    </row>
    <row customHeight="1" ht="14.699999999999998">
      <c r="O56" s="561"/>
      <c r="AQ56" s="1179">
        <v>14</v>
      </c>
    </row>
    <row customHeight="1" ht="14.699999999999998">
      <c r="O57" s="561"/>
      <c r="S57" s="1277"/>
      <c r="T57" s="2309"/>
      <c r="U57" s="2309"/>
      <c r="V57" s="2309"/>
      <c r="W57" s="2309"/>
      <c r="X57" s="2309"/>
      <c r="Y57" s="2309"/>
      <c r="Z57" s="2309"/>
      <c r="AA57" s="2309"/>
      <c r="AB57" s="2309"/>
      <c r="AC57" s="2309"/>
      <c r="AD57" s="2309"/>
      <c r="AE57" s="2309"/>
      <c r="AF57" s="2309"/>
      <c r="AG57" s="2309"/>
      <c r="AH57" s="2309"/>
      <c r="AI57" s="2309"/>
      <c r="AJ57" s="2309"/>
      <c r="AK57" s="2309"/>
      <c r="AQ57" s="1179">
        <v>14</v>
      </c>
    </row>
    <row customHeight="1" ht="22.5" hidden="1">
      <c r="A58" s="1184" t="s">
        <v>82</v>
      </c>
      <c r="B58" s="1184">
        <v>0</v>
      </c>
      <c r="C58" s="1184">
        <v>0</v>
      </c>
      <c r="D58" s="1184">
        <v>0</v>
      </c>
      <c r="E58" s="1184">
        <v>0</v>
      </c>
      <c r="F58" s="1184">
        <v>0</v>
      </c>
      <c r="G58" s="1184">
        <v>0</v>
      </c>
      <c r="H58" s="1184">
        <v>0</v>
      </c>
      <c r="I58" s="1184">
        <v>0</v>
      </c>
      <c r="J58" s="1184">
        <v>0</v>
      </c>
      <c r="K58" s="1184">
        <v>0</v>
      </c>
      <c r="L58" s="1445">
        <v>0</v>
      </c>
      <c r="M58" s="1386">
        <v>0</v>
      </c>
      <c r="N58" s="1386">
        <v>0</v>
      </c>
      <c r="O58" s="1386">
        <v>0</v>
      </c>
      <c r="P58" s="1375">
        <v>3</v>
      </c>
      <c r="Q58" s="368">
        <v>3</v>
      </c>
      <c r="R58" s="368">
        <v>3</v>
      </c>
      <c r="S58" s="605">
        <v>12</v>
      </c>
      <c r="T58" s="1179">
        <v>35</v>
      </c>
      <c r="U58" s="1179">
        <v>0</v>
      </c>
      <c r="V58" s="1179">
        <v>0</v>
      </c>
      <c r="W58" s="1179">
        <v>0</v>
      </c>
      <c r="X58" s="1179">
        <v>0</v>
      </c>
      <c r="Y58" s="1179">
        <v>0</v>
      </c>
      <c r="Z58" s="1179">
        <v>0</v>
      </c>
      <c r="AA58" s="1179">
        <v>0</v>
      </c>
      <c r="AB58" s="1179">
        <v>0</v>
      </c>
      <c r="AC58" s="1179">
        <v>24</v>
      </c>
      <c r="AD58" s="1179">
        <v>24</v>
      </c>
      <c r="AE58" s="1179">
        <v>24</v>
      </c>
      <c r="AF58" s="1179">
        <v>11</v>
      </c>
      <c r="AG58" s="1179">
        <v>3</v>
      </c>
      <c r="AH58" s="1179">
        <v>11</v>
      </c>
      <c r="AI58" s="1179">
        <v>0</v>
      </c>
      <c r="AJ58" s="1179">
        <v>4</v>
      </c>
      <c r="AK58" s="1179">
        <v>115</v>
      </c>
      <c r="AL58" s="535">
        <v>10</v>
      </c>
      <c r="AM58" s="535">
        <v>10</v>
      </c>
      <c r="AN58" s="535">
        <v>10</v>
      </c>
      <c r="AO58" s="535">
        <v>10</v>
      </c>
      <c r="AP58" s="535">
        <v>10</v>
      </c>
      <c r="AQ58" s="1179">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EB463C-262A-9BF4-EAAD-0.8D38FAE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4.140625" hidden="1" customWidth="1"/>
    <col min="10" max="10" style="1390" width="9.8515625" hidden="1" customWidth="1"/>
    <col min="11" max="11" style="1390" width="14.7109375" hidden="1" customWidth="1"/>
    <col min="12" max="12" style="2631" width="19.140625" hidden="1" customWidth="1"/>
    <col min="13" max="14" style="1800" width="12.28125" hidden="1" customWidth="1"/>
    <col min="15" max="15" style="1800" width="23.421875" hidden="1" customWidth="1"/>
    <col min="16" max="16" style="2421" width="3.00390625" customWidth="1"/>
    <col min="17" max="18" style="368" width="3.00390625" customWidth="1"/>
    <col min="19" max="19" style="2431" width="12.00390625" customWidth="1"/>
    <col min="20" max="20" style="1659" width="35.00390625" customWidth="1"/>
    <col min="21" max="21" style="1659" width="0.140625" customWidth="1"/>
    <col min="22" max="24" style="1659" width="24.7109375" hidden="1" customWidth="1"/>
    <col min="25" max="25" style="1659" width="11.7109375" hidden="1" customWidth="1"/>
    <col min="26" max="26" style="1659" width="3.7109375" hidden="1" customWidth="1"/>
    <col min="27" max="27" style="1659" width="11.7109375" hidden="1" customWidth="1"/>
    <col min="28" max="28" style="1659" width="8.57421875" hidden="1" customWidth="1"/>
    <col min="29" max="29" style="1659" width="24.7109375" customWidth="1"/>
    <col min="30" max="31" style="1659" width="24.00390625" customWidth="1"/>
    <col min="32" max="32" style="1659" width="11.00390625" customWidth="1"/>
    <col min="33" max="33" style="1659" width="3.7109375" customWidth="1"/>
    <col min="34" max="34" style="1659" width="11.00390625" customWidth="1"/>
    <col min="35" max="35" style="1659" width="8.57421875" hidden="1" customWidth="1"/>
    <col min="36" max="36" style="1659" width="4.00390625" customWidth="1"/>
    <col min="37" max="37" style="1659" width="115.00390625" customWidth="1"/>
    <col min="38" max="42" style="1666" width="10.00390625" customWidth="1"/>
    <col min="43" max="43" style="1659" width="10.57421875" hidden="1"/>
  </cols>
  <sheetData>
    <row customHeight="1" ht="22.5" hidden="1">
      <c r="X1" s="351"/>
      <c r="Y1" s="351"/>
      <c r="AE1" s="351"/>
      <c r="AF1" s="351"/>
      <c r="AQ1" s="1179" t="s">
        <v>14</v>
      </c>
    </row>
    <row customHeight="1" ht="23.25" hidden="1">
      <c r="A2" s="1387"/>
      <c r="B2" s="1387"/>
      <c r="C2" s="1387"/>
      <c r="D2" s="1387"/>
      <c r="E2" s="2282">
        <v>1</v>
      </c>
      <c r="F2" s="1387"/>
      <c r="G2" s="1387"/>
      <c r="H2" s="1387"/>
      <c r="I2" s="1387"/>
      <c r="J2" s="1387"/>
      <c r="K2" s="1387"/>
      <c r="L2" s="1388"/>
      <c r="M2" s="1389"/>
      <c r="N2" s="1389"/>
      <c r="O2" s="1389"/>
      <c r="P2" s="385"/>
      <c r="Q2" s="384"/>
      <c r="R2" s="379"/>
      <c r="S2" s="1481">
        <f>INDEX(PT_DIFFERENTIATION_NUM_NTAR,MATCH(A2,PT_DIFFERENTIATION_NTAR_ID,0))</f>
      </c>
      <c r="T2" s="322" t="s">
        <v>211</v>
      </c>
      <c r="U2" s="324"/>
      <c r="V2" s="2266"/>
      <c r="W2" s="2267"/>
      <c r="X2" s="2267"/>
      <c r="Y2" s="2267"/>
      <c r="Z2" s="2267"/>
      <c r="AA2" s="2267"/>
      <c r="AB2" s="2268"/>
      <c r="AC2" s="2266">
        <f>INDEX(PT_DIFFERENTIATION_NTAR,MATCH(A2,PT_DIFFERENTIATION_NTAR_ID,0))</f>
      </c>
      <c r="AD2" s="2267"/>
      <c r="AE2" s="2267"/>
      <c r="AF2" s="2267"/>
      <c r="AG2" s="2267"/>
      <c r="AH2" s="2267"/>
      <c r="AI2" s="2267"/>
      <c r="AJ2" s="2268"/>
      <c r="AK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24"/>
      <c r="AN2" s="524" t="str">
        <f>IF(T2="","",T2)</f>
        <v>Наименование тарифа</v>
      </c>
      <c r="AO2" s="524"/>
      <c r="AP2" s="524"/>
      <c r="AQ2" s="1179">
        <v>0</v>
      </c>
    </row>
    <row customHeight="1" ht="23.25" hidden="1">
      <c r="A3" s="1387"/>
      <c r="B3" s="1387"/>
      <c r="C3" s="1387"/>
      <c r="D3" s="1387"/>
      <c r="E3" s="2283"/>
      <c r="F3" s="2282">
        <v>1</v>
      </c>
      <c r="G3" s="1387"/>
      <c r="H3" s="1387"/>
      <c r="I3" s="1387"/>
      <c r="J3" s="1387"/>
      <c r="K3" s="1387"/>
      <c r="L3" s="1388"/>
      <c r="M3" s="1389"/>
      <c r="N3" s="1389"/>
      <c r="O3" s="1389"/>
      <c r="P3" s="1477"/>
      <c r="Q3" s="376"/>
      <c r="R3" s="377"/>
      <c r="S3" s="1481">
        <f>INDEX(PT_DIFFERENTIATION_NUM_TER,MATCH(B3,PT_DIFFERENTIATION_TER_ID,0))</f>
      </c>
      <c r="T3" s="332" t="s">
        <v>481</v>
      </c>
      <c r="U3" s="324"/>
      <c r="V3" s="2266"/>
      <c r="W3" s="2267"/>
      <c r="X3" s="2267"/>
      <c r="Y3" s="2267"/>
      <c r="Z3" s="2267"/>
      <c r="AA3" s="2267"/>
      <c r="AB3" s="2268"/>
      <c r="AC3" s="2266">
        <f>INDEX(PT_DIFFERENTIATION_TER,MATCH(B3,PT_DIFFERENTIATION_TER_ID,0))</f>
      </c>
      <c r="AD3" s="2267"/>
      <c r="AE3" s="2267"/>
      <c r="AF3" s="2267"/>
      <c r="AG3" s="2267"/>
      <c r="AH3" s="2267"/>
      <c r="AI3" s="2267"/>
      <c r="AJ3" s="2268"/>
      <c r="AK3" s="1282" t="s">
        <v>482</v>
      </c>
      <c r="AM3" s="524"/>
      <c r="AN3" s="524" t="str">
        <f>IF(T3="","",T3)</f>
        <v>Территория действия тарифа</v>
      </c>
      <c r="AO3" s="524"/>
      <c r="AP3" s="524"/>
      <c r="AQ3" s="1179">
        <v>0</v>
      </c>
    </row>
    <row customHeight="1" ht="23.25" hidden="1">
      <c r="A4" s="1387"/>
      <c r="B4" s="1387"/>
      <c r="C4" s="1387"/>
      <c r="D4" s="1387"/>
      <c r="E4" s="2283"/>
      <c r="F4" s="2283"/>
      <c r="G4" s="2282">
        <v>1</v>
      </c>
      <c r="H4" s="1387"/>
      <c r="I4" s="1387"/>
      <c r="J4" s="1387"/>
      <c r="K4" s="1387"/>
      <c r="L4" s="1388"/>
      <c r="M4" s="1389"/>
      <c r="N4" s="1389"/>
      <c r="O4" s="1389"/>
      <c r="P4" s="378"/>
      <c r="Q4" s="376"/>
      <c r="R4" s="377"/>
      <c r="S4" s="1481">
        <f>INDEX(PT_DIFFERENTIATION_NUM_CS,MATCH(C4,PT_DIFFERENTIATION_CS_ID,0))</f>
      </c>
      <c r="T4" s="333" t="s">
        <v>565</v>
      </c>
      <c r="U4" s="324"/>
      <c r="V4" s="2266"/>
      <c r="W4" s="2267"/>
      <c r="X4" s="2267"/>
      <c r="Y4" s="2267"/>
      <c r="Z4" s="2267"/>
      <c r="AA4" s="2267"/>
      <c r="AB4" s="2268"/>
      <c r="AC4" s="2266">
        <f>INDEX(PT_DIFFERENTIATION_CS,MATCH(C4,PT_DIFFERENTIATION_CS_ID,0))</f>
      </c>
      <c r="AD4" s="2267"/>
      <c r="AE4" s="2267"/>
      <c r="AF4" s="2267"/>
      <c r="AG4" s="2267"/>
      <c r="AH4" s="2267"/>
      <c r="AI4" s="2267"/>
      <c r="AJ4" s="2268"/>
      <c r="AK4" s="1282" t="s">
        <v>566</v>
      </c>
      <c r="AM4" s="524"/>
      <c r="AN4" s="524" t="str">
        <f>IF(T4="","",T4)</f>
        <v>Наименование централизованной системы холодного водоснабжения</v>
      </c>
      <c r="AO4" s="524"/>
      <c r="AP4" s="524"/>
      <c r="AQ4" s="1179">
        <v>0</v>
      </c>
    </row>
    <row customHeight="1" ht="23.25" hidden="1">
      <c r="A5" s="1387"/>
      <c r="B5" s="1387"/>
      <c r="C5" s="1387"/>
      <c r="D5" s="1387"/>
      <c r="E5" s="2283"/>
      <c r="F5" s="2283"/>
      <c r="G5" s="2283"/>
      <c r="H5" s="2283"/>
      <c r="I5" s="2280">
        <f>S4&amp;".1"</f>
      </c>
      <c r="J5" s="1387"/>
      <c r="K5" s="1387"/>
      <c r="L5" s="1388"/>
      <c r="P5" s="2281">
        <v>1</v>
      </c>
      <c r="Q5" s="1474"/>
      <c r="R5" s="380"/>
      <c r="S5" s="1481">
        <f>$I5</f>
      </c>
      <c r="T5" s="309" t="s">
        <v>567</v>
      </c>
      <c r="U5" s="324"/>
      <c r="V5" s="2374"/>
      <c r="W5" s="2375"/>
      <c r="X5" s="2375"/>
      <c r="Y5" s="2375"/>
      <c r="Z5" s="2375"/>
      <c r="AA5" s="2375"/>
      <c r="AB5" s="2376"/>
      <c r="AC5" s="2377"/>
      <c r="AD5" s="2378"/>
      <c r="AE5" s="2378"/>
      <c r="AF5" s="2378"/>
      <c r="AG5" s="2378"/>
      <c r="AH5" s="2378"/>
      <c r="AI5" s="2378"/>
      <c r="AJ5" s="2379"/>
      <c r="AK5" s="1282" t="s">
        <v>568</v>
      </c>
      <c r="AM5" s="524"/>
      <c r="AN5" s="524" t="str">
        <f>IF(T5="","",T5)</f>
        <v>Наименование признака дифференциации</v>
      </c>
      <c r="AO5" s="524"/>
      <c r="AP5" s="524"/>
      <c r="AQ5" s="1179">
        <v>0</v>
      </c>
    </row>
    <row customHeight="1" ht="23.25" hidden="1">
      <c r="A6" s="1387"/>
      <c r="B6" s="1387"/>
      <c r="C6" s="1387"/>
      <c r="D6" s="1387"/>
      <c r="E6" s="2283"/>
      <c r="F6" s="2283"/>
      <c r="G6" s="2283"/>
      <c r="H6" s="2283"/>
      <c r="I6" s="2310"/>
      <c r="J6" s="2280">
        <f>I5&amp;".1"</f>
      </c>
      <c r="K6" s="1387"/>
      <c r="L6" s="1388" t="s">
        <v>490</v>
      </c>
      <c r="P6" s="2281"/>
      <c r="Q6" s="2281">
        <v>1</v>
      </c>
      <c r="R6" s="381"/>
      <c r="S6" s="1481">
        <f>$J6</f>
      </c>
      <c r="T6" s="310" t="s">
        <v>491</v>
      </c>
      <c r="U6" s="324"/>
      <c r="V6" s="2269"/>
      <c r="W6" s="2270"/>
      <c r="X6" s="2270"/>
      <c r="Y6" s="2270"/>
      <c r="Z6" s="2270"/>
      <c r="AA6" s="2270"/>
      <c r="AB6" s="2271"/>
      <c r="AC6" s="2269"/>
      <c r="AD6" s="2270"/>
      <c r="AE6" s="2270"/>
      <c r="AF6" s="2270"/>
      <c r="AG6" s="2270"/>
      <c r="AH6" s="2270"/>
      <c r="AI6" s="2270"/>
      <c r="AJ6" s="2271"/>
      <c r="AK6" s="1331" t="s">
        <v>569</v>
      </c>
      <c r="AM6" s="524"/>
      <c r="AN6" s="524" t="str">
        <f>IF(T6="","",T6)</f>
        <v>Группа потребителей</v>
      </c>
      <c r="AO6" s="524"/>
      <c r="AP6" s="524"/>
      <c r="AQ6" s="1179">
        <v>0</v>
      </c>
    </row>
    <row customHeight="1" ht="23.25" hidden="1">
      <c r="A7" s="1387"/>
      <c r="B7" s="1387"/>
      <c r="C7" s="1387"/>
      <c r="D7" s="1387"/>
      <c r="E7" s="2283"/>
      <c r="F7" s="2283"/>
      <c r="G7" s="2283"/>
      <c r="H7" s="2283"/>
      <c r="I7" s="2310"/>
      <c r="J7" s="2310"/>
      <c r="K7" s="2280">
        <f>J6&amp;".1"</f>
      </c>
      <c r="L7" s="1388"/>
      <c r="P7" s="2281"/>
      <c r="Q7" s="2281"/>
      <c r="R7" s="381">
        <v>1</v>
      </c>
      <c r="S7" s="1481">
        <f>$K7</f>
      </c>
      <c r="T7" s="1461"/>
      <c r="U7" s="324"/>
      <c r="V7" s="775"/>
      <c r="W7" s="775"/>
      <c r="X7" s="1281"/>
      <c r="Y7" s="2289"/>
      <c r="Z7" s="2131" t="s">
        <v>66</v>
      </c>
      <c r="AA7" s="2289"/>
      <c r="AB7" s="2131" t="s">
        <v>66</v>
      </c>
      <c r="AC7" s="775"/>
      <c r="AD7" s="775"/>
      <c r="AE7" s="1281"/>
      <c r="AF7" s="2289"/>
      <c r="AG7" s="2131" t="s">
        <v>66</v>
      </c>
      <c r="AH7" s="2311"/>
      <c r="AI7" s="2131" t="s">
        <v>66</v>
      </c>
      <c r="AJ7" s="1462"/>
      <c r="AK7"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35">
        <f>STRCHECKDATE(V8:AJ8)</f>
      </c>
      <c r="AM7" s="524"/>
      <c r="AN7" s="524" t="str">
        <f>IF(T7="","",T7)</f>
        <v/>
      </c>
      <c r="AO7" s="524"/>
      <c r="AP7" s="524"/>
      <c r="AQ7" s="1179">
        <v>0</v>
      </c>
    </row>
    <row customHeight="1" ht="14.25" hidden="1">
      <c r="A8" s="1387"/>
      <c r="B8" s="1387"/>
      <c r="C8" s="1387"/>
      <c r="D8" s="1387"/>
      <c r="E8" s="2283"/>
      <c r="F8" s="2283"/>
      <c r="G8" s="2283"/>
      <c r="H8" s="2283"/>
      <c r="I8" s="2310"/>
      <c r="J8" s="2310"/>
      <c r="K8" s="2280"/>
      <c r="L8" s="1388"/>
      <c r="P8" s="2281"/>
      <c r="Q8" s="2281"/>
      <c r="R8" s="381"/>
      <c r="S8" s="1480"/>
      <c r="T8" s="324"/>
      <c r="U8" s="324"/>
      <c r="V8" s="349"/>
      <c r="W8" s="349"/>
      <c r="X8" s="352" t="str">
        <f>Y7&amp;"-"&amp;AA7</f>
        <v>-</v>
      </c>
      <c r="Y8" s="2290"/>
      <c r="Z8" s="2131"/>
      <c r="AA8" s="2290"/>
      <c r="AB8" s="2131"/>
      <c r="AC8" s="349"/>
      <c r="AD8" s="349"/>
      <c r="AE8" s="352" t="str">
        <f>AF7&amp;"-"&amp;AH7</f>
        <v>-</v>
      </c>
      <c r="AF8" s="2290"/>
      <c r="AG8" s="2131"/>
      <c r="AH8" s="2312"/>
      <c r="AI8" s="2131"/>
      <c r="AJ8" s="1463"/>
      <c r="AK8" s="2373"/>
      <c r="AM8" s="524"/>
      <c r="AN8" s="524" t="str">
        <f>IF(T8="","",T8)</f>
        <v/>
      </c>
      <c r="AO8" s="524"/>
      <c r="AP8" s="524"/>
      <c r="AQ8" s="1179">
        <v>0</v>
      </c>
    </row>
    <row customHeight="1" ht="21" hidden="1">
      <c r="A9" s="1387"/>
      <c r="B9" s="1387"/>
      <c r="C9" s="1387"/>
      <c r="D9" s="1387"/>
      <c r="E9" s="2283"/>
      <c r="F9" s="2283"/>
      <c r="G9" s="2283"/>
      <c r="H9" s="2283"/>
      <c r="I9" s="2310"/>
      <c r="J9" s="2280"/>
      <c r="K9" s="1387"/>
      <c r="L9" s="1388"/>
      <c r="P9" s="2281"/>
      <c r="Q9" s="2281"/>
      <c r="R9" s="380"/>
      <c r="S9" s="1302"/>
      <c r="T9" s="311" t="s">
        <v>570</v>
      </c>
      <c r="U9" s="391"/>
      <c r="V9" s="391"/>
      <c r="W9" s="391"/>
      <c r="X9" s="391"/>
      <c r="Y9" s="391"/>
      <c r="Z9" s="391"/>
      <c r="AA9" s="391"/>
      <c r="AB9" s="391"/>
      <c r="AC9" s="391"/>
      <c r="AD9" s="391"/>
      <c r="AE9" s="391"/>
      <c r="AF9" s="391"/>
      <c r="AG9" s="391"/>
      <c r="AH9" s="391"/>
      <c r="AI9" s="391"/>
      <c r="AJ9" s="391"/>
      <c r="AK9" s="1282" t="s">
        <v>571</v>
      </c>
      <c r="AM9" s="524"/>
      <c r="AN9" s="524" t="str">
        <f>IF(T9="","",T9)</f>
        <v>Добавить значение признака дифференциации</v>
      </c>
      <c r="AO9" s="524"/>
      <c r="AP9" s="524"/>
      <c r="AQ9" s="1179">
        <v>0</v>
      </c>
    </row>
    <row customHeight="1" ht="21" hidden="1">
      <c r="A10" s="1387"/>
      <c r="B10" s="1387"/>
      <c r="C10" s="1387"/>
      <c r="D10" s="1387"/>
      <c r="E10" s="2283"/>
      <c r="F10" s="2283"/>
      <c r="G10" s="2283"/>
      <c r="H10" s="2283"/>
      <c r="I10" s="2280"/>
      <c r="J10" s="1387"/>
      <c r="K10" s="1387"/>
      <c r="L10" s="1388"/>
      <c r="P10" s="2281"/>
      <c r="Q10" s="1474"/>
      <c r="R10" s="380"/>
      <c r="S10" s="1302"/>
      <c r="T10" s="389" t="s">
        <v>496</v>
      </c>
      <c r="U10" s="391"/>
      <c r="V10" s="391"/>
      <c r="W10" s="391"/>
      <c r="X10" s="391"/>
      <c r="Y10" s="391"/>
      <c r="Z10" s="391"/>
      <c r="AA10" s="391"/>
      <c r="AB10" s="390"/>
      <c r="AC10" s="391"/>
      <c r="AD10" s="391"/>
      <c r="AE10" s="391"/>
      <c r="AF10" s="391"/>
      <c r="AG10" s="391"/>
      <c r="AH10" s="391"/>
      <c r="AI10" s="390"/>
      <c r="AJ10" s="391"/>
      <c r="AK10" s="1464"/>
      <c r="AM10" s="524"/>
      <c r="AN10" s="524" t="str">
        <f>IF(T10="","",T10)</f>
        <v>Добавить группу потребителей</v>
      </c>
      <c r="AO10" s="524"/>
      <c r="AP10" s="524"/>
      <c r="AQ10" s="1179">
        <v>0</v>
      </c>
    </row>
    <row customHeight="1" ht="21" hidden="1">
      <c r="A11" s="1387"/>
      <c r="B11" s="1387"/>
      <c r="C11" s="1387"/>
      <c r="D11" s="1387"/>
      <c r="E11" s="2283"/>
      <c r="F11" s="2283"/>
      <c r="G11" s="2283"/>
      <c r="H11" s="2282"/>
      <c r="I11" s="1387"/>
      <c r="J11" s="1387"/>
      <c r="K11" s="1387"/>
      <c r="L11" s="1388"/>
      <c r="M11" s="1389"/>
      <c r="N11" s="1389"/>
      <c r="O11" s="561"/>
      <c r="P11" s="384"/>
      <c r="Q11" s="399"/>
      <c r="R11" s="379"/>
      <c r="S11" s="1302"/>
      <c r="T11" s="396" t="s">
        <v>572</v>
      </c>
      <c r="U11" s="391"/>
      <c r="V11" s="391"/>
      <c r="W11" s="391"/>
      <c r="X11" s="391"/>
      <c r="Y11" s="391"/>
      <c r="Z11" s="391"/>
      <c r="AA11" s="391"/>
      <c r="AB11" s="390"/>
      <c r="AC11" s="391"/>
      <c r="AD11" s="391"/>
      <c r="AE11" s="391"/>
      <c r="AF11" s="391"/>
      <c r="AG11" s="391"/>
      <c r="AH11" s="391"/>
      <c r="AI11" s="390"/>
      <c r="AJ11" s="391"/>
      <c r="AK11" s="327"/>
      <c r="AM11" s="524"/>
      <c r="AN11" s="524" t="str">
        <f>IF(T11="","",T11)</f>
        <v>Добавить наименование признака дифференциации</v>
      </c>
      <c r="AO11" s="524"/>
      <c r="AP11" s="524"/>
      <c r="AQ11" s="1179">
        <v>0</v>
      </c>
    </row>
    <row s="1666" customFormat="1" customHeight="1" ht="14.25" hidden="1">
      <c r="A12" s="1367"/>
      <c r="B12" s="1367"/>
      <c r="C12" s="1338"/>
      <c r="D12" s="1338"/>
      <c r="E12" s="2283"/>
      <c r="F12" s="2282"/>
      <c r="G12" s="1338"/>
      <c r="H12" s="1338"/>
      <c r="I12" s="1338"/>
      <c r="J12" s="1338"/>
      <c r="K12" s="1338"/>
      <c r="L12" s="1482"/>
      <c r="M12" s="1345"/>
      <c r="N12" s="1345"/>
      <c r="P12" s="1340"/>
      <c r="Q12" s="1341"/>
      <c r="R12" s="1340"/>
      <c r="S12" s="1346"/>
      <c r="T12" s="1349" t="s">
        <v>499</v>
      </c>
      <c r="U12" s="1348"/>
      <c r="V12" s="1348"/>
      <c r="W12" s="1348"/>
      <c r="X12" s="1348"/>
      <c r="Y12" s="1348"/>
      <c r="Z12" s="1348"/>
      <c r="AA12" s="1348"/>
      <c r="AB12" s="1348"/>
      <c r="AC12" s="1348"/>
      <c r="AD12" s="1348"/>
      <c r="AE12" s="1348"/>
      <c r="AF12" s="1348"/>
      <c r="AG12" s="1348"/>
      <c r="AH12" s="1348"/>
      <c r="AI12" s="1348"/>
      <c r="AJ12" s="1348"/>
      <c r="AK12" s="1348"/>
      <c r="AM12" s="813"/>
      <c r="AN12" s="813" t="str">
        <f>IF(T12="","",T12)</f>
        <v>Добавить централизованную систему для дифференциации</v>
      </c>
      <c r="AO12" s="813"/>
      <c r="AP12" s="813"/>
      <c r="AQ12" s="542">
        <v>0</v>
      </c>
    </row>
    <row s="1666" customFormat="1" customHeight="1" ht="14.25" hidden="1">
      <c r="A13" s="1367"/>
      <c r="B13" s="1367"/>
      <c r="C13" s="1367"/>
      <c r="D13" s="1367"/>
      <c r="E13" s="2282"/>
      <c r="F13" s="1367"/>
      <c r="G13" s="1367"/>
      <c r="H13" s="1367"/>
      <c r="I13" s="1367"/>
      <c r="J13" s="1367"/>
      <c r="K13" s="1367"/>
      <c r="L13" s="1370"/>
      <c r="M13" s="1345"/>
      <c r="N13" s="1345"/>
      <c r="O13" s="542"/>
      <c r="P13" s="404"/>
      <c r="Q13" s="1368"/>
      <c r="R13" s="404"/>
      <c r="S13" s="1346"/>
      <c r="T13" s="1349" t="s">
        <v>500</v>
      </c>
      <c r="U13" s="1348"/>
      <c r="V13" s="1348"/>
      <c r="W13" s="1348"/>
      <c r="X13" s="1348"/>
      <c r="Y13" s="1348"/>
      <c r="Z13" s="1348"/>
      <c r="AA13" s="1348"/>
      <c r="AB13" s="1348"/>
      <c r="AC13" s="1348"/>
      <c r="AD13" s="1348"/>
      <c r="AE13" s="1348"/>
      <c r="AF13" s="1348"/>
      <c r="AG13" s="1348"/>
      <c r="AH13" s="1348"/>
      <c r="AI13" s="1348"/>
      <c r="AJ13" s="1348"/>
      <c r="AK13" s="1348"/>
      <c r="AM13" s="524"/>
      <c r="AN13" s="524" t="str">
        <f>IF(T13="","",T13)</f>
        <v>Добавить территорию для дифференциации</v>
      </c>
      <c r="AO13" s="524"/>
      <c r="AP13" s="524"/>
      <c r="AQ13" s="535">
        <v>0</v>
      </c>
    </row>
    <row customHeight="1" ht="14.25" hidden="1">
      <c r="AB14" s="351"/>
      <c r="AI14" s="351"/>
      <c r="AQ14" s="1179">
        <v>0</v>
      </c>
    </row>
    <row customHeight="1" ht="14.25" hidden="1">
      <c r="AC15" s="1384"/>
      <c r="AD15" s="1384"/>
      <c r="AE15" s="1385"/>
      <c r="AF15" s="2291"/>
      <c r="AG15" s="2292" t="s">
        <v>66</v>
      </c>
      <c r="AH15" s="2291"/>
      <c r="AI15" s="2292" t="s">
        <v>66</v>
      </c>
      <c r="AQ15" s="1179">
        <v>0</v>
      </c>
    </row>
    <row customHeight="1" ht="14.25" hidden="1">
      <c r="AC16" s="1384"/>
      <c r="AD16" s="1384"/>
      <c r="AE16" s="352" t="str">
        <f>AF15&amp;"-"&amp;AH15</f>
        <v>-</v>
      </c>
      <c r="AF16" s="2292"/>
      <c r="AG16" s="2292"/>
      <c r="AH16" s="2292"/>
      <c r="AI16" s="2292"/>
      <c r="AQ16" s="1179">
        <v>0</v>
      </c>
    </row>
    <row customHeight="1" ht="14.25" hidden="1">
      <c r="AI17" s="351"/>
      <c r="AQ17" s="1179">
        <v>0</v>
      </c>
    </row>
    <row s="1390" customFormat="1" customHeight="1" ht="22.5" hidden="1">
      <c r="L18" s="1471"/>
      <c r="M18" s="1386"/>
      <c r="N18" s="1386"/>
      <c r="O18" s="1391" t="s">
        <v>501</v>
      </c>
      <c r="P18" s="1386"/>
      <c r="Q18" s="1395"/>
      <c r="R18" s="1395"/>
      <c r="S18" s="753"/>
      <c r="Y18" s="1391"/>
      <c r="AA18" s="1391"/>
      <c r="AB18" s="1390"/>
      <c r="AF18" s="1391"/>
      <c r="AH18" s="1391"/>
      <c r="AI18" s="1390"/>
      <c r="AL18" s="535"/>
      <c r="AM18" s="535"/>
      <c r="AN18" s="535"/>
      <c r="AO18" s="535"/>
      <c r="AP18" s="535"/>
      <c r="AQ18" s="1184">
        <v>0</v>
      </c>
    </row>
    <row s="1390" customFormat="1" customHeight="1" ht="14.25" hidden="1">
      <c r="L19" s="1471"/>
      <c r="M19" s="1386"/>
      <c r="N19" s="1386"/>
      <c r="O19" s="1386"/>
      <c r="P19" s="1386"/>
      <c r="Q19" s="1395"/>
      <c r="R19" s="1395"/>
      <c r="S19" s="753"/>
      <c r="AB19" s="1390"/>
      <c r="AI19" s="1390"/>
      <c r="AL19" s="535"/>
      <c r="AM19" s="535"/>
      <c r="AN19" s="535"/>
      <c r="AO19" s="535"/>
      <c r="AP19" s="535"/>
      <c r="AQ19" s="1184">
        <v>0</v>
      </c>
    </row>
    <row s="1390" customFormat="1" customHeight="1" ht="12" hidden="1">
      <c r="L20" s="1471"/>
      <c r="M20" s="1386"/>
      <c r="N20" s="1386"/>
      <c r="O20" s="1388" t="s">
        <v>502</v>
      </c>
      <c r="P20" s="1386"/>
      <c r="Q20" s="1466"/>
      <c r="R20" s="1466"/>
      <c r="S20" s="753"/>
      <c r="T20" s="1184" t="s">
        <v>503</v>
      </c>
      <c r="Z20" s="210" t="s">
        <v>504</v>
      </c>
      <c r="AB20" s="210" t="s">
        <v>505</v>
      </c>
      <c r="AC20" s="1184" t="s">
        <v>503</v>
      </c>
      <c r="AG20" s="210" t="s">
        <v>506</v>
      </c>
      <c r="AI20" s="210" t="s">
        <v>505</v>
      </c>
      <c r="AQ20" s="1184">
        <v>0</v>
      </c>
    </row>
    <row customHeight="1" ht="14.25" hidden="1">
      <c r="O21" s="1388"/>
      <c r="AQ21" s="1179">
        <v>0</v>
      </c>
    </row>
    <row customHeight="1" ht="14.25" hidden="1">
      <c r="O22" s="1388"/>
      <c r="AQ22" s="1179">
        <v>0</v>
      </c>
    </row>
    <row customHeight="1" ht="14.699999999999998">
      <c r="Q23" s="400"/>
      <c r="R23" s="400"/>
      <c r="S23" s="1299"/>
      <c r="T23" s="387"/>
      <c r="U23" s="387"/>
      <c r="V23" s="533"/>
      <c r="W23" s="533"/>
      <c r="X23" s="533"/>
      <c r="Y23" s="533"/>
      <c r="Z23" s="533"/>
      <c r="AA23" s="533"/>
      <c r="AB23" s="533"/>
      <c r="AC23" s="533"/>
      <c r="AD23" s="533"/>
      <c r="AE23" s="533"/>
      <c r="AF23" s="533"/>
      <c r="AG23" s="533"/>
      <c r="AH23" s="533"/>
      <c r="AI23" s="533"/>
      <c r="AQ23" s="1179">
        <v>14</v>
      </c>
    </row>
    <row customHeight="1" ht="14.699999999999998">
      <c r="Q24" s="400"/>
      <c r="R24" s="400"/>
      <c r="S24" s="227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2"/>
      <c r="U24" s="2272"/>
      <c r="V24" s="2272"/>
      <c r="W24" s="2272"/>
      <c r="X24" s="2272"/>
      <c r="Y24" s="2272"/>
      <c r="Z24" s="2272"/>
      <c r="AA24" s="2272"/>
      <c r="AB24" s="2272"/>
      <c r="AC24" s="2272"/>
      <c r="AD24" s="2272"/>
      <c r="AE24" s="2272"/>
      <c r="AF24" s="2272"/>
      <c r="AG24" s="2272"/>
      <c r="AH24" s="2272"/>
      <c r="AI24" s="1267"/>
      <c r="AQ24" s="1179">
        <v>14</v>
      </c>
    </row>
    <row customHeight="1" ht="14.699999999999998">
      <c r="Q25" s="400"/>
      <c r="R25" s="400"/>
      <c r="S25" s="2273" t="str">
        <f>IF(org=0,"Не определено",org)</f>
        <v>АО "ДГК"</v>
      </c>
      <c r="T25" s="2273"/>
      <c r="U25" s="2273"/>
      <c r="V25" s="2273"/>
      <c r="W25" s="2273"/>
      <c r="X25" s="2273"/>
      <c r="Y25" s="2273"/>
      <c r="Z25" s="2273"/>
      <c r="AA25" s="2273"/>
      <c r="AB25" s="2273"/>
      <c r="AC25" s="2273"/>
      <c r="AD25" s="2273"/>
      <c r="AE25" s="2273"/>
      <c r="AF25" s="2273"/>
      <c r="AG25" s="2273"/>
      <c r="AH25" s="2273"/>
      <c r="AI25" s="1267"/>
      <c r="AQ25" s="1179">
        <v>14</v>
      </c>
    </row>
    <row customHeight="1" ht="14.25" hidden="1">
      <c r="Q26" s="400"/>
      <c r="R26" s="400"/>
      <c r="S26" s="1299"/>
      <c r="T26" s="387"/>
      <c r="U26" s="387"/>
      <c r="V26" s="346"/>
      <c r="W26" s="346"/>
      <c r="X26" s="346"/>
      <c r="Y26" s="346"/>
      <c r="Z26" s="346"/>
      <c r="AA26" s="346"/>
      <c r="AB26" s="346"/>
      <c r="AC26" s="346"/>
      <c r="AD26" s="346"/>
      <c r="AE26" s="346"/>
      <c r="AF26" s="346"/>
      <c r="AG26" s="346"/>
      <c r="AH26" s="346"/>
      <c r="AI26" s="346"/>
      <c r="AJ26" s="533"/>
      <c r="AQ26" s="1179">
        <v>0</v>
      </c>
    </row>
    <row s="1877" customFormat="1" customHeight="1" ht="25.5" hidden="1">
      <c r="A27" s="1392"/>
      <c r="B27" s="1392"/>
      <c r="C27" s="1392"/>
      <c r="D27" s="1392"/>
      <c r="E27" s="1392"/>
      <c r="F27" s="1392"/>
      <c r="G27" s="1392"/>
      <c r="H27" s="1392"/>
      <c r="I27" s="1392"/>
      <c r="J27" s="1392"/>
      <c r="K27" s="1392"/>
      <c r="L27" s="1393"/>
      <c r="M27" s="1392"/>
      <c r="N27" s="1392"/>
      <c r="O27" s="1392"/>
      <c r="S27" s="2274" t="s">
        <v>42</v>
      </c>
      <c r="T27" s="2274"/>
      <c r="U27" s="1396"/>
      <c r="V27" s="2275" t="str">
        <f>IF(TITLE_NAME_OR_PR_CHANGE="",IF(TITLE_NAME_OR_PR="","",TITLE_NAME_OR_PR),TITLE_NAME_OR_PR_CHANGE)</f>
        <v/>
      </c>
      <c r="W27" s="2275"/>
      <c r="X27" s="2275"/>
      <c r="Y27" s="2275"/>
      <c r="Z27" s="2275"/>
      <c r="AA27" s="2275"/>
      <c r="AB27" s="350"/>
      <c r="AC27" s="2275" t="str">
        <f>IF(TITLE_NAME_OR_PR_CHANGE="",IF(TITLE_NAME_OR_PR="","",TITLE_NAME_OR_PR),TITLE_NAME_OR_PR_CHANGE)</f>
        <v/>
      </c>
      <c r="AD27" s="2275"/>
      <c r="AE27" s="2275"/>
      <c r="AF27" s="2275"/>
      <c r="AG27" s="2275"/>
      <c r="AH27" s="2275"/>
      <c r="AI27" s="350"/>
      <c r="AJ27" s="350"/>
      <c r="AK27" s="304"/>
      <c r="AL27" s="392"/>
      <c r="AM27" s="392"/>
      <c r="AN27" s="392"/>
      <c r="AO27" s="392"/>
      <c r="AP27" s="392"/>
      <c r="AQ27" s="442">
        <v>0</v>
      </c>
    </row>
    <row s="1877" customFormat="1" customHeight="1" ht="18.75" hidden="1">
      <c r="A28" s="1392"/>
      <c r="B28" s="1392"/>
      <c r="C28" s="1392"/>
      <c r="D28" s="1392"/>
      <c r="E28" s="1392"/>
      <c r="F28" s="1392"/>
      <c r="G28" s="1392"/>
      <c r="H28" s="1392"/>
      <c r="I28" s="1392"/>
      <c r="J28" s="1392"/>
      <c r="K28" s="1392"/>
      <c r="L28" s="1393"/>
      <c r="M28" s="1392"/>
      <c r="N28" s="1392"/>
      <c r="O28" s="1392"/>
      <c r="S28" s="2274" t="s">
        <v>507</v>
      </c>
      <c r="T28" s="2274"/>
      <c r="U28" s="1396"/>
      <c r="V28" s="2288" t="str">
        <f>IF(TITLE_DATE_PR_CHANGE="",IF(TITLE_DATE_PR="","",TITLE_DATE_PR),TITLE_DATE_PR_CHANGE)</f>
        <v/>
      </c>
      <c r="W28" s="2288"/>
      <c r="X28" s="2288"/>
      <c r="Y28" s="2288"/>
      <c r="Z28" s="2288"/>
      <c r="AA28" s="2288"/>
      <c r="AB28" s="350"/>
      <c r="AC28" s="2288" t="str">
        <f>IF(TITLE_DATE_PR_CHANGE="",IF(TITLE_DATE_PR="","",TITLE_DATE_PR),TITLE_DATE_PR_CHANGE)</f>
        <v/>
      </c>
      <c r="AD28" s="2288"/>
      <c r="AE28" s="2288"/>
      <c r="AF28" s="2288"/>
      <c r="AG28" s="2288"/>
      <c r="AH28" s="2288"/>
      <c r="AI28" s="350"/>
      <c r="AJ28" s="350"/>
      <c r="AK28" s="304"/>
      <c r="AL28" s="392"/>
      <c r="AM28" s="392"/>
      <c r="AN28" s="392"/>
      <c r="AO28" s="392"/>
      <c r="AP28" s="392"/>
      <c r="AQ28" s="442">
        <v>0</v>
      </c>
    </row>
    <row s="1877" customFormat="1" customHeight="1" ht="18.75" hidden="1">
      <c r="A29" s="1392"/>
      <c r="B29" s="1392"/>
      <c r="C29" s="1392"/>
      <c r="D29" s="1392"/>
      <c r="E29" s="1392"/>
      <c r="F29" s="1392"/>
      <c r="G29" s="1392"/>
      <c r="H29" s="1392"/>
      <c r="I29" s="1392"/>
      <c r="J29" s="1392"/>
      <c r="K29" s="1392"/>
      <c r="L29" s="1393"/>
      <c r="M29" s="1392"/>
      <c r="N29" s="1392"/>
      <c r="O29" s="1392"/>
      <c r="S29" s="2274" t="s">
        <v>508</v>
      </c>
      <c r="T29" s="2274"/>
      <c r="U29" s="1396"/>
      <c r="V29" s="2275" t="str">
        <f>IF(TITLE_NUMBER_PR_CHANGE="",IF(TITLE_NUMBER_PR="","",TITLE_NUMBER_PR),TITLE_NUMBER_PR_CHANGE)</f>
        <v/>
      </c>
      <c r="W29" s="2275"/>
      <c r="X29" s="2275"/>
      <c r="Y29" s="2275"/>
      <c r="Z29" s="2275"/>
      <c r="AA29" s="2275"/>
      <c r="AB29" s="350"/>
      <c r="AC29" s="2275" t="str">
        <f>IF(TITLE_NUMBER_PR_CHANGE="",IF(TITLE_NUMBER_PR="","",TITLE_NUMBER_PR),TITLE_NUMBER_PR_CHANGE)</f>
        <v/>
      </c>
      <c r="AD29" s="2275"/>
      <c r="AE29" s="2275"/>
      <c r="AF29" s="2275"/>
      <c r="AG29" s="2275"/>
      <c r="AH29" s="2275"/>
      <c r="AI29" s="350"/>
      <c r="AJ29" s="350"/>
      <c r="AK29" s="304"/>
      <c r="AL29" s="392"/>
      <c r="AM29" s="392"/>
      <c r="AN29" s="392"/>
      <c r="AO29" s="392"/>
      <c r="AP29" s="392"/>
      <c r="AQ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43</v>
      </c>
      <c r="T30" s="2274"/>
      <c r="U30" s="1396"/>
      <c r="V30" s="2275" t="str">
        <f>IF(TITLE_IST_PUB_CHANGE="",IF(TITLE_IST_PUB="","",TITLE_IST_PUB),TITLE_IST_PUB_CHANGE)</f>
        <v/>
      </c>
      <c r="W30" s="2275"/>
      <c r="X30" s="2275"/>
      <c r="Y30" s="2275"/>
      <c r="Z30" s="2275"/>
      <c r="AA30" s="2275"/>
      <c r="AB30" s="350"/>
      <c r="AC30" s="2275" t="str">
        <f>IF(TITLE_IST_PUB_CHANGE="",IF(TITLE_IST_PUB="","",TITLE_IST_PUB),TITLE_IST_PUB_CHANGE)</f>
        <v/>
      </c>
      <c r="AD30" s="2275"/>
      <c r="AE30" s="2275"/>
      <c r="AF30" s="2275"/>
      <c r="AG30" s="2275"/>
      <c r="AH30" s="2275"/>
      <c r="AI30" s="350"/>
      <c r="AJ30" s="350"/>
      <c r="AK30" s="304"/>
      <c r="AL30" s="392"/>
      <c r="AM30" s="392"/>
      <c r="AN30" s="392"/>
      <c r="AO30" s="392"/>
      <c r="AP30" s="392"/>
      <c r="AQ30" s="442">
        <v>0</v>
      </c>
    </row>
    <row customHeight="1" ht="14.25" hidden="1">
      <c r="Q31" s="400"/>
      <c r="R31" s="400"/>
      <c r="S31" s="1299"/>
      <c r="T31" s="387"/>
      <c r="U31" s="387"/>
      <c r="V31" s="346"/>
      <c r="W31" s="346"/>
      <c r="X31" s="346"/>
      <c r="Y31" s="346"/>
      <c r="Z31" s="346"/>
      <c r="AA31" s="346"/>
      <c r="AB31" s="346"/>
      <c r="AC31" s="346"/>
      <c r="AD31" s="346"/>
      <c r="AE31" s="346"/>
      <c r="AF31" s="346"/>
      <c r="AG31" s="346"/>
      <c r="AH31" s="346"/>
      <c r="AI31" s="346"/>
      <c r="AJ31" s="533"/>
      <c r="AQ31" s="1179">
        <v>0</v>
      </c>
    </row>
    <row s="1877" customFormat="1" customHeight="1" ht="18.75" hidden="1">
      <c r="A32" s="1392"/>
      <c r="B32" s="1392"/>
      <c r="C32" s="1392"/>
      <c r="D32" s="1392"/>
      <c r="E32" s="1392"/>
      <c r="F32" s="1392"/>
      <c r="G32" s="1392"/>
      <c r="H32" s="1392"/>
      <c r="I32" s="1392"/>
      <c r="J32" s="1392"/>
      <c r="K32" s="1392"/>
      <c r="L32" s="1393"/>
      <c r="M32" s="1392"/>
      <c r="N32" s="1392"/>
      <c r="O32" s="1392"/>
      <c r="S32" s="2274" t="s">
        <v>509</v>
      </c>
      <c r="T32" s="2274"/>
      <c r="U32" s="1396"/>
      <c r="V32" s="2288" t="str">
        <f>IF(TITLE_DATE_PR_CHANGE="",IF(TITLE_DATE_PR="","",TITLE_DATE_PR),TITLE_DATE_PR_CHANGE)</f>
        <v/>
      </c>
      <c r="W32" s="2288"/>
      <c r="X32" s="2288"/>
      <c r="Y32" s="2288"/>
      <c r="Z32" s="2288"/>
      <c r="AA32" s="2288"/>
      <c r="AB32" s="350"/>
      <c r="AC32" s="2288" t="str">
        <f>IF(TITLE_DATE_PR_CHANGE="",IF(TITLE_DATE_PR="","",TITLE_DATE_PR),TITLE_DATE_PR_CHANGE)</f>
        <v/>
      </c>
      <c r="AD32" s="2288"/>
      <c r="AE32" s="2288"/>
      <c r="AF32" s="2288"/>
      <c r="AG32" s="2288"/>
      <c r="AH32" s="2288"/>
      <c r="AI32" s="350"/>
      <c r="AJ32" s="350"/>
      <c r="AK32" s="304"/>
      <c r="AL32" s="392"/>
      <c r="AM32" s="392"/>
      <c r="AN32" s="392"/>
      <c r="AO32" s="392"/>
      <c r="AP32" s="392"/>
      <c r="AQ32" s="442">
        <v>0</v>
      </c>
    </row>
    <row s="1877" customFormat="1" customHeight="1" ht="18.75" hidden="1">
      <c r="A33" s="1392"/>
      <c r="B33" s="1392"/>
      <c r="C33" s="1392"/>
      <c r="D33" s="1392"/>
      <c r="E33" s="1392"/>
      <c r="F33" s="1392"/>
      <c r="G33" s="1392"/>
      <c r="H33" s="1392"/>
      <c r="I33" s="1392"/>
      <c r="J33" s="1392"/>
      <c r="K33" s="1392"/>
      <c r="L33" s="1393"/>
      <c r="M33" s="1392"/>
      <c r="N33" s="1392"/>
      <c r="O33" s="1392"/>
      <c r="S33" s="2274" t="s">
        <v>510</v>
      </c>
      <c r="T33" s="2274"/>
      <c r="U33" s="1396"/>
      <c r="V33" s="2275" t="str">
        <f>IF(TITLE_NUMBER_PR_CHANGE="",IF(TITLE_NUMBER_PR="","",TITLE_NUMBER_PR),TITLE_NUMBER_PR_CHANGE)</f>
        <v/>
      </c>
      <c r="W33" s="2275"/>
      <c r="X33" s="2275"/>
      <c r="Y33" s="2275"/>
      <c r="Z33" s="2275"/>
      <c r="AA33" s="2275"/>
      <c r="AB33" s="350"/>
      <c r="AC33" s="2275" t="str">
        <f>IF(TITLE_NUMBER_PR_CHANGE="",IF(TITLE_NUMBER_PR="","",TITLE_NUMBER_PR),TITLE_NUMBER_PR_CHANGE)</f>
        <v/>
      </c>
      <c r="AD33" s="2275"/>
      <c r="AE33" s="2275"/>
      <c r="AF33" s="2275"/>
      <c r="AG33" s="2275"/>
      <c r="AH33" s="2275"/>
      <c r="AI33" s="350"/>
      <c r="AJ33" s="350"/>
      <c r="AK33" s="304"/>
      <c r="AL33" s="392"/>
      <c r="AM33" s="392"/>
      <c r="AN33" s="392"/>
      <c r="AO33" s="392"/>
      <c r="AP33" s="392"/>
      <c r="AQ33" s="442">
        <v>0</v>
      </c>
    </row>
    <row s="1877" customFormat="1" customHeight="1" ht="1.05">
      <c r="A34" s="1392"/>
      <c r="B34" s="1392"/>
      <c r="C34" s="1392"/>
      <c r="D34" s="1392"/>
      <c r="E34" s="1392"/>
      <c r="F34" s="1392"/>
      <c r="G34" s="1392"/>
      <c r="H34" s="1392"/>
      <c r="I34" s="1392"/>
      <c r="J34" s="1392"/>
      <c r="K34" s="1392"/>
      <c r="L34" s="1393"/>
      <c r="M34" s="1392"/>
      <c r="N34" s="1392"/>
      <c r="O34" s="1392"/>
      <c r="S34" s="347"/>
      <c r="T34" s="347"/>
      <c r="U34" s="1478"/>
      <c r="V34" s="350"/>
      <c r="W34" s="350"/>
      <c r="X34" s="350"/>
      <c r="Y34" s="350"/>
      <c r="Z34" s="350"/>
      <c r="AA34" s="350"/>
      <c r="AB34" s="302" t="s">
        <v>511</v>
      </c>
      <c r="AC34" s="350"/>
      <c r="AD34" s="350"/>
      <c r="AE34" s="350"/>
      <c r="AF34" s="350"/>
      <c r="AG34" s="350"/>
      <c r="AH34" s="350"/>
      <c r="AI34" s="302" t="s">
        <v>511</v>
      </c>
      <c r="AL34" s="392"/>
      <c r="AM34" s="392"/>
      <c r="AN34" s="392"/>
      <c r="AO34" s="392"/>
      <c r="AP34" s="392"/>
      <c r="AQ34" s="442">
        <v>1</v>
      </c>
    </row>
    <row customHeight="1" ht="14.699999999999998">
      <c r="Q35" s="400"/>
      <c r="R35" s="400"/>
      <c r="S35" s="1299"/>
      <c r="T35" s="387"/>
      <c r="U35" s="1268"/>
      <c r="V35" s="2276"/>
      <c r="W35" s="2276"/>
      <c r="X35" s="2276"/>
      <c r="Y35" s="2276"/>
      <c r="Z35" s="2276"/>
      <c r="AA35" s="2276"/>
      <c r="AB35" s="2276"/>
      <c r="AC35" s="2276"/>
      <c r="AD35" s="2276"/>
      <c r="AE35" s="2276"/>
      <c r="AF35" s="2276"/>
      <c r="AG35" s="2276"/>
      <c r="AH35" s="2276"/>
      <c r="AI35" s="2276"/>
      <c r="AQ35" s="1179">
        <v>14</v>
      </c>
    </row>
    <row customHeight="1" ht="14.699999999999998">
      <c r="Q36" s="400"/>
      <c r="R36" s="400"/>
      <c r="S36" s="2151" t="s">
        <v>384</v>
      </c>
      <c r="T36" s="2151"/>
      <c r="U36" s="2151"/>
      <c r="V36" s="2151"/>
      <c r="W36" s="2151"/>
      <c r="X36" s="2151"/>
      <c r="Y36" s="2151"/>
      <c r="Z36" s="2151"/>
      <c r="AA36" s="2151"/>
      <c r="AB36" s="2151"/>
      <c r="AC36" s="2151"/>
      <c r="AD36" s="2151"/>
      <c r="AE36" s="2151"/>
      <c r="AF36" s="2151"/>
      <c r="AG36" s="2151"/>
      <c r="AH36" s="2151"/>
      <c r="AI36" s="2151"/>
      <c r="AJ36" s="2151"/>
      <c r="AK36" s="2151" t="s">
        <v>385</v>
      </c>
      <c r="AQ36" s="1179">
        <v>14</v>
      </c>
    </row>
    <row customHeight="1" ht="14.699999999999998">
      <c r="Q37" s="400"/>
      <c r="R37" s="400"/>
      <c r="S37" s="2297" t="s">
        <v>88</v>
      </c>
      <c r="T37" s="2233" t="s">
        <v>512</v>
      </c>
      <c r="U37" s="325"/>
      <c r="V37" s="2298" t="s">
        <v>513</v>
      </c>
      <c r="W37" s="2299"/>
      <c r="X37" s="2299"/>
      <c r="Y37" s="2299"/>
      <c r="Z37" s="2299"/>
      <c r="AA37" s="2300"/>
      <c r="AB37" s="2301" t="s">
        <v>514</v>
      </c>
      <c r="AC37" s="2298" t="s">
        <v>513</v>
      </c>
      <c r="AD37" s="2299"/>
      <c r="AE37" s="2299"/>
      <c r="AF37" s="2299"/>
      <c r="AG37" s="2299"/>
      <c r="AH37" s="2300"/>
      <c r="AI37" s="2301" t="s">
        <v>515</v>
      </c>
      <c r="AJ37" s="2304" t="s">
        <v>516</v>
      </c>
      <c r="AK37" s="2151"/>
      <c r="AQ37" s="1179">
        <v>14</v>
      </c>
    </row>
    <row customHeight="1" ht="35.699999999999996">
      <c r="Q38" s="400"/>
      <c r="R38" s="400"/>
      <c r="S38" s="2297"/>
      <c r="T38" s="2233"/>
      <c r="U38" s="1055"/>
      <c r="V38" s="1476" t="s">
        <v>573</v>
      </c>
      <c r="W38" s="2286" t="s">
        <v>519</v>
      </c>
      <c r="X38" s="2287"/>
      <c r="Y38" s="2286" t="s">
        <v>520</v>
      </c>
      <c r="Z38" s="2293"/>
      <c r="AA38" s="2287"/>
      <c r="AB38" s="2302"/>
      <c r="AC38" s="1476" t="s">
        <v>573</v>
      </c>
      <c r="AD38" s="2286" t="s">
        <v>519</v>
      </c>
      <c r="AE38" s="2287"/>
      <c r="AF38" s="2286" t="s">
        <v>520</v>
      </c>
      <c r="AG38" s="2293"/>
      <c r="AH38" s="2287"/>
      <c r="AI38" s="2302"/>
      <c r="AJ38" s="2305"/>
      <c r="AK38" s="2151"/>
      <c r="AQ38" s="1179">
        <v>34</v>
      </c>
    </row>
    <row customHeight="1" ht="35.699999999999996">
      <c r="A39" s="1394"/>
      <c r="B39" s="1394" t="s">
        <v>223</v>
      </c>
      <c r="C39" s="1394" t="s">
        <v>224</v>
      </c>
      <c r="D39" s="1394" t="s">
        <v>225</v>
      </c>
      <c r="E39" s="1388" t="s">
        <v>521</v>
      </c>
      <c r="F39" s="1388" t="s">
        <v>522</v>
      </c>
      <c r="G39" s="1388" t="s">
        <v>523</v>
      </c>
      <c r="H39" s="1388"/>
      <c r="I39" s="1388" t="s">
        <v>574</v>
      </c>
      <c r="J39" s="1388" t="s">
        <v>526</v>
      </c>
      <c r="K39" s="1388" t="s">
        <v>575</v>
      </c>
      <c r="L39" s="1388" t="s">
        <v>502</v>
      </c>
      <c r="Q39" s="400"/>
      <c r="R39" s="400"/>
      <c r="S39" s="2297"/>
      <c r="T39" s="2233"/>
      <c r="U39" s="326"/>
      <c r="V39" s="1476" t="s">
        <v>576</v>
      </c>
      <c r="W39" s="1246" t="s">
        <v>577</v>
      </c>
      <c r="X39" s="1246" t="s">
        <v>578</v>
      </c>
      <c r="Y39" s="1479" t="s">
        <v>530</v>
      </c>
      <c r="Z39" s="2294" t="s">
        <v>531</v>
      </c>
      <c r="AA39" s="2295"/>
      <c r="AB39" s="2303"/>
      <c r="AC39" s="1476" t="s">
        <v>576</v>
      </c>
      <c r="AD39" s="1246" t="s">
        <v>577</v>
      </c>
      <c r="AE39" s="1246" t="s">
        <v>578</v>
      </c>
      <c r="AF39" s="1479" t="s">
        <v>530</v>
      </c>
      <c r="AG39" s="2294" t="s">
        <v>531</v>
      </c>
      <c r="AH39" s="2295"/>
      <c r="AI39" s="2303"/>
      <c r="AJ39" s="2306"/>
      <c r="AK39" s="2151"/>
      <c r="AQ39" s="1179">
        <v>34</v>
      </c>
    </row>
    <row s="1665" customFormat="1" customHeight="1" ht="0">
      <c r="A40" s="1394"/>
      <c r="B40" s="1394"/>
      <c r="C40" s="1394"/>
      <c r="D40" s="1394"/>
      <c r="E40" s="1394"/>
      <c r="F40" s="1394"/>
      <c r="G40" s="1394"/>
      <c r="H40" s="1394"/>
      <c r="I40" s="1394"/>
      <c r="J40" s="1394"/>
      <c r="K40" s="1394"/>
      <c r="L40" s="1388"/>
      <c r="M40" s="1386"/>
      <c r="N40" s="1386"/>
      <c r="O40" s="1386"/>
      <c r="P40" s="1270"/>
      <c r="Q40" s="1271"/>
      <c r="R40" s="1278">
        <v>1</v>
      </c>
      <c r="S40" s="1301" t="s">
        <v>170</v>
      </c>
      <c r="T40" s="1279" t="s">
        <v>103</v>
      </c>
      <c r="U40" s="1269" t="str">
        <f>OFFSET(U40,0,-1)</f>
        <v>2</v>
      </c>
      <c r="V40" s="1475">
        <f>OFFSET(V40,0,-1)+1</f>
        <v>3</v>
      </c>
      <c r="W40" s="1475">
        <f>OFFSET(W40,0,-1)+1</f>
        <v>4</v>
      </c>
      <c r="X40" s="1475">
        <f>OFFSET(X40,0,-1)+1</f>
        <v>5</v>
      </c>
      <c r="Y40" s="1475">
        <f>OFFSET(Y40,0,-1)+1</f>
        <v>6</v>
      </c>
      <c r="Z40" s="2296">
        <f>OFFSET(Z40,0,-1)+1</f>
        <v>7</v>
      </c>
      <c r="AA40" s="2296"/>
      <c r="AB40" s="1475">
        <f>OFFSET(AB40,0,-2)+1</f>
        <v>8</v>
      </c>
      <c r="AC40" s="1475">
        <f>OFFSET(AC40,0,-1)+1</f>
        <v>9</v>
      </c>
      <c r="AD40" s="1475">
        <f>OFFSET(AD40,0,-1)+1</f>
        <v>10</v>
      </c>
      <c r="AE40" s="1475">
        <f>OFFSET(AE40,0,-1)+1</f>
        <v>11</v>
      </c>
      <c r="AF40" s="1475">
        <f>OFFSET(AF40,0,-1)+1</f>
        <v>12</v>
      </c>
      <c r="AG40" s="2296">
        <f>OFFSET(AG40,0,-1)+1</f>
        <v>13</v>
      </c>
      <c r="AH40" s="2296"/>
      <c r="AI40" s="1475">
        <f>OFFSET(AI40,0,-2)+1</f>
        <v>14</v>
      </c>
      <c r="AJ40" s="1269">
        <f>OFFSET(AJ40,0,-1)</f>
        <v>14</v>
      </c>
      <c r="AK40" s="1475">
        <f>OFFSET(AK40,0,-1)+1</f>
        <v>15</v>
      </c>
      <c r="AL40" s="535"/>
      <c r="AM40" s="535"/>
      <c r="AN40" s="535"/>
      <c r="AO40" s="535"/>
      <c r="AP40" s="535"/>
      <c r="AQ40" s="520">
        <v>0</v>
      </c>
    </row>
    <row customHeight="1" ht="24">
      <c r="A41" s="1387" t="s">
        <v>315</v>
      </c>
      <c r="B41" s="1387"/>
      <c r="C41" s="1387"/>
      <c r="D41" s="1387"/>
      <c r="E41" s="2282">
        <v>1</v>
      </c>
      <c r="F41" s="1387"/>
      <c r="G41" s="1387"/>
      <c r="H41" s="1387"/>
      <c r="I41" s="1387"/>
      <c r="J41" s="1387"/>
      <c r="K41" s="1387"/>
      <c r="L41" s="1388"/>
      <c r="M41" s="1389"/>
      <c r="N41" s="1389"/>
      <c r="O41" s="1389"/>
      <c r="P41" s="385"/>
      <c r="Q41" s="384"/>
      <c r="R41" s="379"/>
      <c r="S41" s="1481">
        <f>INDEX(PT_DIFFERENTIATION_NUM_NTAR,MATCH(A41,PT_DIFFERENTIATION_NTAR_ID,0))</f>
        <v>0</v>
      </c>
      <c r="T41" s="322" t="s">
        <v>211</v>
      </c>
      <c r="U41" s="324"/>
      <c r="V41" s="2266"/>
      <c r="W41" s="2267"/>
      <c r="X41" s="2267"/>
      <c r="Y41" s="2267"/>
      <c r="Z41" s="2267"/>
      <c r="AA41" s="2267"/>
      <c r="AB41" s="2268"/>
      <c r="AC41" s="2266" t="str">
        <f>INDEX(PT_DIFFERENTIATION_NTAR,MATCH(A41,PT_DIFFERENTIATION_NTAR_ID,0))</f>
        <v/>
      </c>
      <c r="AD41" s="2267"/>
      <c r="AE41" s="2267"/>
      <c r="AF41" s="2267"/>
      <c r="AG41" s="2267"/>
      <c r="AH41" s="2267"/>
      <c r="AI41" s="2267"/>
      <c r="AJ41" s="2268"/>
      <c r="AK41"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24"/>
      <c r="AN41" s="524" t="str">
        <f>IF(T41="","",T41)</f>
        <v>Наименование тарифа</v>
      </c>
      <c r="AO41" s="524"/>
      <c r="AP41" s="524"/>
      <c r="AQ41" s="1179">
        <v>23</v>
      </c>
    </row>
    <row customHeight="1" ht="24">
      <c r="A42" s="1387" t="s">
        <v>315</v>
      </c>
      <c r="B42" s="1387" t="s">
        <v>316</v>
      </c>
      <c r="C42" s="1387"/>
      <c r="D42" s="1387"/>
      <c r="E42" s="2283"/>
      <c r="F42" s="2282">
        <v>1</v>
      </c>
      <c r="G42" s="1387"/>
      <c r="H42" s="1387"/>
      <c r="I42" s="1387"/>
      <c r="J42" s="1387"/>
      <c r="K42" s="1387"/>
      <c r="L42" s="1388"/>
      <c r="M42" s="1389"/>
      <c r="N42" s="1389"/>
      <c r="O42" s="1389"/>
      <c r="P42" s="1477"/>
      <c r="Q42" s="376"/>
      <c r="R42" s="377"/>
      <c r="S42" s="1481" t="str">
        <f>INDEX(PT_DIFFERENTIATION_NUM_TER,MATCH(B42,PT_DIFFERENTIATION_TER_ID,0))</f>
        <v>.</v>
      </c>
      <c r="T42" s="332" t="s">
        <v>481</v>
      </c>
      <c r="U42" s="324"/>
      <c r="V42" s="2266"/>
      <c r="W42" s="2267"/>
      <c r="X42" s="2267"/>
      <c r="Y42" s="2267"/>
      <c r="Z42" s="2267"/>
      <c r="AA42" s="2267"/>
      <c r="AB42" s="2268"/>
      <c r="AC42" s="2266" t="str">
        <f>INDEX(PT_DIFFERENTIATION_TER,MATCH(B42,PT_DIFFERENTIATION_TER_ID,0))</f>
        <v/>
      </c>
      <c r="AD42" s="2267"/>
      <c r="AE42" s="2267"/>
      <c r="AF42" s="2267"/>
      <c r="AG42" s="2267"/>
      <c r="AH42" s="2267"/>
      <c r="AI42" s="2267"/>
      <c r="AJ42" s="2268"/>
      <c r="AK42" s="1282" t="s">
        <v>482</v>
      </c>
      <c r="AM42" s="524"/>
      <c r="AN42" s="524" t="str">
        <f>IF(T42="","",T42)</f>
        <v>Территория действия тарифа</v>
      </c>
      <c r="AO42" s="524"/>
      <c r="AP42" s="524"/>
      <c r="AQ42" s="1179">
        <v>23</v>
      </c>
    </row>
    <row customHeight="1" ht="24">
      <c r="A43" s="1387" t="s">
        <v>315</v>
      </c>
      <c r="B43" s="1387" t="s">
        <v>316</v>
      </c>
      <c r="C43" s="1387" t="s">
        <v>317</v>
      </c>
      <c r="D43" s="1387"/>
      <c r="E43" s="2283"/>
      <c r="F43" s="2283"/>
      <c r="G43" s="2282">
        <v>1</v>
      </c>
      <c r="H43" s="1387"/>
      <c r="I43" s="1387"/>
      <c r="J43" s="1387"/>
      <c r="K43" s="1387"/>
      <c r="L43" s="1388"/>
      <c r="M43" s="1389"/>
      <c r="N43" s="1389"/>
      <c r="O43" s="1389"/>
      <c r="P43" s="378"/>
      <c r="Q43" s="376"/>
      <c r="R43" s="377"/>
      <c r="S43" s="1481" t="str">
        <f>INDEX(PT_DIFFERENTIATION_NUM_CS,MATCH(C43,PT_DIFFERENTIATION_CS_ID,0))</f>
        <v>..</v>
      </c>
      <c r="T43" s="333" t="s">
        <v>565</v>
      </c>
      <c r="U43" s="324"/>
      <c r="V43" s="2266"/>
      <c r="W43" s="2267"/>
      <c r="X43" s="2267"/>
      <c r="Y43" s="2267"/>
      <c r="Z43" s="2267"/>
      <c r="AA43" s="2267"/>
      <c r="AB43" s="2268"/>
      <c r="AC43" s="2266" t="str">
        <f>INDEX(PT_DIFFERENTIATION_CS,MATCH(C43,PT_DIFFERENTIATION_CS_ID,0))</f>
        <v/>
      </c>
      <c r="AD43" s="2267"/>
      <c r="AE43" s="2267"/>
      <c r="AF43" s="2267"/>
      <c r="AG43" s="2267"/>
      <c r="AH43" s="2267"/>
      <c r="AI43" s="2267"/>
      <c r="AJ43" s="2268"/>
      <c r="AK43" s="1282" t="s">
        <v>566</v>
      </c>
      <c r="AM43" s="524"/>
      <c r="AN43" s="524" t="str">
        <f>IF(T43="","",T43)</f>
        <v>Наименование централизованной системы холодного водоснабжения</v>
      </c>
      <c r="AO43" s="524"/>
      <c r="AP43" s="524"/>
      <c r="AQ43" s="1179">
        <v>23</v>
      </c>
    </row>
    <row customHeight="1" ht="24">
      <c r="A44" s="1387" t="s">
        <v>315</v>
      </c>
      <c r="B44" s="1387" t="s">
        <v>316</v>
      </c>
      <c r="C44" s="1387" t="s">
        <v>317</v>
      </c>
      <c r="D44" s="1387" t="s">
        <v>580</v>
      </c>
      <c r="E44" s="2283"/>
      <c r="F44" s="2283"/>
      <c r="G44" s="2283"/>
      <c r="H44" s="2283"/>
      <c r="I44" s="2280" t="str">
        <f>S43&amp;".1"</f>
        <v>...1</v>
      </c>
      <c r="J44" s="1387"/>
      <c r="K44" s="1387"/>
      <c r="L44" s="1388"/>
      <c r="P44" s="2281">
        <v>1</v>
      </c>
      <c r="Q44" s="1474"/>
      <c r="R44" s="380"/>
      <c r="S44" s="1481" t="str">
        <f>$I44</f>
        <v>...1</v>
      </c>
      <c r="T44" s="309" t="s">
        <v>567</v>
      </c>
      <c r="U44" s="324"/>
      <c r="V44" s="2374"/>
      <c r="W44" s="2375"/>
      <c r="X44" s="2375"/>
      <c r="Y44" s="2375"/>
      <c r="Z44" s="2375"/>
      <c r="AA44" s="2375"/>
      <c r="AB44" s="2376"/>
      <c r="AC44" s="2377"/>
      <c r="AD44" s="2378"/>
      <c r="AE44" s="2378"/>
      <c r="AF44" s="2378"/>
      <c r="AG44" s="2378"/>
      <c r="AH44" s="2378"/>
      <c r="AI44" s="2378"/>
      <c r="AJ44" s="2379"/>
      <c r="AK44" s="1282" t="s">
        <v>568</v>
      </c>
      <c r="AM44" s="524"/>
      <c r="AN44" s="524" t="str">
        <f>IF(T44="","",T44)</f>
        <v>Наименование признака дифференциации</v>
      </c>
      <c r="AO44" s="524"/>
      <c r="AP44" s="524"/>
      <c r="AQ44" s="1179">
        <v>23</v>
      </c>
    </row>
    <row customHeight="1" ht="24">
      <c r="A45" s="1387" t="s">
        <v>315</v>
      </c>
      <c r="B45" s="1387" t="s">
        <v>316</v>
      </c>
      <c r="C45" s="1387" t="s">
        <v>317</v>
      </c>
      <c r="D45" s="1387" t="s">
        <v>580</v>
      </c>
      <c r="E45" s="2283"/>
      <c r="F45" s="2283"/>
      <c r="G45" s="2283"/>
      <c r="H45" s="2283"/>
      <c r="I45" s="2310"/>
      <c r="J45" s="2280" t="str">
        <f>I44&amp;".1"</f>
        <v>...1.1</v>
      </c>
      <c r="K45" s="1387"/>
      <c r="L45" s="1388" t="s">
        <v>490</v>
      </c>
      <c r="P45" s="2281"/>
      <c r="Q45" s="2281">
        <v>1</v>
      </c>
      <c r="R45" s="381"/>
      <c r="S45" s="1481" t="str">
        <f>$J45</f>
        <v>...1.1</v>
      </c>
      <c r="T45" s="310" t="s">
        <v>491</v>
      </c>
      <c r="U45" s="324"/>
      <c r="V45" s="2269"/>
      <c r="W45" s="2270"/>
      <c r="X45" s="2270"/>
      <c r="Y45" s="2270"/>
      <c r="Z45" s="2270"/>
      <c r="AA45" s="2270"/>
      <c r="AB45" s="2271"/>
      <c r="AC45" s="2269"/>
      <c r="AD45" s="2270"/>
      <c r="AE45" s="2270"/>
      <c r="AF45" s="2270"/>
      <c r="AG45" s="2270"/>
      <c r="AH45" s="2270"/>
      <c r="AI45" s="2270"/>
      <c r="AJ45" s="2271"/>
      <c r="AK45" s="1331" t="s">
        <v>569</v>
      </c>
      <c r="AM45" s="524"/>
      <c r="AN45" s="524" t="str">
        <f>IF(T45="","",T45)</f>
        <v>Группа потребителей</v>
      </c>
      <c r="AO45" s="524"/>
      <c r="AP45" s="524"/>
      <c r="AQ45" s="1179">
        <v>23</v>
      </c>
    </row>
    <row customHeight="1" ht="24">
      <c r="A46" s="1387" t="s">
        <v>315</v>
      </c>
      <c r="B46" s="1387" t="s">
        <v>316</v>
      </c>
      <c r="C46" s="1387" t="s">
        <v>317</v>
      </c>
      <c r="D46" s="1387" t="s">
        <v>580</v>
      </c>
      <c r="E46" s="2283"/>
      <c r="F46" s="2283"/>
      <c r="G46" s="2283"/>
      <c r="H46" s="2283"/>
      <c r="I46" s="2310"/>
      <c r="J46" s="2310"/>
      <c r="K46" s="2280" t="str">
        <f>J45&amp;".1"</f>
        <v>...1.1.1</v>
      </c>
      <c r="L46" s="1388"/>
      <c r="P46" s="2281"/>
      <c r="Q46" s="2281"/>
      <c r="R46" s="381">
        <v>1</v>
      </c>
      <c r="S46" s="1481" t="str">
        <f>$K46</f>
        <v>...1.1.1</v>
      </c>
      <c r="T46" s="1461"/>
      <c r="U46" s="324"/>
      <c r="V46" s="775"/>
      <c r="W46" s="775"/>
      <c r="X46" s="1281"/>
      <c r="Y46" s="2289"/>
      <c r="Z46" s="2131" t="s">
        <v>66</v>
      </c>
      <c r="AA46" s="2289"/>
      <c r="AB46" s="2131" t="s">
        <v>66</v>
      </c>
      <c r="AC46" s="775"/>
      <c r="AD46" s="775"/>
      <c r="AE46" s="1281"/>
      <c r="AF46" s="2289"/>
      <c r="AG46" s="2131" t="s">
        <v>66</v>
      </c>
      <c r="AH46" s="2311"/>
      <c r="AI46" s="2131" t="s">
        <v>66</v>
      </c>
      <c r="AJ46" s="1462"/>
      <c r="AK46"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35">
        <f>STRCHECKDATE(V47:AJ47)</f>
      </c>
      <c r="AM46" s="524"/>
      <c r="AN46" s="524" t="str">
        <f>IF(T46="","",T46)</f>
        <v/>
      </c>
      <c r="AO46" s="524"/>
      <c r="AP46" s="524"/>
      <c r="AQ46" s="1179">
        <v>23</v>
      </c>
    </row>
    <row customHeight="1" ht="0">
      <c r="A47" s="1387" t="s">
        <v>315</v>
      </c>
      <c r="B47" s="1387" t="s">
        <v>316</v>
      </c>
      <c r="C47" s="1387" t="s">
        <v>317</v>
      </c>
      <c r="D47" s="1387" t="s">
        <v>580</v>
      </c>
      <c r="E47" s="2283"/>
      <c r="F47" s="2283"/>
      <c r="G47" s="2283"/>
      <c r="H47" s="2283"/>
      <c r="I47" s="2310"/>
      <c r="J47" s="2310"/>
      <c r="K47" s="2280"/>
      <c r="L47" s="1388"/>
      <c r="P47" s="2281"/>
      <c r="Q47" s="2281"/>
      <c r="R47" s="381"/>
      <c r="S47" s="1480"/>
      <c r="T47" s="324"/>
      <c r="U47" s="324"/>
      <c r="V47" s="349"/>
      <c r="W47" s="349"/>
      <c r="X47" s="352" t="str">
        <f>Y46&amp;"-"&amp;AA46</f>
        <v>-</v>
      </c>
      <c r="Y47" s="2290"/>
      <c r="Z47" s="2131"/>
      <c r="AA47" s="2290"/>
      <c r="AB47" s="2131"/>
      <c r="AC47" s="349"/>
      <c r="AD47" s="349"/>
      <c r="AE47" s="352" t="str">
        <f>AF46&amp;"-"&amp;AH46</f>
        <v>-</v>
      </c>
      <c r="AF47" s="2290"/>
      <c r="AG47" s="2131"/>
      <c r="AH47" s="2312"/>
      <c r="AI47" s="2131"/>
      <c r="AJ47" s="1463"/>
      <c r="AK47" s="2373"/>
      <c r="AM47" s="524"/>
      <c r="AN47" s="524" t="str">
        <f>IF(T47="","",T47)</f>
        <v/>
      </c>
      <c r="AO47" s="524"/>
      <c r="AP47" s="524"/>
      <c r="AQ47" s="1179">
        <v>0</v>
      </c>
    </row>
    <row customHeight="1" ht="21">
      <c r="A48" s="1387" t="s">
        <v>315</v>
      </c>
      <c r="B48" s="1387" t="s">
        <v>316</v>
      </c>
      <c r="C48" s="1387" t="s">
        <v>317</v>
      </c>
      <c r="D48" s="1387" t="s">
        <v>580</v>
      </c>
      <c r="E48" s="2283"/>
      <c r="F48" s="2283"/>
      <c r="G48" s="2283"/>
      <c r="H48" s="2283"/>
      <c r="I48" s="2310"/>
      <c r="J48" s="2280"/>
      <c r="K48" s="1387"/>
      <c r="L48" s="1388"/>
      <c r="P48" s="2281"/>
      <c r="Q48" s="2281"/>
      <c r="R48" s="380"/>
      <c r="S48" s="1302"/>
      <c r="T48" s="311" t="s">
        <v>570</v>
      </c>
      <c r="U48" s="391"/>
      <c r="V48" s="391"/>
      <c r="W48" s="391"/>
      <c r="X48" s="391"/>
      <c r="Y48" s="391"/>
      <c r="Z48" s="391"/>
      <c r="AA48" s="391"/>
      <c r="AB48" s="391"/>
      <c r="AC48" s="391"/>
      <c r="AD48" s="391"/>
      <c r="AE48" s="391"/>
      <c r="AF48" s="391"/>
      <c r="AG48" s="391"/>
      <c r="AH48" s="391"/>
      <c r="AI48" s="391"/>
      <c r="AJ48" s="391"/>
      <c r="AK48" s="1282" t="s">
        <v>571</v>
      </c>
      <c r="AM48" s="524"/>
      <c r="AN48" s="524" t="str">
        <f>IF(T48="","",T48)</f>
        <v>Добавить значение признака дифференциации</v>
      </c>
      <c r="AO48" s="524"/>
      <c r="AP48" s="524"/>
      <c r="AQ48" s="1179">
        <v>20</v>
      </c>
    </row>
    <row customHeight="1" ht="22.049999999999997">
      <c r="A49" s="1387" t="s">
        <v>315</v>
      </c>
      <c r="B49" s="1387" t="s">
        <v>316</v>
      </c>
      <c r="C49" s="1387" t="s">
        <v>317</v>
      </c>
      <c r="D49" s="1387" t="s">
        <v>580</v>
      </c>
      <c r="E49" s="2283"/>
      <c r="F49" s="2283"/>
      <c r="G49" s="2283"/>
      <c r="H49" s="2283"/>
      <c r="I49" s="2280"/>
      <c r="J49" s="1387"/>
      <c r="K49" s="1387"/>
      <c r="L49" s="1388"/>
      <c r="P49" s="2281"/>
      <c r="Q49" s="1474"/>
      <c r="R49" s="380"/>
      <c r="S49" s="1302"/>
      <c r="T49" s="389" t="s">
        <v>496</v>
      </c>
      <c r="U49" s="391"/>
      <c r="V49" s="391"/>
      <c r="W49" s="391"/>
      <c r="X49" s="391"/>
      <c r="Y49" s="391"/>
      <c r="Z49" s="391"/>
      <c r="AA49" s="391"/>
      <c r="AB49" s="390"/>
      <c r="AC49" s="391"/>
      <c r="AD49" s="391"/>
      <c r="AE49" s="391"/>
      <c r="AF49" s="391"/>
      <c r="AG49" s="391"/>
      <c r="AH49" s="391"/>
      <c r="AI49" s="390"/>
      <c r="AJ49" s="391"/>
      <c r="AK49" s="1464"/>
      <c r="AM49" s="524"/>
      <c r="AN49" s="524" t="str">
        <f>IF(T49="","",T49)</f>
        <v>Добавить группу потребителей</v>
      </c>
      <c r="AO49" s="524"/>
      <c r="AP49" s="524"/>
      <c r="AQ49" s="1179">
        <v>21</v>
      </c>
    </row>
    <row customHeight="1" ht="22.049999999999997">
      <c r="A50" s="1387" t="s">
        <v>315</v>
      </c>
      <c r="B50" s="1387" t="s">
        <v>316</v>
      </c>
      <c r="C50" s="1387" t="s">
        <v>317</v>
      </c>
      <c r="D50" s="1387" t="s">
        <v>580</v>
      </c>
      <c r="E50" s="2283"/>
      <c r="F50" s="2283"/>
      <c r="G50" s="2283"/>
      <c r="H50" s="2282"/>
      <c r="I50" s="1387"/>
      <c r="J50" s="1387"/>
      <c r="K50" s="1387"/>
      <c r="L50" s="1388"/>
      <c r="M50" s="1389"/>
      <c r="N50" s="1389"/>
      <c r="O50" s="561"/>
      <c r="P50" s="384"/>
      <c r="Q50" s="399"/>
      <c r="R50" s="379"/>
      <c r="S50" s="1302"/>
      <c r="T50" s="396" t="s">
        <v>572</v>
      </c>
      <c r="U50" s="391"/>
      <c r="V50" s="391"/>
      <c r="W50" s="391"/>
      <c r="X50" s="391"/>
      <c r="Y50" s="391"/>
      <c r="Z50" s="391"/>
      <c r="AA50" s="391"/>
      <c r="AB50" s="390"/>
      <c r="AC50" s="391"/>
      <c r="AD50" s="391"/>
      <c r="AE50" s="391"/>
      <c r="AF50" s="391"/>
      <c r="AG50" s="391"/>
      <c r="AH50" s="391"/>
      <c r="AI50" s="390"/>
      <c r="AJ50" s="391"/>
      <c r="AK50" s="327"/>
      <c r="AM50" s="524"/>
      <c r="AN50" s="524" t="str">
        <f>IF(T50="","",T50)</f>
        <v>Добавить наименование признака дифференциации</v>
      </c>
      <c r="AO50" s="524"/>
      <c r="AP50" s="524"/>
      <c r="AQ50" s="1179">
        <v>21</v>
      </c>
    </row>
    <row s="1666" customFormat="1" customHeight="1" ht="0">
      <c r="A51" s="1367" t="s">
        <v>315</v>
      </c>
      <c r="B51" s="1367" t="s">
        <v>316</v>
      </c>
      <c r="C51" s="1338"/>
      <c r="D51" s="1338"/>
      <c r="E51" s="2283"/>
      <c r="F51" s="2282"/>
      <c r="G51" s="1338"/>
      <c r="H51" s="1338"/>
      <c r="I51" s="1338"/>
      <c r="J51" s="1338"/>
      <c r="K51" s="1338"/>
      <c r="L51" s="1482"/>
      <c r="M51" s="1345"/>
      <c r="N51" s="1345"/>
      <c r="P51" s="1340"/>
      <c r="Q51" s="1341"/>
      <c r="R51" s="1340"/>
      <c r="S51" s="1346"/>
      <c r="T51" s="1349" t="s">
        <v>499</v>
      </c>
      <c r="U51" s="1348"/>
      <c r="V51" s="1348"/>
      <c r="W51" s="1348"/>
      <c r="X51" s="1348"/>
      <c r="Y51" s="1348"/>
      <c r="Z51" s="1348"/>
      <c r="AA51" s="1348"/>
      <c r="AB51" s="1348"/>
      <c r="AC51" s="1348"/>
      <c r="AD51" s="1348"/>
      <c r="AE51" s="1348"/>
      <c r="AF51" s="1348"/>
      <c r="AG51" s="1348"/>
      <c r="AH51" s="1348"/>
      <c r="AI51" s="1348"/>
      <c r="AJ51" s="1348"/>
      <c r="AK51" s="1348"/>
      <c r="AM51" s="813"/>
      <c r="AN51" s="813" t="str">
        <f>IF(T51="","",T51)</f>
        <v>Добавить централизованную систему для дифференциации</v>
      </c>
      <c r="AO51" s="813"/>
      <c r="AP51" s="813"/>
      <c r="AQ51" s="542">
        <v>0</v>
      </c>
    </row>
    <row s="1666" customFormat="1" customHeight="1" ht="0">
      <c r="A52" s="1367" t="s">
        <v>315</v>
      </c>
      <c r="B52" s="1367"/>
      <c r="C52" s="1367"/>
      <c r="D52" s="1367"/>
      <c r="E52" s="2282"/>
      <c r="F52" s="1367"/>
      <c r="G52" s="1367"/>
      <c r="H52" s="1367"/>
      <c r="I52" s="1367"/>
      <c r="J52" s="1367"/>
      <c r="K52" s="1367"/>
      <c r="L52" s="1370"/>
      <c r="M52" s="1345"/>
      <c r="N52" s="1345"/>
      <c r="O52" s="542"/>
      <c r="P52" s="404"/>
      <c r="Q52" s="1368"/>
      <c r="R52" s="404"/>
      <c r="S52" s="1346"/>
      <c r="T52" s="1349" t="s">
        <v>500</v>
      </c>
      <c r="U52" s="1348"/>
      <c r="V52" s="1348"/>
      <c r="W52" s="1348"/>
      <c r="X52" s="1348"/>
      <c r="Y52" s="1348"/>
      <c r="Z52" s="1348"/>
      <c r="AA52" s="1348"/>
      <c r="AB52" s="1348"/>
      <c r="AC52" s="1348"/>
      <c r="AD52" s="1348"/>
      <c r="AE52" s="1348"/>
      <c r="AF52" s="1348"/>
      <c r="AG52" s="1348"/>
      <c r="AH52" s="1348"/>
      <c r="AI52" s="1348"/>
      <c r="AJ52" s="1348"/>
      <c r="AK52" s="1348"/>
      <c r="AM52" s="524"/>
      <c r="AN52" s="524" t="str">
        <f>IF(T52="","",T52)</f>
        <v>Добавить территорию для дифференциации</v>
      </c>
      <c r="AO52" s="524"/>
      <c r="AP52" s="524"/>
      <c r="AQ52" s="535">
        <v>0</v>
      </c>
    </row>
    <row s="1666" customFormat="1" customHeight="1" ht="0">
      <c r="A53" s="1338"/>
      <c r="B53" s="1338"/>
      <c r="C53" s="1338"/>
      <c r="D53" s="1338"/>
      <c r="E53" s="1367"/>
      <c r="F53" s="1338"/>
      <c r="G53" s="1338"/>
      <c r="H53" s="1338"/>
      <c r="I53" s="1338"/>
      <c r="J53" s="1338"/>
      <c r="K53" s="1338"/>
      <c r="L53" s="1482"/>
      <c r="M53" s="1345"/>
      <c r="N53" s="1345"/>
      <c r="P53" s="1340"/>
      <c r="Q53" s="1341"/>
      <c r="R53" s="1340"/>
      <c r="S53" s="1346"/>
      <c r="T53" s="1349" t="s">
        <v>532</v>
      </c>
      <c r="U53" s="1348"/>
      <c r="V53" s="1348"/>
      <c r="W53" s="1348"/>
      <c r="X53" s="1348"/>
      <c r="Y53" s="1348"/>
      <c r="Z53" s="1348"/>
      <c r="AA53" s="1348"/>
      <c r="AB53" s="1348"/>
      <c r="AC53" s="1348"/>
      <c r="AD53" s="1348"/>
      <c r="AE53" s="1348"/>
      <c r="AF53" s="1348"/>
      <c r="AG53" s="1348"/>
      <c r="AH53" s="1348"/>
      <c r="AI53" s="1348"/>
      <c r="AJ53" s="1348"/>
      <c r="AK53" s="1348"/>
      <c r="AM53" s="813"/>
      <c r="AN53" s="813" t="str">
        <f>IF(T53="","",T53)</f>
        <v>Добавить наименование тарифа</v>
      </c>
      <c r="AO53" s="813"/>
      <c r="AP53" s="813"/>
      <c r="AQ53" s="542">
        <v>0</v>
      </c>
    </row>
    <row customHeight="1" ht="11.549999999999999">
      <c r="M54" s="1184"/>
      <c r="N54" s="1184"/>
      <c r="O54" s="561"/>
      <c r="P54" s="1179"/>
      <c r="Q54" s="1179"/>
      <c r="R54" s="1179"/>
      <c r="S54" s="1179"/>
      <c r="AL54" s="1179"/>
      <c r="AM54" s="1179"/>
      <c r="AN54" s="1179"/>
      <c r="AO54" s="1179"/>
      <c r="AP54" s="1179"/>
      <c r="AQ54" s="1179">
        <v>11</v>
      </c>
    </row>
    <row customHeight="1" ht="14.699999999999998">
      <c r="O55" s="561"/>
      <c r="S55" s="1277"/>
      <c r="T55" s="2309"/>
      <c r="U55" s="2309"/>
      <c r="V55" s="2309"/>
      <c r="W55" s="2309"/>
      <c r="X55" s="2309"/>
      <c r="Y55" s="2309"/>
      <c r="Z55" s="2309"/>
      <c r="AA55" s="2309"/>
      <c r="AB55" s="2309"/>
      <c r="AC55" s="2309"/>
      <c r="AD55" s="2309"/>
      <c r="AE55" s="2309"/>
      <c r="AF55" s="2309"/>
      <c r="AG55" s="2309"/>
      <c r="AH55" s="2309"/>
      <c r="AI55" s="2309"/>
      <c r="AJ55" s="2309"/>
      <c r="AK55" s="2309"/>
      <c r="AQ55" s="1179">
        <v>14</v>
      </c>
    </row>
    <row customHeight="1" ht="14.699999999999998">
      <c r="O56" s="561"/>
      <c r="AQ56" s="1179">
        <v>14</v>
      </c>
    </row>
    <row customHeight="1" ht="14.699999999999998">
      <c r="O57" s="561"/>
      <c r="S57" s="1277"/>
      <c r="T57" s="2309"/>
      <c r="U57" s="2309"/>
      <c r="V57" s="2309"/>
      <c r="W57" s="2309"/>
      <c r="X57" s="2309"/>
      <c r="Y57" s="2309"/>
      <c r="Z57" s="2309"/>
      <c r="AA57" s="2309"/>
      <c r="AB57" s="2309"/>
      <c r="AC57" s="2309"/>
      <c r="AD57" s="2309"/>
      <c r="AE57" s="2309"/>
      <c r="AF57" s="2309"/>
      <c r="AG57" s="2309"/>
      <c r="AH57" s="2309"/>
      <c r="AI57" s="2309"/>
      <c r="AJ57" s="2309"/>
      <c r="AK57" s="2309"/>
      <c r="AQ57" s="1179">
        <v>14</v>
      </c>
    </row>
    <row customHeight="1" ht="22.5" hidden="1">
      <c r="A58" s="1184" t="s">
        <v>82</v>
      </c>
      <c r="B58" s="1184">
        <v>0</v>
      </c>
      <c r="C58" s="1184">
        <v>0</v>
      </c>
      <c r="D58" s="1184">
        <v>0</v>
      </c>
      <c r="E58" s="1184">
        <v>0</v>
      </c>
      <c r="F58" s="1184">
        <v>0</v>
      </c>
      <c r="G58" s="1184">
        <v>0</v>
      </c>
      <c r="H58" s="1184">
        <v>0</v>
      </c>
      <c r="I58" s="1184">
        <v>0</v>
      </c>
      <c r="J58" s="1184">
        <v>0</v>
      </c>
      <c r="K58" s="1184">
        <v>0</v>
      </c>
      <c r="L58" s="1471">
        <v>0</v>
      </c>
      <c r="M58" s="1386">
        <v>0</v>
      </c>
      <c r="N58" s="1386">
        <v>0</v>
      </c>
      <c r="O58" s="1386">
        <v>0</v>
      </c>
      <c r="P58" s="1470">
        <v>3</v>
      </c>
      <c r="Q58" s="368">
        <v>3</v>
      </c>
      <c r="R58" s="368">
        <v>3</v>
      </c>
      <c r="S58" s="605">
        <v>12</v>
      </c>
      <c r="T58" s="1179">
        <v>35</v>
      </c>
      <c r="U58" s="1179">
        <v>0</v>
      </c>
      <c r="V58" s="1179">
        <v>0</v>
      </c>
      <c r="W58" s="1179">
        <v>0</v>
      </c>
      <c r="X58" s="1179">
        <v>0</v>
      </c>
      <c r="Y58" s="1179">
        <v>0</v>
      </c>
      <c r="Z58" s="1179">
        <v>0</v>
      </c>
      <c r="AA58" s="1179">
        <v>0</v>
      </c>
      <c r="AB58" s="1179">
        <v>0</v>
      </c>
      <c r="AC58" s="1179">
        <v>24</v>
      </c>
      <c r="AD58" s="1179">
        <v>24</v>
      </c>
      <c r="AE58" s="1179">
        <v>24</v>
      </c>
      <c r="AF58" s="1179">
        <v>11</v>
      </c>
      <c r="AG58" s="1179">
        <v>3</v>
      </c>
      <c r="AH58" s="1179">
        <v>11</v>
      </c>
      <c r="AI58" s="1179">
        <v>0</v>
      </c>
      <c r="AJ58" s="1179">
        <v>4</v>
      </c>
      <c r="AK58" s="1179">
        <v>115</v>
      </c>
      <c r="AL58" s="535">
        <v>10</v>
      </c>
      <c r="AM58" s="535">
        <v>10</v>
      </c>
      <c r="AN58" s="535">
        <v>10</v>
      </c>
      <c r="AO58" s="535">
        <v>10</v>
      </c>
      <c r="AP58" s="535">
        <v>10</v>
      </c>
      <c r="AQ58" s="1179">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5D6E1B-D339-96C7-B859-0.2E58B70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4.140625" hidden="1" customWidth="1"/>
    <col min="10" max="10" style="1390" width="9.8515625" hidden="1" customWidth="1"/>
    <col min="11" max="11" style="1390" width="14.7109375" hidden="1" customWidth="1"/>
    <col min="12" max="12" style="2631" width="19.140625" hidden="1" customWidth="1"/>
    <col min="13" max="14" style="1800" width="12.28125" hidden="1" customWidth="1"/>
    <col min="15" max="15" style="1800" width="23.421875" hidden="1" customWidth="1"/>
    <col min="16" max="16" style="2421" width="3.00390625" customWidth="1"/>
    <col min="17" max="18" style="368" width="3.00390625" customWidth="1"/>
    <col min="19" max="19" style="2431" width="12.00390625" customWidth="1"/>
    <col min="20" max="20" style="1659" width="35.00390625" customWidth="1"/>
    <col min="21" max="21" style="1659" width="0.140625" customWidth="1"/>
    <col min="22" max="24" style="1659" width="24.7109375" hidden="1" customWidth="1"/>
    <col min="25" max="25" style="1659" width="11.7109375" hidden="1" customWidth="1"/>
    <col min="26" max="26" style="1659" width="3.7109375" hidden="1" customWidth="1"/>
    <col min="27" max="27" style="1659" width="11.7109375" hidden="1" customWidth="1"/>
    <col min="28" max="28" style="1659" width="8.57421875" hidden="1" customWidth="1"/>
    <col min="29" max="29" style="1659" width="24.7109375" customWidth="1"/>
    <col min="30" max="31" style="1659" width="24.00390625" customWidth="1"/>
    <col min="32" max="32" style="1659" width="11.00390625" customWidth="1"/>
    <col min="33" max="33" style="1659" width="3.7109375" customWidth="1"/>
    <col min="34" max="34" style="1659" width="11.00390625" customWidth="1"/>
    <col min="35" max="35" style="1659" width="8.57421875" hidden="1" customWidth="1"/>
    <col min="36" max="36" style="1659" width="4.00390625" customWidth="1"/>
    <col min="37" max="37" style="1659" width="115.00390625" customWidth="1"/>
    <col min="38" max="42" style="1666" width="10.00390625" customWidth="1"/>
    <col min="43" max="43" style="1659" width="10.57421875" hidden="1"/>
  </cols>
  <sheetData>
    <row customHeight="1" ht="22.5" hidden="1">
      <c r="X1" s="351"/>
      <c r="Y1" s="351"/>
      <c r="AE1" s="351"/>
      <c r="AF1" s="351"/>
      <c r="AQ1" s="1179" t="s">
        <v>14</v>
      </c>
    </row>
    <row customHeight="1" ht="23.25" hidden="1">
      <c r="A2" s="1387"/>
      <c r="B2" s="1387"/>
      <c r="C2" s="1387"/>
      <c r="D2" s="1387"/>
      <c r="E2" s="2282">
        <v>1</v>
      </c>
      <c r="F2" s="1387"/>
      <c r="G2" s="1387"/>
      <c r="H2" s="1387"/>
      <c r="I2" s="1387"/>
      <c r="J2" s="1387"/>
      <c r="K2" s="1387"/>
      <c r="L2" s="1388"/>
      <c r="M2" s="1389"/>
      <c r="N2" s="1389"/>
      <c r="O2" s="1389"/>
      <c r="P2" s="385"/>
      <c r="Q2" s="384"/>
      <c r="R2" s="379"/>
      <c r="S2" s="1481">
        <f>INDEX(PT_DIFFERENTIATION_NUM_NTAR,MATCH(A2,PT_DIFFERENTIATION_NTAR_ID,0))</f>
      </c>
      <c r="T2" s="322" t="s">
        <v>211</v>
      </c>
      <c r="U2" s="324"/>
      <c r="V2" s="2266"/>
      <c r="W2" s="2267"/>
      <c r="X2" s="2267"/>
      <c r="Y2" s="2267"/>
      <c r="Z2" s="2267"/>
      <c r="AA2" s="2267"/>
      <c r="AB2" s="2268"/>
      <c r="AC2" s="2266">
        <f>INDEX(PT_DIFFERENTIATION_NTAR,MATCH(A2,PT_DIFFERENTIATION_NTAR_ID,0))</f>
      </c>
      <c r="AD2" s="2267"/>
      <c r="AE2" s="2267"/>
      <c r="AF2" s="2267"/>
      <c r="AG2" s="2267"/>
      <c r="AH2" s="2267"/>
      <c r="AI2" s="2267"/>
      <c r="AJ2" s="2268"/>
      <c r="AK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24"/>
      <c r="AN2" s="524" t="str">
        <f>IF(T2="","",T2)</f>
        <v>Наименование тарифа</v>
      </c>
      <c r="AO2" s="524"/>
      <c r="AP2" s="524"/>
      <c r="AQ2" s="1179">
        <v>0</v>
      </c>
    </row>
    <row customHeight="1" ht="23.25" hidden="1">
      <c r="A3" s="1387"/>
      <c r="B3" s="1387"/>
      <c r="C3" s="1387"/>
      <c r="D3" s="1387"/>
      <c r="E3" s="2283"/>
      <c r="F3" s="2282">
        <v>1</v>
      </c>
      <c r="G3" s="1387"/>
      <c r="H3" s="1387"/>
      <c r="I3" s="1387"/>
      <c r="J3" s="1387"/>
      <c r="K3" s="1387"/>
      <c r="L3" s="1388"/>
      <c r="M3" s="1389"/>
      <c r="N3" s="1389"/>
      <c r="O3" s="1389"/>
      <c r="P3" s="1477"/>
      <c r="Q3" s="376"/>
      <c r="R3" s="377"/>
      <c r="S3" s="1481">
        <f>INDEX(PT_DIFFERENTIATION_NUM_TER,MATCH(B3,PT_DIFFERENTIATION_TER_ID,0))</f>
      </c>
      <c r="T3" s="332" t="s">
        <v>481</v>
      </c>
      <c r="U3" s="324"/>
      <c r="V3" s="2266"/>
      <c r="W3" s="2267"/>
      <c r="X3" s="2267"/>
      <c r="Y3" s="2267"/>
      <c r="Z3" s="2267"/>
      <c r="AA3" s="2267"/>
      <c r="AB3" s="2268"/>
      <c r="AC3" s="2266">
        <f>INDEX(PT_DIFFERENTIATION_TER,MATCH(B3,PT_DIFFERENTIATION_TER_ID,0))</f>
      </c>
      <c r="AD3" s="2267"/>
      <c r="AE3" s="2267"/>
      <c r="AF3" s="2267"/>
      <c r="AG3" s="2267"/>
      <c r="AH3" s="2267"/>
      <c r="AI3" s="2267"/>
      <c r="AJ3" s="2268"/>
      <c r="AK3" s="1282" t="s">
        <v>482</v>
      </c>
      <c r="AM3" s="524"/>
      <c r="AN3" s="524" t="str">
        <f>IF(T3="","",T3)</f>
        <v>Территория действия тарифа</v>
      </c>
      <c r="AO3" s="524"/>
      <c r="AP3" s="524"/>
      <c r="AQ3" s="1179">
        <v>0</v>
      </c>
    </row>
    <row customHeight="1" ht="23.25" hidden="1">
      <c r="A4" s="1387"/>
      <c r="B4" s="1387"/>
      <c r="C4" s="1387"/>
      <c r="D4" s="1387"/>
      <c r="E4" s="2283"/>
      <c r="F4" s="2283"/>
      <c r="G4" s="2282">
        <v>1</v>
      </c>
      <c r="H4" s="1387"/>
      <c r="I4" s="1387"/>
      <c r="J4" s="1387"/>
      <c r="K4" s="1387"/>
      <c r="L4" s="1388"/>
      <c r="M4" s="1389"/>
      <c r="N4" s="1389"/>
      <c r="O4" s="1389"/>
      <c r="P4" s="378"/>
      <c r="Q4" s="376"/>
      <c r="R4" s="377"/>
      <c r="S4" s="1481">
        <f>INDEX(PT_DIFFERENTIATION_NUM_CS,MATCH(C4,PT_DIFFERENTIATION_CS_ID,0))</f>
      </c>
      <c r="T4" s="333" t="s">
        <v>565</v>
      </c>
      <c r="U4" s="324"/>
      <c r="V4" s="2266"/>
      <c r="W4" s="2267"/>
      <c r="X4" s="2267"/>
      <c r="Y4" s="2267"/>
      <c r="Z4" s="2267"/>
      <c r="AA4" s="2267"/>
      <c r="AB4" s="2268"/>
      <c r="AC4" s="2266">
        <f>INDEX(PT_DIFFERENTIATION_CS,MATCH(C4,PT_DIFFERENTIATION_CS_ID,0))</f>
      </c>
      <c r="AD4" s="2267"/>
      <c r="AE4" s="2267"/>
      <c r="AF4" s="2267"/>
      <c r="AG4" s="2267"/>
      <c r="AH4" s="2267"/>
      <c r="AI4" s="2267"/>
      <c r="AJ4" s="2268"/>
      <c r="AK4" s="1282" t="s">
        <v>566</v>
      </c>
      <c r="AM4" s="524"/>
      <c r="AN4" s="524" t="str">
        <f>IF(T4="","",T4)</f>
        <v>Наименование централизованной системы холодного водоснабжения</v>
      </c>
      <c r="AO4" s="524"/>
      <c r="AP4" s="524"/>
      <c r="AQ4" s="1179">
        <v>0</v>
      </c>
    </row>
    <row customHeight="1" ht="23.25" hidden="1">
      <c r="A5" s="1387"/>
      <c r="B5" s="1387"/>
      <c r="C5" s="1387"/>
      <c r="D5" s="1387"/>
      <c r="E5" s="2283"/>
      <c r="F5" s="2283"/>
      <c r="G5" s="2283"/>
      <c r="H5" s="2283"/>
      <c r="I5" s="2280">
        <f>S4&amp;".1"</f>
      </c>
      <c r="J5" s="1387"/>
      <c r="K5" s="1387"/>
      <c r="L5" s="1388"/>
      <c r="P5" s="2281">
        <v>1</v>
      </c>
      <c r="Q5" s="1474"/>
      <c r="R5" s="380"/>
      <c r="S5" s="1481">
        <f>$I5</f>
      </c>
      <c r="T5" s="309" t="s">
        <v>567</v>
      </c>
      <c r="U5" s="324"/>
      <c r="V5" s="2374"/>
      <c r="W5" s="2375"/>
      <c r="X5" s="2375"/>
      <c r="Y5" s="2375"/>
      <c r="Z5" s="2375"/>
      <c r="AA5" s="2375"/>
      <c r="AB5" s="2376"/>
      <c r="AC5" s="2377"/>
      <c r="AD5" s="2378"/>
      <c r="AE5" s="2378"/>
      <c r="AF5" s="2378"/>
      <c r="AG5" s="2378"/>
      <c r="AH5" s="2378"/>
      <c r="AI5" s="2378"/>
      <c r="AJ5" s="2379"/>
      <c r="AK5" s="1282" t="s">
        <v>568</v>
      </c>
      <c r="AM5" s="524"/>
      <c r="AN5" s="524" t="str">
        <f>IF(T5="","",T5)</f>
        <v>Наименование признака дифференциации</v>
      </c>
      <c r="AO5" s="524"/>
      <c r="AP5" s="524"/>
      <c r="AQ5" s="1179">
        <v>0</v>
      </c>
    </row>
    <row customHeight="1" ht="23.25" hidden="1">
      <c r="A6" s="1387"/>
      <c r="B6" s="1387"/>
      <c r="C6" s="1387"/>
      <c r="D6" s="1387"/>
      <c r="E6" s="2283"/>
      <c r="F6" s="2283"/>
      <c r="G6" s="2283"/>
      <c r="H6" s="2283"/>
      <c r="I6" s="2310"/>
      <c r="J6" s="2280">
        <f>I5&amp;".1"</f>
      </c>
      <c r="K6" s="1387"/>
      <c r="L6" s="1388" t="s">
        <v>490</v>
      </c>
      <c r="P6" s="2281"/>
      <c r="Q6" s="2281">
        <v>1</v>
      </c>
      <c r="R6" s="381"/>
      <c r="S6" s="1481">
        <f>$J6</f>
      </c>
      <c r="T6" s="310" t="s">
        <v>491</v>
      </c>
      <c r="U6" s="324"/>
      <c r="V6" s="2269"/>
      <c r="W6" s="2270"/>
      <c r="X6" s="2270"/>
      <c r="Y6" s="2270"/>
      <c r="Z6" s="2270"/>
      <c r="AA6" s="2270"/>
      <c r="AB6" s="2271"/>
      <c r="AC6" s="2269"/>
      <c r="AD6" s="2270"/>
      <c r="AE6" s="2270"/>
      <c r="AF6" s="2270"/>
      <c r="AG6" s="2270"/>
      <c r="AH6" s="2270"/>
      <c r="AI6" s="2270"/>
      <c r="AJ6" s="2271"/>
      <c r="AK6" s="1331" t="s">
        <v>569</v>
      </c>
      <c r="AM6" s="524"/>
      <c r="AN6" s="524" t="str">
        <f>IF(T6="","",T6)</f>
        <v>Группа потребителей</v>
      </c>
      <c r="AO6" s="524"/>
      <c r="AP6" s="524"/>
      <c r="AQ6" s="1179">
        <v>0</v>
      </c>
    </row>
    <row customHeight="1" ht="23.25" hidden="1">
      <c r="A7" s="1387"/>
      <c r="B7" s="1387"/>
      <c r="C7" s="1387"/>
      <c r="D7" s="1387"/>
      <c r="E7" s="2283"/>
      <c r="F7" s="2283"/>
      <c r="G7" s="2283"/>
      <c r="H7" s="2283"/>
      <c r="I7" s="2310"/>
      <c r="J7" s="2310"/>
      <c r="K7" s="2280">
        <f>J6&amp;".1"</f>
      </c>
      <c r="L7" s="1388"/>
      <c r="P7" s="2281"/>
      <c r="Q7" s="2281"/>
      <c r="R7" s="381">
        <v>1</v>
      </c>
      <c r="S7" s="1481">
        <f>$K7</f>
      </c>
      <c r="T7" s="1461"/>
      <c r="U7" s="324"/>
      <c r="V7" s="775"/>
      <c r="W7" s="775"/>
      <c r="X7" s="1281"/>
      <c r="Y7" s="2289"/>
      <c r="Z7" s="2131" t="s">
        <v>66</v>
      </c>
      <c r="AA7" s="2289"/>
      <c r="AB7" s="2131" t="s">
        <v>66</v>
      </c>
      <c r="AC7" s="775"/>
      <c r="AD7" s="775"/>
      <c r="AE7" s="1281"/>
      <c r="AF7" s="2289"/>
      <c r="AG7" s="2131" t="s">
        <v>66</v>
      </c>
      <c r="AH7" s="2311"/>
      <c r="AI7" s="2131" t="s">
        <v>66</v>
      </c>
      <c r="AJ7" s="1462"/>
      <c r="AK7"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35">
        <f>STRCHECKDATE(V8:AJ8)</f>
      </c>
      <c r="AM7" s="524"/>
      <c r="AN7" s="524" t="str">
        <f>IF(T7="","",T7)</f>
        <v/>
      </c>
      <c r="AO7" s="524"/>
      <c r="AP7" s="524"/>
      <c r="AQ7" s="1179">
        <v>0</v>
      </c>
    </row>
    <row customHeight="1" ht="14.25" hidden="1">
      <c r="A8" s="1387"/>
      <c r="B8" s="1387"/>
      <c r="C8" s="1387"/>
      <c r="D8" s="1387"/>
      <c r="E8" s="2283"/>
      <c r="F8" s="2283"/>
      <c r="G8" s="2283"/>
      <c r="H8" s="2283"/>
      <c r="I8" s="2310"/>
      <c r="J8" s="2310"/>
      <c r="K8" s="2280"/>
      <c r="L8" s="1388"/>
      <c r="P8" s="2281"/>
      <c r="Q8" s="2281"/>
      <c r="R8" s="381"/>
      <c r="S8" s="1480"/>
      <c r="T8" s="324"/>
      <c r="U8" s="324"/>
      <c r="V8" s="349"/>
      <c r="W8" s="349"/>
      <c r="X8" s="352" t="str">
        <f>Y7&amp;"-"&amp;AA7</f>
        <v>-</v>
      </c>
      <c r="Y8" s="2290"/>
      <c r="Z8" s="2131"/>
      <c r="AA8" s="2290"/>
      <c r="AB8" s="2131"/>
      <c r="AC8" s="349"/>
      <c r="AD8" s="349"/>
      <c r="AE8" s="352" t="str">
        <f>AF7&amp;"-"&amp;AH7</f>
        <v>-</v>
      </c>
      <c r="AF8" s="2290"/>
      <c r="AG8" s="2131"/>
      <c r="AH8" s="2312"/>
      <c r="AI8" s="2131"/>
      <c r="AJ8" s="1463"/>
      <c r="AK8" s="2373"/>
      <c r="AM8" s="524"/>
      <c r="AN8" s="524" t="str">
        <f>IF(T8="","",T8)</f>
        <v/>
      </c>
      <c r="AO8" s="524"/>
      <c r="AP8" s="524"/>
      <c r="AQ8" s="1179">
        <v>0</v>
      </c>
    </row>
    <row customHeight="1" ht="21" hidden="1">
      <c r="A9" s="1387"/>
      <c r="B9" s="1387"/>
      <c r="C9" s="1387"/>
      <c r="D9" s="1387"/>
      <c r="E9" s="2283"/>
      <c r="F9" s="2283"/>
      <c r="G9" s="2283"/>
      <c r="H9" s="2283"/>
      <c r="I9" s="2310"/>
      <c r="J9" s="2280"/>
      <c r="K9" s="1387"/>
      <c r="L9" s="1388"/>
      <c r="P9" s="2281"/>
      <c r="Q9" s="2281"/>
      <c r="R9" s="380"/>
      <c r="S9" s="1302"/>
      <c r="T9" s="311" t="s">
        <v>570</v>
      </c>
      <c r="U9" s="391"/>
      <c r="V9" s="391"/>
      <c r="W9" s="391"/>
      <c r="X9" s="391"/>
      <c r="Y9" s="391"/>
      <c r="Z9" s="391"/>
      <c r="AA9" s="391"/>
      <c r="AB9" s="391"/>
      <c r="AC9" s="391"/>
      <c r="AD9" s="391"/>
      <c r="AE9" s="391"/>
      <c r="AF9" s="391"/>
      <c r="AG9" s="391"/>
      <c r="AH9" s="391"/>
      <c r="AI9" s="391"/>
      <c r="AJ9" s="391"/>
      <c r="AK9" s="1282" t="s">
        <v>571</v>
      </c>
      <c r="AM9" s="524"/>
      <c r="AN9" s="524" t="str">
        <f>IF(T9="","",T9)</f>
        <v>Добавить значение признака дифференциации</v>
      </c>
      <c r="AO9" s="524"/>
      <c r="AP9" s="524"/>
      <c r="AQ9" s="1179">
        <v>0</v>
      </c>
    </row>
    <row customHeight="1" ht="21" hidden="1">
      <c r="A10" s="1387"/>
      <c r="B10" s="1387"/>
      <c r="C10" s="1387"/>
      <c r="D10" s="1387"/>
      <c r="E10" s="2283"/>
      <c r="F10" s="2283"/>
      <c r="G10" s="2283"/>
      <c r="H10" s="2283"/>
      <c r="I10" s="2280"/>
      <c r="J10" s="1387"/>
      <c r="K10" s="1387"/>
      <c r="L10" s="1388"/>
      <c r="P10" s="2281"/>
      <c r="Q10" s="1474"/>
      <c r="R10" s="380"/>
      <c r="S10" s="1302"/>
      <c r="T10" s="389" t="s">
        <v>496</v>
      </c>
      <c r="U10" s="391"/>
      <c r="V10" s="391"/>
      <c r="W10" s="391"/>
      <c r="X10" s="391"/>
      <c r="Y10" s="391"/>
      <c r="Z10" s="391"/>
      <c r="AA10" s="391"/>
      <c r="AB10" s="390"/>
      <c r="AC10" s="391"/>
      <c r="AD10" s="391"/>
      <c r="AE10" s="391"/>
      <c r="AF10" s="391"/>
      <c r="AG10" s="391"/>
      <c r="AH10" s="391"/>
      <c r="AI10" s="390"/>
      <c r="AJ10" s="391"/>
      <c r="AK10" s="1464"/>
      <c r="AM10" s="524"/>
      <c r="AN10" s="524" t="str">
        <f>IF(T10="","",T10)</f>
        <v>Добавить группу потребителей</v>
      </c>
      <c r="AO10" s="524"/>
      <c r="AP10" s="524"/>
      <c r="AQ10" s="1179">
        <v>0</v>
      </c>
    </row>
    <row customHeight="1" ht="21" hidden="1">
      <c r="A11" s="1387"/>
      <c r="B11" s="1387"/>
      <c r="C11" s="1387"/>
      <c r="D11" s="1387"/>
      <c r="E11" s="2283"/>
      <c r="F11" s="2283"/>
      <c r="G11" s="2283"/>
      <c r="H11" s="2282"/>
      <c r="I11" s="1387"/>
      <c r="J11" s="1387"/>
      <c r="K11" s="1387"/>
      <c r="L11" s="1388"/>
      <c r="M11" s="1389"/>
      <c r="N11" s="1389"/>
      <c r="O11" s="561"/>
      <c r="P11" s="384"/>
      <c r="Q11" s="399"/>
      <c r="R11" s="379"/>
      <c r="S11" s="1302"/>
      <c r="T11" s="396" t="s">
        <v>572</v>
      </c>
      <c r="U11" s="391"/>
      <c r="V11" s="391"/>
      <c r="W11" s="391"/>
      <c r="X11" s="391"/>
      <c r="Y11" s="391"/>
      <c r="Z11" s="391"/>
      <c r="AA11" s="391"/>
      <c r="AB11" s="390"/>
      <c r="AC11" s="391"/>
      <c r="AD11" s="391"/>
      <c r="AE11" s="391"/>
      <c r="AF11" s="391"/>
      <c r="AG11" s="391"/>
      <c r="AH11" s="391"/>
      <c r="AI11" s="390"/>
      <c r="AJ11" s="391"/>
      <c r="AK11" s="327"/>
      <c r="AM11" s="524"/>
      <c r="AN11" s="524" t="str">
        <f>IF(T11="","",T11)</f>
        <v>Добавить наименование признака дифференциации</v>
      </c>
      <c r="AO11" s="524"/>
      <c r="AP11" s="524"/>
      <c r="AQ11" s="1179">
        <v>0</v>
      </c>
    </row>
    <row s="1666" customFormat="1" customHeight="1" ht="14.25" hidden="1">
      <c r="A12" s="1367"/>
      <c r="B12" s="1367"/>
      <c r="C12" s="1338"/>
      <c r="D12" s="1338"/>
      <c r="E12" s="2283"/>
      <c r="F12" s="2282"/>
      <c r="G12" s="1338"/>
      <c r="H12" s="1338"/>
      <c r="I12" s="1338"/>
      <c r="J12" s="1338"/>
      <c r="K12" s="1338"/>
      <c r="L12" s="1482"/>
      <c r="M12" s="1345"/>
      <c r="N12" s="1345"/>
      <c r="P12" s="1340"/>
      <c r="Q12" s="1341"/>
      <c r="R12" s="1340"/>
      <c r="S12" s="1346"/>
      <c r="T12" s="1349" t="s">
        <v>499</v>
      </c>
      <c r="U12" s="1348"/>
      <c r="V12" s="1348"/>
      <c r="W12" s="1348"/>
      <c r="X12" s="1348"/>
      <c r="Y12" s="1348"/>
      <c r="Z12" s="1348"/>
      <c r="AA12" s="1348"/>
      <c r="AB12" s="1348"/>
      <c r="AC12" s="1348"/>
      <c r="AD12" s="1348"/>
      <c r="AE12" s="1348"/>
      <c r="AF12" s="1348"/>
      <c r="AG12" s="1348"/>
      <c r="AH12" s="1348"/>
      <c r="AI12" s="1348"/>
      <c r="AJ12" s="1348"/>
      <c r="AK12" s="1348"/>
      <c r="AM12" s="813"/>
      <c r="AN12" s="813" t="str">
        <f>IF(T12="","",T12)</f>
        <v>Добавить централизованную систему для дифференциации</v>
      </c>
      <c r="AO12" s="813"/>
      <c r="AP12" s="813"/>
      <c r="AQ12" s="542">
        <v>0</v>
      </c>
    </row>
    <row s="1666" customFormat="1" customHeight="1" ht="14.25" hidden="1">
      <c r="A13" s="1367"/>
      <c r="B13" s="1367"/>
      <c r="C13" s="1367"/>
      <c r="D13" s="1367"/>
      <c r="E13" s="2282"/>
      <c r="F13" s="1367"/>
      <c r="G13" s="1367"/>
      <c r="H13" s="1367"/>
      <c r="I13" s="1367"/>
      <c r="J13" s="1367"/>
      <c r="K13" s="1367"/>
      <c r="L13" s="1370"/>
      <c r="M13" s="1345"/>
      <c r="N13" s="1345"/>
      <c r="O13" s="542"/>
      <c r="P13" s="404"/>
      <c r="Q13" s="1368"/>
      <c r="R13" s="404"/>
      <c r="S13" s="1346"/>
      <c r="T13" s="1349" t="s">
        <v>500</v>
      </c>
      <c r="U13" s="1348"/>
      <c r="V13" s="1348"/>
      <c r="W13" s="1348"/>
      <c r="X13" s="1348"/>
      <c r="Y13" s="1348"/>
      <c r="Z13" s="1348"/>
      <c r="AA13" s="1348"/>
      <c r="AB13" s="1348"/>
      <c r="AC13" s="1348"/>
      <c r="AD13" s="1348"/>
      <c r="AE13" s="1348"/>
      <c r="AF13" s="1348"/>
      <c r="AG13" s="1348"/>
      <c r="AH13" s="1348"/>
      <c r="AI13" s="1348"/>
      <c r="AJ13" s="1348"/>
      <c r="AK13" s="1348"/>
      <c r="AM13" s="524"/>
      <c r="AN13" s="524" t="str">
        <f>IF(T13="","",T13)</f>
        <v>Добавить территорию для дифференциации</v>
      </c>
      <c r="AO13" s="524"/>
      <c r="AP13" s="524"/>
      <c r="AQ13" s="535">
        <v>0</v>
      </c>
    </row>
    <row customHeight="1" ht="14.25" hidden="1">
      <c r="AB14" s="351"/>
      <c r="AI14" s="351"/>
      <c r="AQ14" s="1179">
        <v>0</v>
      </c>
    </row>
    <row customHeight="1" ht="14.25" hidden="1">
      <c r="AC15" s="1384"/>
      <c r="AD15" s="1384"/>
      <c r="AE15" s="1385"/>
      <c r="AF15" s="2291"/>
      <c r="AG15" s="2292" t="s">
        <v>66</v>
      </c>
      <c r="AH15" s="2291"/>
      <c r="AI15" s="2292" t="s">
        <v>66</v>
      </c>
      <c r="AQ15" s="1179">
        <v>0</v>
      </c>
    </row>
    <row customHeight="1" ht="14.25" hidden="1">
      <c r="AC16" s="1384"/>
      <c r="AD16" s="1384"/>
      <c r="AE16" s="352" t="str">
        <f>AF15&amp;"-"&amp;AH15</f>
        <v>-</v>
      </c>
      <c r="AF16" s="2292"/>
      <c r="AG16" s="2292"/>
      <c r="AH16" s="2292"/>
      <c r="AI16" s="2292"/>
      <c r="AQ16" s="1179">
        <v>0</v>
      </c>
    </row>
    <row customHeight="1" ht="14.25" hidden="1">
      <c r="AI17" s="351"/>
      <c r="AQ17" s="1179">
        <v>0</v>
      </c>
    </row>
    <row s="1390" customFormat="1" customHeight="1" ht="22.5" hidden="1">
      <c r="L18" s="1471"/>
      <c r="M18" s="1386"/>
      <c r="N18" s="1386"/>
      <c r="O18" s="1391" t="s">
        <v>501</v>
      </c>
      <c r="P18" s="1386"/>
      <c r="Q18" s="1395"/>
      <c r="R18" s="1395"/>
      <c r="S18" s="753"/>
      <c r="Y18" s="1391"/>
      <c r="AA18" s="1391"/>
      <c r="AB18" s="1390"/>
      <c r="AF18" s="1391"/>
      <c r="AH18" s="1391"/>
      <c r="AI18" s="1390"/>
      <c r="AL18" s="535"/>
      <c r="AM18" s="535"/>
      <c r="AN18" s="535"/>
      <c r="AO18" s="535"/>
      <c r="AP18" s="535"/>
      <c r="AQ18" s="1184">
        <v>0</v>
      </c>
    </row>
    <row s="1390" customFormat="1" customHeight="1" ht="14.25" hidden="1">
      <c r="L19" s="1471"/>
      <c r="M19" s="1386"/>
      <c r="N19" s="1386"/>
      <c r="O19" s="1386"/>
      <c r="P19" s="1386"/>
      <c r="Q19" s="1395"/>
      <c r="R19" s="1395"/>
      <c r="S19" s="753"/>
      <c r="AB19" s="1390"/>
      <c r="AI19" s="1390"/>
      <c r="AL19" s="535"/>
      <c r="AM19" s="535"/>
      <c r="AN19" s="535"/>
      <c r="AO19" s="535"/>
      <c r="AP19" s="535"/>
      <c r="AQ19" s="1184">
        <v>0</v>
      </c>
    </row>
    <row s="1390" customFormat="1" customHeight="1" ht="12" hidden="1">
      <c r="L20" s="1471"/>
      <c r="M20" s="1386"/>
      <c r="N20" s="1386"/>
      <c r="O20" s="1388" t="s">
        <v>502</v>
      </c>
      <c r="P20" s="1386"/>
      <c r="Q20" s="1466"/>
      <c r="R20" s="1466"/>
      <c r="S20" s="753"/>
      <c r="T20" s="1184" t="s">
        <v>503</v>
      </c>
      <c r="Z20" s="210" t="s">
        <v>504</v>
      </c>
      <c r="AB20" s="210" t="s">
        <v>505</v>
      </c>
      <c r="AC20" s="1184" t="s">
        <v>503</v>
      </c>
      <c r="AG20" s="210" t="s">
        <v>506</v>
      </c>
      <c r="AI20" s="210" t="s">
        <v>505</v>
      </c>
      <c r="AQ20" s="1184">
        <v>0</v>
      </c>
    </row>
    <row customHeight="1" ht="14.25" hidden="1">
      <c r="O21" s="1388"/>
      <c r="AQ21" s="1179">
        <v>0</v>
      </c>
    </row>
    <row customHeight="1" ht="14.25" hidden="1">
      <c r="O22" s="1388"/>
      <c r="AQ22" s="1179">
        <v>0</v>
      </c>
    </row>
    <row customHeight="1" ht="14.699999999999998">
      <c r="Q23" s="400"/>
      <c r="R23" s="400"/>
      <c r="S23" s="1299"/>
      <c r="T23" s="387"/>
      <c r="U23" s="387"/>
      <c r="V23" s="533"/>
      <c r="W23" s="533"/>
      <c r="X23" s="533"/>
      <c r="Y23" s="533"/>
      <c r="Z23" s="533"/>
      <c r="AA23" s="533"/>
      <c r="AB23" s="533"/>
      <c r="AC23" s="533"/>
      <c r="AD23" s="533"/>
      <c r="AE23" s="533"/>
      <c r="AF23" s="533"/>
      <c r="AG23" s="533"/>
      <c r="AH23" s="533"/>
      <c r="AI23" s="533"/>
      <c r="AQ23" s="1179">
        <v>14</v>
      </c>
    </row>
    <row customHeight="1" ht="14.699999999999998">
      <c r="Q24" s="400"/>
      <c r="R24" s="400"/>
      <c r="S24" s="227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2"/>
      <c r="U24" s="2272"/>
      <c r="V24" s="2272"/>
      <c r="W24" s="2272"/>
      <c r="X24" s="2272"/>
      <c r="Y24" s="2272"/>
      <c r="Z24" s="2272"/>
      <c r="AA24" s="2272"/>
      <c r="AB24" s="2272"/>
      <c r="AC24" s="2272"/>
      <c r="AD24" s="2272"/>
      <c r="AE24" s="2272"/>
      <c r="AF24" s="2272"/>
      <c r="AG24" s="2272"/>
      <c r="AH24" s="2272"/>
      <c r="AI24" s="1267"/>
      <c r="AQ24" s="1179">
        <v>14</v>
      </c>
    </row>
    <row customHeight="1" ht="14.699999999999998">
      <c r="Q25" s="400"/>
      <c r="R25" s="400"/>
      <c r="S25" s="2273" t="str">
        <f>IF(org=0,"Не определено",org)</f>
        <v>АО "ДГК"</v>
      </c>
      <c r="T25" s="2273"/>
      <c r="U25" s="2273"/>
      <c r="V25" s="2273"/>
      <c r="W25" s="2273"/>
      <c r="X25" s="2273"/>
      <c r="Y25" s="2273"/>
      <c r="Z25" s="2273"/>
      <c r="AA25" s="2273"/>
      <c r="AB25" s="2273"/>
      <c r="AC25" s="2273"/>
      <c r="AD25" s="2273"/>
      <c r="AE25" s="2273"/>
      <c r="AF25" s="2273"/>
      <c r="AG25" s="2273"/>
      <c r="AH25" s="2273"/>
      <c r="AI25" s="1267"/>
      <c r="AQ25" s="1179">
        <v>14</v>
      </c>
    </row>
    <row customHeight="1" ht="14.25" hidden="1">
      <c r="Q26" s="400"/>
      <c r="R26" s="400"/>
      <c r="S26" s="1299"/>
      <c r="T26" s="387"/>
      <c r="U26" s="387"/>
      <c r="V26" s="346"/>
      <c r="W26" s="346"/>
      <c r="X26" s="346"/>
      <c r="Y26" s="346"/>
      <c r="Z26" s="346"/>
      <c r="AA26" s="346"/>
      <c r="AB26" s="346"/>
      <c r="AC26" s="346"/>
      <c r="AD26" s="346"/>
      <c r="AE26" s="346"/>
      <c r="AF26" s="346"/>
      <c r="AG26" s="346"/>
      <c r="AH26" s="346"/>
      <c r="AI26" s="346"/>
      <c r="AJ26" s="533"/>
      <c r="AQ26" s="1179">
        <v>0</v>
      </c>
    </row>
    <row s="1877" customFormat="1" customHeight="1" ht="25.5" hidden="1">
      <c r="A27" s="1392"/>
      <c r="B27" s="1392"/>
      <c r="C27" s="1392"/>
      <c r="D27" s="1392"/>
      <c r="E27" s="1392"/>
      <c r="F27" s="1392"/>
      <c r="G27" s="1392"/>
      <c r="H27" s="1392"/>
      <c r="I27" s="1392"/>
      <c r="J27" s="1392"/>
      <c r="K27" s="1392"/>
      <c r="L27" s="1393"/>
      <c r="M27" s="1392"/>
      <c r="N27" s="1392"/>
      <c r="O27" s="1392"/>
      <c r="S27" s="2274" t="s">
        <v>42</v>
      </c>
      <c r="T27" s="2274"/>
      <c r="U27" s="1396"/>
      <c r="V27" s="2275" t="str">
        <f>IF(TITLE_NAME_OR_PR_CHANGE="",IF(TITLE_NAME_OR_PR="","",TITLE_NAME_OR_PR),TITLE_NAME_OR_PR_CHANGE)</f>
        <v/>
      </c>
      <c r="W27" s="2275"/>
      <c r="X27" s="2275"/>
      <c r="Y27" s="2275"/>
      <c r="Z27" s="2275"/>
      <c r="AA27" s="2275"/>
      <c r="AB27" s="350"/>
      <c r="AC27" s="2275" t="str">
        <f>IF(TITLE_NAME_OR_PR_CHANGE="",IF(TITLE_NAME_OR_PR="","",TITLE_NAME_OR_PR),TITLE_NAME_OR_PR_CHANGE)</f>
        <v/>
      </c>
      <c r="AD27" s="2275"/>
      <c r="AE27" s="2275"/>
      <c r="AF27" s="2275"/>
      <c r="AG27" s="2275"/>
      <c r="AH27" s="2275"/>
      <c r="AI27" s="350"/>
      <c r="AJ27" s="350"/>
      <c r="AK27" s="304"/>
      <c r="AL27" s="392"/>
      <c r="AM27" s="392"/>
      <c r="AN27" s="392"/>
      <c r="AO27" s="392"/>
      <c r="AP27" s="392"/>
      <c r="AQ27" s="442">
        <v>0</v>
      </c>
    </row>
    <row s="1877" customFormat="1" customHeight="1" ht="18.75" hidden="1">
      <c r="A28" s="1392"/>
      <c r="B28" s="1392"/>
      <c r="C28" s="1392"/>
      <c r="D28" s="1392"/>
      <c r="E28" s="1392"/>
      <c r="F28" s="1392"/>
      <c r="G28" s="1392"/>
      <c r="H28" s="1392"/>
      <c r="I28" s="1392"/>
      <c r="J28" s="1392"/>
      <c r="K28" s="1392"/>
      <c r="L28" s="1393"/>
      <c r="M28" s="1392"/>
      <c r="N28" s="1392"/>
      <c r="O28" s="1392"/>
      <c r="S28" s="2274" t="s">
        <v>507</v>
      </c>
      <c r="T28" s="2274"/>
      <c r="U28" s="1396"/>
      <c r="V28" s="2288" t="str">
        <f>IF(TITLE_DATE_PR_CHANGE="",IF(TITLE_DATE_PR="","",TITLE_DATE_PR),TITLE_DATE_PR_CHANGE)</f>
        <v/>
      </c>
      <c r="W28" s="2288"/>
      <c r="X28" s="2288"/>
      <c r="Y28" s="2288"/>
      <c r="Z28" s="2288"/>
      <c r="AA28" s="2288"/>
      <c r="AB28" s="350"/>
      <c r="AC28" s="2288" t="str">
        <f>IF(TITLE_DATE_PR_CHANGE="",IF(TITLE_DATE_PR="","",TITLE_DATE_PR),TITLE_DATE_PR_CHANGE)</f>
        <v/>
      </c>
      <c r="AD28" s="2288"/>
      <c r="AE28" s="2288"/>
      <c r="AF28" s="2288"/>
      <c r="AG28" s="2288"/>
      <c r="AH28" s="2288"/>
      <c r="AI28" s="350"/>
      <c r="AJ28" s="350"/>
      <c r="AK28" s="304"/>
      <c r="AL28" s="392"/>
      <c r="AM28" s="392"/>
      <c r="AN28" s="392"/>
      <c r="AO28" s="392"/>
      <c r="AP28" s="392"/>
      <c r="AQ28" s="442">
        <v>0</v>
      </c>
    </row>
    <row s="1877" customFormat="1" customHeight="1" ht="18.75" hidden="1">
      <c r="A29" s="1392"/>
      <c r="B29" s="1392"/>
      <c r="C29" s="1392"/>
      <c r="D29" s="1392"/>
      <c r="E29" s="1392"/>
      <c r="F29" s="1392"/>
      <c r="G29" s="1392"/>
      <c r="H29" s="1392"/>
      <c r="I29" s="1392"/>
      <c r="J29" s="1392"/>
      <c r="K29" s="1392"/>
      <c r="L29" s="1393"/>
      <c r="M29" s="1392"/>
      <c r="N29" s="1392"/>
      <c r="O29" s="1392"/>
      <c r="S29" s="2274" t="s">
        <v>508</v>
      </c>
      <c r="T29" s="2274"/>
      <c r="U29" s="1396"/>
      <c r="V29" s="2275" t="str">
        <f>IF(TITLE_NUMBER_PR_CHANGE="",IF(TITLE_NUMBER_PR="","",TITLE_NUMBER_PR),TITLE_NUMBER_PR_CHANGE)</f>
        <v/>
      </c>
      <c r="W29" s="2275"/>
      <c r="X29" s="2275"/>
      <c r="Y29" s="2275"/>
      <c r="Z29" s="2275"/>
      <c r="AA29" s="2275"/>
      <c r="AB29" s="350"/>
      <c r="AC29" s="2275" t="str">
        <f>IF(TITLE_NUMBER_PR_CHANGE="",IF(TITLE_NUMBER_PR="","",TITLE_NUMBER_PR),TITLE_NUMBER_PR_CHANGE)</f>
        <v/>
      </c>
      <c r="AD29" s="2275"/>
      <c r="AE29" s="2275"/>
      <c r="AF29" s="2275"/>
      <c r="AG29" s="2275"/>
      <c r="AH29" s="2275"/>
      <c r="AI29" s="350"/>
      <c r="AJ29" s="350"/>
      <c r="AK29" s="304"/>
      <c r="AL29" s="392"/>
      <c r="AM29" s="392"/>
      <c r="AN29" s="392"/>
      <c r="AO29" s="392"/>
      <c r="AP29" s="392"/>
      <c r="AQ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43</v>
      </c>
      <c r="T30" s="2274"/>
      <c r="U30" s="1396"/>
      <c r="V30" s="2275" t="str">
        <f>IF(TITLE_IST_PUB_CHANGE="",IF(TITLE_IST_PUB="","",TITLE_IST_PUB),TITLE_IST_PUB_CHANGE)</f>
        <v/>
      </c>
      <c r="W30" s="2275"/>
      <c r="X30" s="2275"/>
      <c r="Y30" s="2275"/>
      <c r="Z30" s="2275"/>
      <c r="AA30" s="2275"/>
      <c r="AB30" s="350"/>
      <c r="AC30" s="2275" t="str">
        <f>IF(TITLE_IST_PUB_CHANGE="",IF(TITLE_IST_PUB="","",TITLE_IST_PUB),TITLE_IST_PUB_CHANGE)</f>
        <v/>
      </c>
      <c r="AD30" s="2275"/>
      <c r="AE30" s="2275"/>
      <c r="AF30" s="2275"/>
      <c r="AG30" s="2275"/>
      <c r="AH30" s="2275"/>
      <c r="AI30" s="350"/>
      <c r="AJ30" s="350"/>
      <c r="AK30" s="304"/>
      <c r="AL30" s="392"/>
      <c r="AM30" s="392"/>
      <c r="AN30" s="392"/>
      <c r="AO30" s="392"/>
      <c r="AP30" s="392"/>
      <c r="AQ30" s="442">
        <v>0</v>
      </c>
    </row>
    <row customHeight="1" ht="14.25" hidden="1">
      <c r="Q31" s="400"/>
      <c r="R31" s="400"/>
      <c r="S31" s="1299"/>
      <c r="T31" s="387"/>
      <c r="U31" s="387"/>
      <c r="V31" s="346"/>
      <c r="W31" s="346"/>
      <c r="X31" s="346"/>
      <c r="Y31" s="346"/>
      <c r="Z31" s="346"/>
      <c r="AA31" s="346"/>
      <c r="AB31" s="346"/>
      <c r="AC31" s="346"/>
      <c r="AD31" s="346"/>
      <c r="AE31" s="346"/>
      <c r="AF31" s="346"/>
      <c r="AG31" s="346"/>
      <c r="AH31" s="346"/>
      <c r="AI31" s="346"/>
      <c r="AJ31" s="533"/>
      <c r="AQ31" s="1179">
        <v>0</v>
      </c>
    </row>
    <row s="1877" customFormat="1" customHeight="1" ht="18.75" hidden="1">
      <c r="A32" s="1392"/>
      <c r="B32" s="1392"/>
      <c r="C32" s="1392"/>
      <c r="D32" s="1392"/>
      <c r="E32" s="1392"/>
      <c r="F32" s="1392"/>
      <c r="G32" s="1392"/>
      <c r="H32" s="1392"/>
      <c r="I32" s="1392"/>
      <c r="J32" s="1392"/>
      <c r="K32" s="1392"/>
      <c r="L32" s="1393"/>
      <c r="M32" s="1392"/>
      <c r="N32" s="1392"/>
      <c r="O32" s="1392"/>
      <c r="S32" s="2274" t="s">
        <v>509</v>
      </c>
      <c r="T32" s="2274"/>
      <c r="U32" s="1396"/>
      <c r="V32" s="2288" t="str">
        <f>IF(TITLE_DATE_PR_CHANGE="",IF(TITLE_DATE_PR="","",TITLE_DATE_PR),TITLE_DATE_PR_CHANGE)</f>
        <v/>
      </c>
      <c r="W32" s="2288"/>
      <c r="X32" s="2288"/>
      <c r="Y32" s="2288"/>
      <c r="Z32" s="2288"/>
      <c r="AA32" s="2288"/>
      <c r="AB32" s="350"/>
      <c r="AC32" s="2288" t="str">
        <f>IF(TITLE_DATE_PR_CHANGE="",IF(TITLE_DATE_PR="","",TITLE_DATE_PR),TITLE_DATE_PR_CHANGE)</f>
        <v/>
      </c>
      <c r="AD32" s="2288"/>
      <c r="AE32" s="2288"/>
      <c r="AF32" s="2288"/>
      <c r="AG32" s="2288"/>
      <c r="AH32" s="2288"/>
      <c r="AI32" s="350"/>
      <c r="AJ32" s="350"/>
      <c r="AK32" s="304"/>
      <c r="AL32" s="392"/>
      <c r="AM32" s="392"/>
      <c r="AN32" s="392"/>
      <c r="AO32" s="392"/>
      <c r="AP32" s="392"/>
      <c r="AQ32" s="442">
        <v>0</v>
      </c>
    </row>
    <row s="1877" customFormat="1" customHeight="1" ht="18.75" hidden="1">
      <c r="A33" s="1392"/>
      <c r="B33" s="1392"/>
      <c r="C33" s="1392"/>
      <c r="D33" s="1392"/>
      <c r="E33" s="1392"/>
      <c r="F33" s="1392"/>
      <c r="G33" s="1392"/>
      <c r="H33" s="1392"/>
      <c r="I33" s="1392"/>
      <c r="J33" s="1392"/>
      <c r="K33" s="1392"/>
      <c r="L33" s="1393"/>
      <c r="M33" s="1392"/>
      <c r="N33" s="1392"/>
      <c r="O33" s="1392"/>
      <c r="S33" s="2274" t="s">
        <v>510</v>
      </c>
      <c r="T33" s="2274"/>
      <c r="U33" s="1396"/>
      <c r="V33" s="2275" t="str">
        <f>IF(TITLE_NUMBER_PR_CHANGE="",IF(TITLE_NUMBER_PR="","",TITLE_NUMBER_PR),TITLE_NUMBER_PR_CHANGE)</f>
        <v/>
      </c>
      <c r="W33" s="2275"/>
      <c r="X33" s="2275"/>
      <c r="Y33" s="2275"/>
      <c r="Z33" s="2275"/>
      <c r="AA33" s="2275"/>
      <c r="AB33" s="350"/>
      <c r="AC33" s="2275" t="str">
        <f>IF(TITLE_NUMBER_PR_CHANGE="",IF(TITLE_NUMBER_PR="","",TITLE_NUMBER_PR),TITLE_NUMBER_PR_CHANGE)</f>
        <v/>
      </c>
      <c r="AD33" s="2275"/>
      <c r="AE33" s="2275"/>
      <c r="AF33" s="2275"/>
      <c r="AG33" s="2275"/>
      <c r="AH33" s="2275"/>
      <c r="AI33" s="350"/>
      <c r="AJ33" s="350"/>
      <c r="AK33" s="304"/>
      <c r="AL33" s="392"/>
      <c r="AM33" s="392"/>
      <c r="AN33" s="392"/>
      <c r="AO33" s="392"/>
      <c r="AP33" s="392"/>
      <c r="AQ33" s="442">
        <v>0</v>
      </c>
    </row>
    <row s="1877" customFormat="1" customHeight="1" ht="1.05">
      <c r="A34" s="1392"/>
      <c r="B34" s="1392"/>
      <c r="C34" s="1392"/>
      <c r="D34" s="1392"/>
      <c r="E34" s="1392"/>
      <c r="F34" s="1392"/>
      <c r="G34" s="1392"/>
      <c r="H34" s="1392"/>
      <c r="I34" s="1392"/>
      <c r="J34" s="1392"/>
      <c r="K34" s="1392"/>
      <c r="L34" s="1393"/>
      <c r="M34" s="1392"/>
      <c r="N34" s="1392"/>
      <c r="O34" s="1392"/>
      <c r="S34" s="347"/>
      <c r="T34" s="347"/>
      <c r="U34" s="1478"/>
      <c r="V34" s="350"/>
      <c r="W34" s="350"/>
      <c r="X34" s="350"/>
      <c r="Y34" s="350"/>
      <c r="Z34" s="350"/>
      <c r="AA34" s="350"/>
      <c r="AB34" s="302" t="s">
        <v>511</v>
      </c>
      <c r="AC34" s="350"/>
      <c r="AD34" s="350"/>
      <c r="AE34" s="350"/>
      <c r="AF34" s="350"/>
      <c r="AG34" s="350"/>
      <c r="AH34" s="350"/>
      <c r="AI34" s="302" t="s">
        <v>511</v>
      </c>
      <c r="AL34" s="392"/>
      <c r="AM34" s="392"/>
      <c r="AN34" s="392"/>
      <c r="AO34" s="392"/>
      <c r="AP34" s="392"/>
      <c r="AQ34" s="442">
        <v>1</v>
      </c>
    </row>
    <row customHeight="1" ht="14.699999999999998">
      <c r="Q35" s="400"/>
      <c r="R35" s="400"/>
      <c r="S35" s="1299"/>
      <c r="T35" s="387"/>
      <c r="U35" s="1268"/>
      <c r="V35" s="2276"/>
      <c r="W35" s="2276"/>
      <c r="X35" s="2276"/>
      <c r="Y35" s="2276"/>
      <c r="Z35" s="2276"/>
      <c r="AA35" s="2276"/>
      <c r="AB35" s="2276"/>
      <c r="AC35" s="2276"/>
      <c r="AD35" s="2276"/>
      <c r="AE35" s="2276"/>
      <c r="AF35" s="2276"/>
      <c r="AG35" s="2276"/>
      <c r="AH35" s="2276"/>
      <c r="AI35" s="2276"/>
      <c r="AQ35" s="1179">
        <v>14</v>
      </c>
    </row>
    <row customHeight="1" ht="14.699999999999998">
      <c r="Q36" s="400"/>
      <c r="R36" s="400"/>
      <c r="S36" s="2151" t="s">
        <v>384</v>
      </c>
      <c r="T36" s="2151"/>
      <c r="U36" s="2151"/>
      <c r="V36" s="2151"/>
      <c r="W36" s="2151"/>
      <c r="X36" s="2151"/>
      <c r="Y36" s="2151"/>
      <c r="Z36" s="2151"/>
      <c r="AA36" s="2151"/>
      <c r="AB36" s="2151"/>
      <c r="AC36" s="2151"/>
      <c r="AD36" s="2151"/>
      <c r="AE36" s="2151"/>
      <c r="AF36" s="2151"/>
      <c r="AG36" s="2151"/>
      <c r="AH36" s="2151"/>
      <c r="AI36" s="2151"/>
      <c r="AJ36" s="2151"/>
      <c r="AK36" s="2151" t="s">
        <v>385</v>
      </c>
      <c r="AQ36" s="1179">
        <v>14</v>
      </c>
    </row>
    <row customHeight="1" ht="14.699999999999998">
      <c r="Q37" s="400"/>
      <c r="R37" s="400"/>
      <c r="S37" s="2297" t="s">
        <v>88</v>
      </c>
      <c r="T37" s="2233" t="s">
        <v>512</v>
      </c>
      <c r="U37" s="325"/>
      <c r="V37" s="2298" t="s">
        <v>513</v>
      </c>
      <c r="W37" s="2299"/>
      <c r="X37" s="2299"/>
      <c r="Y37" s="2299"/>
      <c r="Z37" s="2299"/>
      <c r="AA37" s="2300"/>
      <c r="AB37" s="2301" t="s">
        <v>514</v>
      </c>
      <c r="AC37" s="2298" t="s">
        <v>513</v>
      </c>
      <c r="AD37" s="2299"/>
      <c r="AE37" s="2299"/>
      <c r="AF37" s="2299"/>
      <c r="AG37" s="2299"/>
      <c r="AH37" s="2300"/>
      <c r="AI37" s="2301" t="s">
        <v>515</v>
      </c>
      <c r="AJ37" s="2304" t="s">
        <v>516</v>
      </c>
      <c r="AK37" s="2151"/>
      <c r="AQ37" s="1179">
        <v>14</v>
      </c>
    </row>
    <row customHeight="1" ht="35.699999999999996">
      <c r="Q38" s="400"/>
      <c r="R38" s="400"/>
      <c r="S38" s="2297"/>
      <c r="T38" s="2233"/>
      <c r="U38" s="1055"/>
      <c r="V38" s="1476" t="s">
        <v>573</v>
      </c>
      <c r="W38" s="2286" t="s">
        <v>519</v>
      </c>
      <c r="X38" s="2287"/>
      <c r="Y38" s="2286" t="s">
        <v>520</v>
      </c>
      <c r="Z38" s="2293"/>
      <c r="AA38" s="2287"/>
      <c r="AB38" s="2302"/>
      <c r="AC38" s="1476" t="s">
        <v>573</v>
      </c>
      <c r="AD38" s="2286" t="s">
        <v>519</v>
      </c>
      <c r="AE38" s="2287"/>
      <c r="AF38" s="2286" t="s">
        <v>520</v>
      </c>
      <c r="AG38" s="2293"/>
      <c r="AH38" s="2287"/>
      <c r="AI38" s="2302"/>
      <c r="AJ38" s="2305"/>
      <c r="AK38" s="2151"/>
      <c r="AQ38" s="1179">
        <v>34</v>
      </c>
    </row>
    <row customHeight="1" ht="35.699999999999996">
      <c r="A39" s="1394"/>
      <c r="B39" s="1394" t="s">
        <v>223</v>
      </c>
      <c r="C39" s="1394" t="s">
        <v>224</v>
      </c>
      <c r="D39" s="1394" t="s">
        <v>225</v>
      </c>
      <c r="E39" s="1388" t="s">
        <v>521</v>
      </c>
      <c r="F39" s="1388" t="s">
        <v>522</v>
      </c>
      <c r="G39" s="1388" t="s">
        <v>523</v>
      </c>
      <c r="H39" s="1388"/>
      <c r="I39" s="1388" t="s">
        <v>574</v>
      </c>
      <c r="J39" s="1388" t="s">
        <v>526</v>
      </c>
      <c r="K39" s="1388" t="s">
        <v>575</v>
      </c>
      <c r="L39" s="1388" t="s">
        <v>502</v>
      </c>
      <c r="Q39" s="400"/>
      <c r="R39" s="400"/>
      <c r="S39" s="2297"/>
      <c r="T39" s="2233"/>
      <c r="U39" s="326"/>
      <c r="V39" s="1476" t="s">
        <v>576</v>
      </c>
      <c r="W39" s="1246" t="s">
        <v>577</v>
      </c>
      <c r="X39" s="1246" t="s">
        <v>578</v>
      </c>
      <c r="Y39" s="1479" t="s">
        <v>530</v>
      </c>
      <c r="Z39" s="2294" t="s">
        <v>531</v>
      </c>
      <c r="AA39" s="2295"/>
      <c r="AB39" s="2303"/>
      <c r="AC39" s="1476" t="s">
        <v>576</v>
      </c>
      <c r="AD39" s="1246" t="s">
        <v>577</v>
      </c>
      <c r="AE39" s="1246" t="s">
        <v>578</v>
      </c>
      <c r="AF39" s="1479" t="s">
        <v>530</v>
      </c>
      <c r="AG39" s="2294" t="s">
        <v>531</v>
      </c>
      <c r="AH39" s="2295"/>
      <c r="AI39" s="2303"/>
      <c r="AJ39" s="2306"/>
      <c r="AK39" s="2151"/>
      <c r="AQ39" s="1179">
        <v>34</v>
      </c>
    </row>
    <row s="1665" customFormat="1" customHeight="1" ht="0">
      <c r="A40" s="1394"/>
      <c r="B40" s="1394"/>
      <c r="C40" s="1394"/>
      <c r="D40" s="1394"/>
      <c r="E40" s="1394"/>
      <c r="F40" s="1394"/>
      <c r="G40" s="1394"/>
      <c r="H40" s="1394"/>
      <c r="I40" s="1394"/>
      <c r="J40" s="1394"/>
      <c r="K40" s="1394"/>
      <c r="L40" s="1388"/>
      <c r="M40" s="1386"/>
      <c r="N40" s="1386"/>
      <c r="O40" s="1386"/>
      <c r="P40" s="1270"/>
      <c r="Q40" s="1271"/>
      <c r="R40" s="1278">
        <v>1</v>
      </c>
      <c r="S40" s="1301" t="s">
        <v>170</v>
      </c>
      <c r="T40" s="1279" t="s">
        <v>103</v>
      </c>
      <c r="U40" s="1269" t="str">
        <f>OFFSET(U40,0,-1)</f>
        <v>2</v>
      </c>
      <c r="V40" s="1475">
        <f>OFFSET(V40,0,-1)+1</f>
        <v>3</v>
      </c>
      <c r="W40" s="1475">
        <f>OFFSET(W40,0,-1)+1</f>
        <v>4</v>
      </c>
      <c r="X40" s="1475">
        <f>OFFSET(X40,0,-1)+1</f>
        <v>5</v>
      </c>
      <c r="Y40" s="1475">
        <f>OFFSET(Y40,0,-1)+1</f>
        <v>6</v>
      </c>
      <c r="Z40" s="2296">
        <f>OFFSET(Z40,0,-1)+1</f>
        <v>7</v>
      </c>
      <c r="AA40" s="2296"/>
      <c r="AB40" s="1475">
        <f>OFFSET(AB40,0,-2)+1</f>
        <v>8</v>
      </c>
      <c r="AC40" s="1475">
        <f>OFFSET(AC40,0,-1)+1</f>
        <v>9</v>
      </c>
      <c r="AD40" s="1475">
        <f>OFFSET(AD40,0,-1)+1</f>
        <v>10</v>
      </c>
      <c r="AE40" s="1475">
        <f>OFFSET(AE40,0,-1)+1</f>
        <v>11</v>
      </c>
      <c r="AF40" s="1475">
        <f>OFFSET(AF40,0,-1)+1</f>
        <v>12</v>
      </c>
      <c r="AG40" s="2296">
        <f>OFFSET(AG40,0,-1)+1</f>
        <v>13</v>
      </c>
      <c r="AH40" s="2296"/>
      <c r="AI40" s="1475">
        <f>OFFSET(AI40,0,-2)+1</f>
        <v>14</v>
      </c>
      <c r="AJ40" s="1269">
        <f>OFFSET(AJ40,0,-1)</f>
        <v>14</v>
      </c>
      <c r="AK40" s="1475">
        <f>OFFSET(AK40,0,-1)+1</f>
        <v>15</v>
      </c>
      <c r="AL40" s="535"/>
      <c r="AM40" s="535"/>
      <c r="AN40" s="535"/>
      <c r="AO40" s="535"/>
      <c r="AP40" s="535"/>
      <c r="AQ40" s="520">
        <v>0</v>
      </c>
    </row>
    <row customHeight="1" ht="24">
      <c r="A41" s="1387" t="s">
        <v>320</v>
      </c>
      <c r="B41" s="1387"/>
      <c r="C41" s="1387"/>
      <c r="D41" s="1387"/>
      <c r="E41" s="2282">
        <v>1</v>
      </c>
      <c r="F41" s="1387"/>
      <c r="G41" s="1387"/>
      <c r="H41" s="1387"/>
      <c r="I41" s="1387"/>
      <c r="J41" s="1387"/>
      <c r="K41" s="1387"/>
      <c r="L41" s="1388"/>
      <c r="M41" s="1389"/>
      <c r="N41" s="1389"/>
      <c r="O41" s="1389"/>
      <c r="P41" s="385"/>
      <c r="Q41" s="384"/>
      <c r="R41" s="379"/>
      <c r="S41" s="1481">
        <f>INDEX(PT_DIFFERENTIATION_NUM_NTAR,MATCH(A41,PT_DIFFERENTIATION_NTAR_ID,0))</f>
        <v>0</v>
      </c>
      <c r="T41" s="322" t="s">
        <v>211</v>
      </c>
      <c r="U41" s="324"/>
      <c r="V41" s="2266"/>
      <c r="W41" s="2267"/>
      <c r="X41" s="2267"/>
      <c r="Y41" s="2267"/>
      <c r="Z41" s="2267"/>
      <c r="AA41" s="2267"/>
      <c r="AB41" s="2268"/>
      <c r="AC41" s="2266" t="str">
        <f>INDEX(PT_DIFFERENTIATION_NTAR,MATCH(A41,PT_DIFFERENTIATION_NTAR_ID,0))</f>
        <v/>
      </c>
      <c r="AD41" s="2267"/>
      <c r="AE41" s="2267"/>
      <c r="AF41" s="2267"/>
      <c r="AG41" s="2267"/>
      <c r="AH41" s="2267"/>
      <c r="AI41" s="2267"/>
      <c r="AJ41" s="2268"/>
      <c r="AK41"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24"/>
      <c r="AN41" s="524" t="str">
        <f>IF(T41="","",T41)</f>
        <v>Наименование тарифа</v>
      </c>
      <c r="AO41" s="524"/>
      <c r="AP41" s="524"/>
      <c r="AQ41" s="1179">
        <v>23</v>
      </c>
    </row>
    <row customHeight="1" ht="24">
      <c r="A42" s="1387" t="s">
        <v>320</v>
      </c>
      <c r="B42" s="1387" t="s">
        <v>321</v>
      </c>
      <c r="C42" s="1387"/>
      <c r="D42" s="1387"/>
      <c r="E42" s="2283"/>
      <c r="F42" s="2282">
        <v>1</v>
      </c>
      <c r="G42" s="1387"/>
      <c r="H42" s="1387"/>
      <c r="I42" s="1387"/>
      <c r="J42" s="1387"/>
      <c r="K42" s="1387"/>
      <c r="L42" s="1388"/>
      <c r="M42" s="1389"/>
      <c r="N42" s="1389"/>
      <c r="O42" s="1389"/>
      <c r="P42" s="1477"/>
      <c r="Q42" s="376"/>
      <c r="R42" s="377"/>
      <c r="S42" s="1481" t="str">
        <f>INDEX(PT_DIFFERENTIATION_NUM_TER,MATCH(B42,PT_DIFFERENTIATION_TER_ID,0))</f>
        <v>.</v>
      </c>
      <c r="T42" s="332" t="s">
        <v>481</v>
      </c>
      <c r="U42" s="324"/>
      <c r="V42" s="2266"/>
      <c r="W42" s="2267"/>
      <c r="X42" s="2267"/>
      <c r="Y42" s="2267"/>
      <c r="Z42" s="2267"/>
      <c r="AA42" s="2267"/>
      <c r="AB42" s="2268"/>
      <c r="AC42" s="2266" t="str">
        <f>INDEX(PT_DIFFERENTIATION_TER,MATCH(B42,PT_DIFFERENTIATION_TER_ID,0))</f>
        <v/>
      </c>
      <c r="AD42" s="2267"/>
      <c r="AE42" s="2267"/>
      <c r="AF42" s="2267"/>
      <c r="AG42" s="2267"/>
      <c r="AH42" s="2267"/>
      <c r="AI42" s="2267"/>
      <c r="AJ42" s="2268"/>
      <c r="AK42" s="1282" t="s">
        <v>482</v>
      </c>
      <c r="AM42" s="524"/>
      <c r="AN42" s="524" t="str">
        <f>IF(T42="","",T42)</f>
        <v>Территория действия тарифа</v>
      </c>
      <c r="AO42" s="524"/>
      <c r="AP42" s="524"/>
      <c r="AQ42" s="1179">
        <v>23</v>
      </c>
    </row>
    <row customHeight="1" ht="24">
      <c r="A43" s="1387" t="s">
        <v>320</v>
      </c>
      <c r="B43" s="1387" t="s">
        <v>321</v>
      </c>
      <c r="C43" s="1387" t="s">
        <v>322</v>
      </c>
      <c r="D43" s="1387"/>
      <c r="E43" s="2283"/>
      <c r="F43" s="2283"/>
      <c r="G43" s="2282">
        <v>1</v>
      </c>
      <c r="H43" s="1387"/>
      <c r="I43" s="1387"/>
      <c r="J43" s="1387"/>
      <c r="K43" s="1387"/>
      <c r="L43" s="1388"/>
      <c r="M43" s="1389"/>
      <c r="N43" s="1389"/>
      <c r="O43" s="1389"/>
      <c r="P43" s="378"/>
      <c r="Q43" s="376"/>
      <c r="R43" s="377"/>
      <c r="S43" s="1481" t="str">
        <f>INDEX(PT_DIFFERENTIATION_NUM_CS,MATCH(C43,PT_DIFFERENTIATION_CS_ID,0))</f>
        <v>..</v>
      </c>
      <c r="T43" s="333" t="s">
        <v>565</v>
      </c>
      <c r="U43" s="324"/>
      <c r="V43" s="2266"/>
      <c r="W43" s="2267"/>
      <c r="X43" s="2267"/>
      <c r="Y43" s="2267"/>
      <c r="Z43" s="2267"/>
      <c r="AA43" s="2267"/>
      <c r="AB43" s="2268"/>
      <c r="AC43" s="2266" t="str">
        <f>INDEX(PT_DIFFERENTIATION_CS,MATCH(C43,PT_DIFFERENTIATION_CS_ID,0))</f>
        <v/>
      </c>
      <c r="AD43" s="2267"/>
      <c r="AE43" s="2267"/>
      <c r="AF43" s="2267"/>
      <c r="AG43" s="2267"/>
      <c r="AH43" s="2267"/>
      <c r="AI43" s="2267"/>
      <c r="AJ43" s="2268"/>
      <c r="AK43" s="1282" t="s">
        <v>566</v>
      </c>
      <c r="AM43" s="524"/>
      <c r="AN43" s="524" t="str">
        <f>IF(T43="","",T43)</f>
        <v>Наименование централизованной системы холодного водоснабжения</v>
      </c>
      <c r="AO43" s="524"/>
      <c r="AP43" s="524"/>
      <c r="AQ43" s="1179">
        <v>23</v>
      </c>
    </row>
    <row customHeight="1" ht="24">
      <c r="A44" s="1387" t="s">
        <v>320</v>
      </c>
      <c r="B44" s="1387" t="s">
        <v>321</v>
      </c>
      <c r="C44" s="1387" t="s">
        <v>322</v>
      </c>
      <c r="D44" s="1387" t="s">
        <v>581</v>
      </c>
      <c r="E44" s="2283"/>
      <c r="F44" s="2283"/>
      <c r="G44" s="2283"/>
      <c r="H44" s="2283"/>
      <c r="I44" s="2280" t="str">
        <f>S43&amp;".1"</f>
        <v>...1</v>
      </c>
      <c r="J44" s="1387"/>
      <c r="K44" s="1387"/>
      <c r="L44" s="1388"/>
      <c r="P44" s="2281">
        <v>1</v>
      </c>
      <c r="Q44" s="1474"/>
      <c r="R44" s="380"/>
      <c r="S44" s="1481" t="str">
        <f>$I44</f>
        <v>...1</v>
      </c>
      <c r="T44" s="309" t="s">
        <v>567</v>
      </c>
      <c r="U44" s="324"/>
      <c r="V44" s="2374"/>
      <c r="W44" s="2375"/>
      <c r="X44" s="2375"/>
      <c r="Y44" s="2375"/>
      <c r="Z44" s="2375"/>
      <c r="AA44" s="2375"/>
      <c r="AB44" s="2376"/>
      <c r="AC44" s="2377"/>
      <c r="AD44" s="2378"/>
      <c r="AE44" s="2378"/>
      <c r="AF44" s="2378"/>
      <c r="AG44" s="2378"/>
      <c r="AH44" s="2378"/>
      <c r="AI44" s="2378"/>
      <c r="AJ44" s="2379"/>
      <c r="AK44" s="1282" t="s">
        <v>568</v>
      </c>
      <c r="AM44" s="524"/>
      <c r="AN44" s="524" t="str">
        <f>IF(T44="","",T44)</f>
        <v>Наименование признака дифференциации</v>
      </c>
      <c r="AO44" s="524"/>
      <c r="AP44" s="524"/>
      <c r="AQ44" s="1179">
        <v>23</v>
      </c>
    </row>
    <row customHeight="1" ht="24">
      <c r="A45" s="1387" t="s">
        <v>320</v>
      </c>
      <c r="B45" s="1387" t="s">
        <v>321</v>
      </c>
      <c r="C45" s="1387" t="s">
        <v>322</v>
      </c>
      <c r="D45" s="1387" t="s">
        <v>581</v>
      </c>
      <c r="E45" s="2283"/>
      <c r="F45" s="2283"/>
      <c r="G45" s="2283"/>
      <c r="H45" s="2283"/>
      <c r="I45" s="2310"/>
      <c r="J45" s="2280" t="str">
        <f>I44&amp;".1"</f>
        <v>...1.1</v>
      </c>
      <c r="K45" s="1387"/>
      <c r="L45" s="1388" t="s">
        <v>490</v>
      </c>
      <c r="P45" s="2281"/>
      <c r="Q45" s="2281">
        <v>1</v>
      </c>
      <c r="R45" s="381"/>
      <c r="S45" s="1481" t="str">
        <f>$J45</f>
        <v>...1.1</v>
      </c>
      <c r="T45" s="310" t="s">
        <v>491</v>
      </c>
      <c r="U45" s="324"/>
      <c r="V45" s="2269"/>
      <c r="W45" s="2270"/>
      <c r="X45" s="2270"/>
      <c r="Y45" s="2270"/>
      <c r="Z45" s="2270"/>
      <c r="AA45" s="2270"/>
      <c r="AB45" s="2271"/>
      <c r="AC45" s="2269"/>
      <c r="AD45" s="2270"/>
      <c r="AE45" s="2270"/>
      <c r="AF45" s="2270"/>
      <c r="AG45" s="2270"/>
      <c r="AH45" s="2270"/>
      <c r="AI45" s="2270"/>
      <c r="AJ45" s="2271"/>
      <c r="AK45" s="1331" t="s">
        <v>569</v>
      </c>
      <c r="AM45" s="524"/>
      <c r="AN45" s="524" t="str">
        <f>IF(T45="","",T45)</f>
        <v>Группа потребителей</v>
      </c>
      <c r="AO45" s="524"/>
      <c r="AP45" s="524"/>
      <c r="AQ45" s="1179">
        <v>23</v>
      </c>
    </row>
    <row customHeight="1" ht="24">
      <c r="A46" s="1387" t="s">
        <v>320</v>
      </c>
      <c r="B46" s="1387" t="s">
        <v>321</v>
      </c>
      <c r="C46" s="1387" t="s">
        <v>322</v>
      </c>
      <c r="D46" s="1387" t="s">
        <v>581</v>
      </c>
      <c r="E46" s="2283"/>
      <c r="F46" s="2283"/>
      <c r="G46" s="2283"/>
      <c r="H46" s="2283"/>
      <c r="I46" s="2310"/>
      <c r="J46" s="2310"/>
      <c r="K46" s="2280" t="str">
        <f>J45&amp;".1"</f>
        <v>...1.1.1</v>
      </c>
      <c r="L46" s="1388"/>
      <c r="P46" s="2281"/>
      <c r="Q46" s="2281"/>
      <c r="R46" s="381">
        <v>1</v>
      </c>
      <c r="S46" s="1481" t="str">
        <f>$K46</f>
        <v>...1.1.1</v>
      </c>
      <c r="T46" s="1461"/>
      <c r="U46" s="324"/>
      <c r="V46" s="775"/>
      <c r="W46" s="775"/>
      <c r="X46" s="1281"/>
      <c r="Y46" s="2289"/>
      <c r="Z46" s="2131" t="s">
        <v>66</v>
      </c>
      <c r="AA46" s="2289"/>
      <c r="AB46" s="2131" t="s">
        <v>66</v>
      </c>
      <c r="AC46" s="775"/>
      <c r="AD46" s="775"/>
      <c r="AE46" s="1281"/>
      <c r="AF46" s="2289"/>
      <c r="AG46" s="2131" t="s">
        <v>66</v>
      </c>
      <c r="AH46" s="2311"/>
      <c r="AI46" s="2131" t="s">
        <v>66</v>
      </c>
      <c r="AJ46" s="1462"/>
      <c r="AK46"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35">
        <f>STRCHECKDATE(V47:AJ47)</f>
      </c>
      <c r="AM46" s="524"/>
      <c r="AN46" s="524" t="str">
        <f>IF(T46="","",T46)</f>
        <v/>
      </c>
      <c r="AO46" s="524"/>
      <c r="AP46" s="524"/>
      <c r="AQ46" s="1179">
        <v>23</v>
      </c>
    </row>
    <row customHeight="1" ht="0">
      <c r="A47" s="1387" t="s">
        <v>320</v>
      </c>
      <c r="B47" s="1387" t="s">
        <v>321</v>
      </c>
      <c r="C47" s="1387" t="s">
        <v>322</v>
      </c>
      <c r="D47" s="1387" t="s">
        <v>581</v>
      </c>
      <c r="E47" s="2283"/>
      <c r="F47" s="2283"/>
      <c r="G47" s="2283"/>
      <c r="H47" s="2283"/>
      <c r="I47" s="2310"/>
      <c r="J47" s="2310"/>
      <c r="K47" s="2280"/>
      <c r="L47" s="1388"/>
      <c r="P47" s="2281"/>
      <c r="Q47" s="2281"/>
      <c r="R47" s="381"/>
      <c r="S47" s="1480"/>
      <c r="T47" s="324"/>
      <c r="U47" s="324"/>
      <c r="V47" s="349"/>
      <c r="W47" s="349"/>
      <c r="X47" s="352" t="str">
        <f>Y46&amp;"-"&amp;AA46</f>
        <v>-</v>
      </c>
      <c r="Y47" s="2290"/>
      <c r="Z47" s="2131"/>
      <c r="AA47" s="2290"/>
      <c r="AB47" s="2131"/>
      <c r="AC47" s="349"/>
      <c r="AD47" s="349"/>
      <c r="AE47" s="352" t="str">
        <f>AF46&amp;"-"&amp;AH46</f>
        <v>-</v>
      </c>
      <c r="AF47" s="2290"/>
      <c r="AG47" s="2131"/>
      <c r="AH47" s="2312"/>
      <c r="AI47" s="2131"/>
      <c r="AJ47" s="1463"/>
      <c r="AK47" s="2373"/>
      <c r="AM47" s="524"/>
      <c r="AN47" s="524" t="str">
        <f>IF(T47="","",T47)</f>
        <v/>
      </c>
      <c r="AO47" s="524"/>
      <c r="AP47" s="524"/>
      <c r="AQ47" s="1179">
        <v>0</v>
      </c>
    </row>
    <row customHeight="1" ht="21">
      <c r="A48" s="1387" t="s">
        <v>320</v>
      </c>
      <c r="B48" s="1387" t="s">
        <v>321</v>
      </c>
      <c r="C48" s="1387" t="s">
        <v>322</v>
      </c>
      <c r="D48" s="1387" t="s">
        <v>581</v>
      </c>
      <c r="E48" s="2283"/>
      <c r="F48" s="2283"/>
      <c r="G48" s="2283"/>
      <c r="H48" s="2283"/>
      <c r="I48" s="2310"/>
      <c r="J48" s="2280"/>
      <c r="K48" s="1387"/>
      <c r="L48" s="1388"/>
      <c r="P48" s="2281"/>
      <c r="Q48" s="2281"/>
      <c r="R48" s="380"/>
      <c r="S48" s="1302"/>
      <c r="T48" s="311" t="s">
        <v>570</v>
      </c>
      <c r="U48" s="391"/>
      <c r="V48" s="391"/>
      <c r="W48" s="391"/>
      <c r="X48" s="391"/>
      <c r="Y48" s="391"/>
      <c r="Z48" s="391"/>
      <c r="AA48" s="391"/>
      <c r="AB48" s="391"/>
      <c r="AC48" s="391"/>
      <c r="AD48" s="391"/>
      <c r="AE48" s="391"/>
      <c r="AF48" s="391"/>
      <c r="AG48" s="391"/>
      <c r="AH48" s="391"/>
      <c r="AI48" s="391"/>
      <c r="AJ48" s="391"/>
      <c r="AK48" s="1282" t="s">
        <v>571</v>
      </c>
      <c r="AM48" s="524"/>
      <c r="AN48" s="524" t="str">
        <f>IF(T48="","",T48)</f>
        <v>Добавить значение признака дифференциации</v>
      </c>
      <c r="AO48" s="524"/>
      <c r="AP48" s="524"/>
      <c r="AQ48" s="1179">
        <v>20</v>
      </c>
    </row>
    <row customHeight="1" ht="22.049999999999997">
      <c r="A49" s="1387" t="s">
        <v>320</v>
      </c>
      <c r="B49" s="1387" t="s">
        <v>321</v>
      </c>
      <c r="C49" s="1387" t="s">
        <v>322</v>
      </c>
      <c r="D49" s="1387" t="s">
        <v>581</v>
      </c>
      <c r="E49" s="2283"/>
      <c r="F49" s="2283"/>
      <c r="G49" s="2283"/>
      <c r="H49" s="2283"/>
      <c r="I49" s="2280"/>
      <c r="J49" s="1387"/>
      <c r="K49" s="1387"/>
      <c r="L49" s="1388"/>
      <c r="P49" s="2281"/>
      <c r="Q49" s="1474"/>
      <c r="R49" s="380"/>
      <c r="S49" s="1302"/>
      <c r="T49" s="389" t="s">
        <v>496</v>
      </c>
      <c r="U49" s="391"/>
      <c r="V49" s="391"/>
      <c r="W49" s="391"/>
      <c r="X49" s="391"/>
      <c r="Y49" s="391"/>
      <c r="Z49" s="391"/>
      <c r="AA49" s="391"/>
      <c r="AB49" s="390"/>
      <c r="AC49" s="391"/>
      <c r="AD49" s="391"/>
      <c r="AE49" s="391"/>
      <c r="AF49" s="391"/>
      <c r="AG49" s="391"/>
      <c r="AH49" s="391"/>
      <c r="AI49" s="390"/>
      <c r="AJ49" s="391"/>
      <c r="AK49" s="1464"/>
      <c r="AM49" s="524"/>
      <c r="AN49" s="524" t="str">
        <f>IF(T49="","",T49)</f>
        <v>Добавить группу потребителей</v>
      </c>
      <c r="AO49" s="524"/>
      <c r="AP49" s="524"/>
      <c r="AQ49" s="1179">
        <v>21</v>
      </c>
    </row>
    <row customHeight="1" ht="22.049999999999997">
      <c r="A50" s="1387" t="s">
        <v>320</v>
      </c>
      <c r="B50" s="1387" t="s">
        <v>321</v>
      </c>
      <c r="C50" s="1387" t="s">
        <v>322</v>
      </c>
      <c r="D50" s="1387" t="s">
        <v>581</v>
      </c>
      <c r="E50" s="2283"/>
      <c r="F50" s="2283"/>
      <c r="G50" s="2283"/>
      <c r="H50" s="2282"/>
      <c r="I50" s="1387"/>
      <c r="J50" s="1387"/>
      <c r="K50" s="1387"/>
      <c r="L50" s="1388"/>
      <c r="M50" s="1389"/>
      <c r="N50" s="1389"/>
      <c r="O50" s="561"/>
      <c r="P50" s="384"/>
      <c r="Q50" s="399"/>
      <c r="R50" s="379"/>
      <c r="S50" s="1302"/>
      <c r="T50" s="396" t="s">
        <v>572</v>
      </c>
      <c r="U50" s="391"/>
      <c r="V50" s="391"/>
      <c r="W50" s="391"/>
      <c r="X50" s="391"/>
      <c r="Y50" s="391"/>
      <c r="Z50" s="391"/>
      <c r="AA50" s="391"/>
      <c r="AB50" s="390"/>
      <c r="AC50" s="391"/>
      <c r="AD50" s="391"/>
      <c r="AE50" s="391"/>
      <c r="AF50" s="391"/>
      <c r="AG50" s="391"/>
      <c r="AH50" s="391"/>
      <c r="AI50" s="390"/>
      <c r="AJ50" s="391"/>
      <c r="AK50" s="327"/>
      <c r="AM50" s="524"/>
      <c r="AN50" s="524" t="str">
        <f>IF(T50="","",T50)</f>
        <v>Добавить наименование признака дифференциации</v>
      </c>
      <c r="AO50" s="524"/>
      <c r="AP50" s="524"/>
      <c r="AQ50" s="1179">
        <v>21</v>
      </c>
    </row>
    <row s="1666" customFormat="1" customHeight="1" ht="0">
      <c r="A51" s="1367" t="s">
        <v>320</v>
      </c>
      <c r="B51" s="1367" t="s">
        <v>321</v>
      </c>
      <c r="C51" s="1338"/>
      <c r="D51" s="1338"/>
      <c r="E51" s="2283"/>
      <c r="F51" s="2282"/>
      <c r="G51" s="1338"/>
      <c r="H51" s="1338"/>
      <c r="I51" s="1338"/>
      <c r="J51" s="1338"/>
      <c r="K51" s="1338"/>
      <c r="L51" s="1482"/>
      <c r="M51" s="1345"/>
      <c r="N51" s="1345"/>
      <c r="P51" s="1340"/>
      <c r="Q51" s="1341"/>
      <c r="R51" s="1340"/>
      <c r="S51" s="1346"/>
      <c r="T51" s="1349" t="s">
        <v>499</v>
      </c>
      <c r="U51" s="1348"/>
      <c r="V51" s="1348"/>
      <c r="W51" s="1348"/>
      <c r="X51" s="1348"/>
      <c r="Y51" s="1348"/>
      <c r="Z51" s="1348"/>
      <c r="AA51" s="1348"/>
      <c r="AB51" s="1348"/>
      <c r="AC51" s="1348"/>
      <c r="AD51" s="1348"/>
      <c r="AE51" s="1348"/>
      <c r="AF51" s="1348"/>
      <c r="AG51" s="1348"/>
      <c r="AH51" s="1348"/>
      <c r="AI51" s="1348"/>
      <c r="AJ51" s="1348"/>
      <c r="AK51" s="1348"/>
      <c r="AM51" s="813"/>
      <c r="AN51" s="813" t="str">
        <f>IF(T51="","",T51)</f>
        <v>Добавить централизованную систему для дифференциации</v>
      </c>
      <c r="AO51" s="813"/>
      <c r="AP51" s="813"/>
      <c r="AQ51" s="542">
        <v>0</v>
      </c>
    </row>
    <row s="1666" customFormat="1" customHeight="1" ht="0">
      <c r="A52" s="1367" t="s">
        <v>320</v>
      </c>
      <c r="B52" s="1367"/>
      <c r="C52" s="1367"/>
      <c r="D52" s="1367"/>
      <c r="E52" s="2282"/>
      <c r="F52" s="1367"/>
      <c r="G52" s="1367"/>
      <c r="H52" s="1367"/>
      <c r="I52" s="1367"/>
      <c r="J52" s="1367"/>
      <c r="K52" s="1367"/>
      <c r="L52" s="1370"/>
      <c r="M52" s="1345"/>
      <c r="N52" s="1345"/>
      <c r="O52" s="542"/>
      <c r="P52" s="404"/>
      <c r="Q52" s="1368"/>
      <c r="R52" s="404"/>
      <c r="S52" s="1346"/>
      <c r="T52" s="1349" t="s">
        <v>500</v>
      </c>
      <c r="U52" s="1348"/>
      <c r="V52" s="1348"/>
      <c r="W52" s="1348"/>
      <c r="X52" s="1348"/>
      <c r="Y52" s="1348"/>
      <c r="Z52" s="1348"/>
      <c r="AA52" s="1348"/>
      <c r="AB52" s="1348"/>
      <c r="AC52" s="1348"/>
      <c r="AD52" s="1348"/>
      <c r="AE52" s="1348"/>
      <c r="AF52" s="1348"/>
      <c r="AG52" s="1348"/>
      <c r="AH52" s="1348"/>
      <c r="AI52" s="1348"/>
      <c r="AJ52" s="1348"/>
      <c r="AK52" s="1348"/>
      <c r="AM52" s="524"/>
      <c r="AN52" s="524" t="str">
        <f>IF(T52="","",T52)</f>
        <v>Добавить территорию для дифференциации</v>
      </c>
      <c r="AO52" s="524"/>
      <c r="AP52" s="524"/>
      <c r="AQ52" s="535">
        <v>0</v>
      </c>
    </row>
    <row s="1666" customFormat="1" customHeight="1" ht="0">
      <c r="A53" s="1338"/>
      <c r="B53" s="1338"/>
      <c r="C53" s="1338"/>
      <c r="D53" s="1338"/>
      <c r="E53" s="1367"/>
      <c r="F53" s="1338"/>
      <c r="G53" s="1338"/>
      <c r="H53" s="1338"/>
      <c r="I53" s="1338"/>
      <c r="J53" s="1338"/>
      <c r="K53" s="1338"/>
      <c r="L53" s="1482"/>
      <c r="M53" s="1345"/>
      <c r="N53" s="1345"/>
      <c r="P53" s="1340"/>
      <c r="Q53" s="1341"/>
      <c r="R53" s="1340"/>
      <c r="S53" s="1346"/>
      <c r="T53" s="1349" t="s">
        <v>532</v>
      </c>
      <c r="U53" s="1348"/>
      <c r="V53" s="1348"/>
      <c r="W53" s="1348"/>
      <c r="X53" s="1348"/>
      <c r="Y53" s="1348"/>
      <c r="Z53" s="1348"/>
      <c r="AA53" s="1348"/>
      <c r="AB53" s="1348"/>
      <c r="AC53" s="1348"/>
      <c r="AD53" s="1348"/>
      <c r="AE53" s="1348"/>
      <c r="AF53" s="1348"/>
      <c r="AG53" s="1348"/>
      <c r="AH53" s="1348"/>
      <c r="AI53" s="1348"/>
      <c r="AJ53" s="1348"/>
      <c r="AK53" s="1348"/>
      <c r="AM53" s="813"/>
      <c r="AN53" s="813" t="str">
        <f>IF(T53="","",T53)</f>
        <v>Добавить наименование тарифа</v>
      </c>
      <c r="AO53" s="813"/>
      <c r="AP53" s="813"/>
      <c r="AQ53" s="542">
        <v>0</v>
      </c>
    </row>
    <row customHeight="1" ht="11.549999999999999">
      <c r="M54" s="1184"/>
      <c r="N54" s="1184"/>
      <c r="O54" s="561"/>
      <c r="P54" s="1179"/>
      <c r="Q54" s="1179"/>
      <c r="R54" s="1179"/>
      <c r="S54" s="1179"/>
      <c r="AL54" s="1179"/>
      <c r="AM54" s="1179"/>
      <c r="AN54" s="1179"/>
      <c r="AO54" s="1179"/>
      <c r="AP54" s="1179"/>
      <c r="AQ54" s="1179">
        <v>11</v>
      </c>
    </row>
    <row customHeight="1" ht="14.699999999999998">
      <c r="O55" s="561"/>
      <c r="S55" s="1277"/>
      <c r="T55" s="2309"/>
      <c r="U55" s="2309"/>
      <c r="V55" s="2309"/>
      <c r="W55" s="2309"/>
      <c r="X55" s="2309"/>
      <c r="Y55" s="2309"/>
      <c r="Z55" s="2309"/>
      <c r="AA55" s="2309"/>
      <c r="AB55" s="2309"/>
      <c r="AC55" s="2309"/>
      <c r="AD55" s="2309"/>
      <c r="AE55" s="2309"/>
      <c r="AF55" s="2309"/>
      <c r="AG55" s="2309"/>
      <c r="AH55" s="2309"/>
      <c r="AI55" s="2309"/>
      <c r="AJ55" s="2309"/>
      <c r="AK55" s="2309"/>
      <c r="AQ55" s="1179">
        <v>14</v>
      </c>
    </row>
    <row customHeight="1" ht="14.699999999999998">
      <c r="O56" s="561"/>
      <c r="AQ56" s="1179">
        <v>14</v>
      </c>
    </row>
    <row customHeight="1" ht="14.699999999999998">
      <c r="O57" s="561"/>
      <c r="S57" s="1277"/>
      <c r="T57" s="2309"/>
      <c r="U57" s="2309"/>
      <c r="V57" s="2309"/>
      <c r="W57" s="2309"/>
      <c r="X57" s="2309"/>
      <c r="Y57" s="2309"/>
      <c r="Z57" s="2309"/>
      <c r="AA57" s="2309"/>
      <c r="AB57" s="2309"/>
      <c r="AC57" s="2309"/>
      <c r="AD57" s="2309"/>
      <c r="AE57" s="2309"/>
      <c r="AF57" s="2309"/>
      <c r="AG57" s="2309"/>
      <c r="AH57" s="2309"/>
      <c r="AI57" s="2309"/>
      <c r="AJ57" s="2309"/>
      <c r="AK57" s="2309"/>
      <c r="AQ57" s="1179">
        <v>14</v>
      </c>
    </row>
    <row customHeight="1" ht="22.5" hidden="1">
      <c r="A58" s="1184" t="s">
        <v>82</v>
      </c>
      <c r="B58" s="1184">
        <v>0</v>
      </c>
      <c r="C58" s="1184">
        <v>0</v>
      </c>
      <c r="D58" s="1184">
        <v>0</v>
      </c>
      <c r="E58" s="1184">
        <v>0</v>
      </c>
      <c r="F58" s="1184">
        <v>0</v>
      </c>
      <c r="G58" s="1184">
        <v>0</v>
      </c>
      <c r="H58" s="1184">
        <v>0</v>
      </c>
      <c r="I58" s="1184">
        <v>0</v>
      </c>
      <c r="J58" s="1184">
        <v>0</v>
      </c>
      <c r="K58" s="1184">
        <v>0</v>
      </c>
      <c r="L58" s="1471">
        <v>0</v>
      </c>
      <c r="M58" s="1386">
        <v>0</v>
      </c>
      <c r="N58" s="1386">
        <v>0</v>
      </c>
      <c r="O58" s="1386">
        <v>0</v>
      </c>
      <c r="P58" s="1470">
        <v>3</v>
      </c>
      <c r="Q58" s="368">
        <v>3</v>
      </c>
      <c r="R58" s="368">
        <v>3</v>
      </c>
      <c r="S58" s="605">
        <v>12</v>
      </c>
      <c r="T58" s="1179">
        <v>35</v>
      </c>
      <c r="U58" s="1179">
        <v>0</v>
      </c>
      <c r="V58" s="1179">
        <v>0</v>
      </c>
      <c r="W58" s="1179">
        <v>0</v>
      </c>
      <c r="X58" s="1179">
        <v>0</v>
      </c>
      <c r="Y58" s="1179">
        <v>0</v>
      </c>
      <c r="Z58" s="1179">
        <v>0</v>
      </c>
      <c r="AA58" s="1179">
        <v>0</v>
      </c>
      <c r="AB58" s="1179">
        <v>0</v>
      </c>
      <c r="AC58" s="1179">
        <v>24</v>
      </c>
      <c r="AD58" s="1179">
        <v>24</v>
      </c>
      <c r="AE58" s="1179">
        <v>24</v>
      </c>
      <c r="AF58" s="1179">
        <v>11</v>
      </c>
      <c r="AG58" s="1179">
        <v>3</v>
      </c>
      <c r="AH58" s="1179">
        <v>11</v>
      </c>
      <c r="AI58" s="1179">
        <v>0</v>
      </c>
      <c r="AJ58" s="1179">
        <v>4</v>
      </c>
      <c r="AK58" s="1179">
        <v>115</v>
      </c>
      <c r="AL58" s="535">
        <v>10</v>
      </c>
      <c r="AM58" s="535">
        <v>10</v>
      </c>
      <c r="AN58" s="535">
        <v>10</v>
      </c>
      <c r="AO58" s="535">
        <v>10</v>
      </c>
      <c r="AP58" s="535">
        <v>10</v>
      </c>
      <c r="AQ58" s="1179">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983D55-56D9-3C68-F7BB-0.F4C0BF9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4.140625" hidden="1" customWidth="1"/>
    <col min="10" max="10" style="1390" width="9.8515625" hidden="1" customWidth="1"/>
    <col min="11" max="11" style="1390" width="14.7109375" hidden="1" customWidth="1"/>
    <col min="12" max="12" style="2631" width="19.140625" hidden="1" customWidth="1"/>
    <col min="13" max="14" style="1800" width="12.28125" hidden="1" customWidth="1"/>
    <col min="15" max="15" style="1800" width="23.421875" hidden="1" customWidth="1"/>
    <col min="16" max="16" style="2421" width="3.00390625" customWidth="1"/>
    <col min="17" max="18" style="368" width="3.00390625" customWidth="1"/>
    <col min="19" max="19" style="2431" width="12.00390625" customWidth="1"/>
    <col min="20" max="20" style="1659" width="35.00390625" customWidth="1"/>
    <col min="21" max="21" style="1659" width="0.140625" customWidth="1"/>
    <col min="22" max="24" style="1659" width="24.7109375" hidden="1" customWidth="1"/>
    <col min="25" max="25" style="1659" width="11.7109375" hidden="1" customWidth="1"/>
    <col min="26" max="26" style="1659" width="3.7109375" hidden="1" customWidth="1"/>
    <col min="27" max="27" style="1659" width="11.7109375" hidden="1" customWidth="1"/>
    <col min="28" max="28" style="1659" width="8.57421875" hidden="1" customWidth="1"/>
    <col min="29" max="29" style="1659" width="24.7109375" customWidth="1"/>
    <col min="30" max="31" style="1659" width="24.00390625" customWidth="1"/>
    <col min="32" max="32" style="1659" width="11.00390625" customWidth="1"/>
    <col min="33" max="33" style="1659" width="3.7109375" customWidth="1"/>
    <col min="34" max="34" style="1659" width="11.00390625" customWidth="1"/>
    <col min="35" max="35" style="1659" width="8.57421875" hidden="1" customWidth="1"/>
    <col min="36" max="36" style="1659" width="4.00390625" customWidth="1"/>
    <col min="37" max="37" style="1659" width="115.00390625" customWidth="1"/>
    <col min="38" max="42" style="1666" width="10.00390625" customWidth="1"/>
    <col min="43" max="43" style="1659" width="10.57421875" hidden="1"/>
  </cols>
  <sheetData>
    <row customHeight="1" ht="22.5" hidden="1">
      <c r="X1" s="351"/>
      <c r="Y1" s="351"/>
      <c r="AE1" s="351"/>
      <c r="AF1" s="351"/>
      <c r="AQ1" s="1179" t="s">
        <v>14</v>
      </c>
    </row>
    <row customHeight="1" ht="23.25" hidden="1">
      <c r="A2" s="1387"/>
      <c r="B2" s="1387"/>
      <c r="C2" s="1387"/>
      <c r="D2" s="1387"/>
      <c r="E2" s="2282">
        <v>1</v>
      </c>
      <c r="F2" s="1387"/>
      <c r="G2" s="1387"/>
      <c r="H2" s="1387"/>
      <c r="I2" s="1387"/>
      <c r="J2" s="1387"/>
      <c r="K2" s="1387"/>
      <c r="L2" s="1388"/>
      <c r="M2" s="1389"/>
      <c r="N2" s="1389"/>
      <c r="O2" s="1389"/>
      <c r="P2" s="385"/>
      <c r="Q2" s="384"/>
      <c r="R2" s="379"/>
      <c r="S2" s="1481">
        <f>INDEX(PT_DIFFERENTIATION_NUM_NTAR,MATCH(A2,PT_DIFFERENTIATION_NTAR_ID,0))</f>
      </c>
      <c r="T2" s="322" t="s">
        <v>211</v>
      </c>
      <c r="U2" s="324"/>
      <c r="V2" s="2266"/>
      <c r="W2" s="2267"/>
      <c r="X2" s="2267"/>
      <c r="Y2" s="2267"/>
      <c r="Z2" s="2267"/>
      <c r="AA2" s="2267"/>
      <c r="AB2" s="2268"/>
      <c r="AC2" s="2266">
        <f>INDEX(PT_DIFFERENTIATION_NTAR,MATCH(A2,PT_DIFFERENTIATION_NTAR_ID,0))</f>
      </c>
      <c r="AD2" s="2267"/>
      <c r="AE2" s="2267"/>
      <c r="AF2" s="2267"/>
      <c r="AG2" s="2267"/>
      <c r="AH2" s="2267"/>
      <c r="AI2" s="2267"/>
      <c r="AJ2" s="2268"/>
      <c r="AK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24"/>
      <c r="AN2" s="524" t="str">
        <f>IF(T2="","",T2)</f>
        <v>Наименование тарифа</v>
      </c>
      <c r="AO2" s="524"/>
      <c r="AP2" s="524"/>
      <c r="AQ2" s="1179">
        <v>0</v>
      </c>
    </row>
    <row customHeight="1" ht="23.25" hidden="1">
      <c r="A3" s="1387"/>
      <c r="B3" s="1387"/>
      <c r="C3" s="1387"/>
      <c r="D3" s="1387"/>
      <c r="E3" s="2283"/>
      <c r="F3" s="2282">
        <v>1</v>
      </c>
      <c r="G3" s="1387"/>
      <c r="H3" s="1387"/>
      <c r="I3" s="1387"/>
      <c r="J3" s="1387"/>
      <c r="K3" s="1387"/>
      <c r="L3" s="1388"/>
      <c r="M3" s="1389"/>
      <c r="N3" s="1389"/>
      <c r="O3" s="1389"/>
      <c r="P3" s="1477"/>
      <c r="Q3" s="376"/>
      <c r="R3" s="377"/>
      <c r="S3" s="1481">
        <f>INDEX(PT_DIFFERENTIATION_NUM_TER,MATCH(B3,PT_DIFFERENTIATION_TER_ID,0))</f>
      </c>
      <c r="T3" s="332" t="s">
        <v>481</v>
      </c>
      <c r="U3" s="324"/>
      <c r="V3" s="2266"/>
      <c r="W3" s="2267"/>
      <c r="X3" s="2267"/>
      <c r="Y3" s="2267"/>
      <c r="Z3" s="2267"/>
      <c r="AA3" s="2267"/>
      <c r="AB3" s="2268"/>
      <c r="AC3" s="2266">
        <f>INDEX(PT_DIFFERENTIATION_TER,MATCH(B3,PT_DIFFERENTIATION_TER_ID,0))</f>
      </c>
      <c r="AD3" s="2267"/>
      <c r="AE3" s="2267"/>
      <c r="AF3" s="2267"/>
      <c r="AG3" s="2267"/>
      <c r="AH3" s="2267"/>
      <c r="AI3" s="2267"/>
      <c r="AJ3" s="2268"/>
      <c r="AK3" s="1282" t="s">
        <v>482</v>
      </c>
      <c r="AM3" s="524"/>
      <c r="AN3" s="524" t="str">
        <f>IF(T3="","",T3)</f>
        <v>Территория действия тарифа</v>
      </c>
      <c r="AO3" s="524"/>
      <c r="AP3" s="524"/>
      <c r="AQ3" s="1179">
        <v>0</v>
      </c>
    </row>
    <row customHeight="1" ht="23.25" hidden="1">
      <c r="A4" s="1387"/>
      <c r="B4" s="1387"/>
      <c r="C4" s="1387"/>
      <c r="D4" s="1387"/>
      <c r="E4" s="2283"/>
      <c r="F4" s="2283"/>
      <c r="G4" s="2282">
        <v>1</v>
      </c>
      <c r="H4" s="1387"/>
      <c r="I4" s="1387"/>
      <c r="J4" s="1387"/>
      <c r="K4" s="1387"/>
      <c r="L4" s="1388"/>
      <c r="M4" s="1389"/>
      <c r="N4" s="1389"/>
      <c r="O4" s="1389"/>
      <c r="P4" s="378"/>
      <c r="Q4" s="376"/>
      <c r="R4" s="377"/>
      <c r="S4" s="1481">
        <f>INDEX(PT_DIFFERENTIATION_NUM_CS,MATCH(C4,PT_DIFFERENTIATION_CS_ID,0))</f>
      </c>
      <c r="T4" s="333" t="s">
        <v>565</v>
      </c>
      <c r="U4" s="324"/>
      <c r="V4" s="2266"/>
      <c r="W4" s="2267"/>
      <c r="X4" s="2267"/>
      <c r="Y4" s="2267"/>
      <c r="Z4" s="2267"/>
      <c r="AA4" s="2267"/>
      <c r="AB4" s="2268"/>
      <c r="AC4" s="2266">
        <f>INDEX(PT_DIFFERENTIATION_CS,MATCH(C4,PT_DIFFERENTIATION_CS_ID,0))</f>
      </c>
      <c r="AD4" s="2267"/>
      <c r="AE4" s="2267"/>
      <c r="AF4" s="2267"/>
      <c r="AG4" s="2267"/>
      <c r="AH4" s="2267"/>
      <c r="AI4" s="2267"/>
      <c r="AJ4" s="2268"/>
      <c r="AK4" s="1282" t="s">
        <v>566</v>
      </c>
      <c r="AM4" s="524"/>
      <c r="AN4" s="524" t="str">
        <f>IF(T4="","",T4)</f>
        <v>Наименование централизованной системы холодного водоснабжения</v>
      </c>
      <c r="AO4" s="524"/>
      <c r="AP4" s="524"/>
      <c r="AQ4" s="1179">
        <v>0</v>
      </c>
    </row>
    <row customHeight="1" ht="23.25" hidden="1">
      <c r="A5" s="1387"/>
      <c r="B5" s="1387"/>
      <c r="C5" s="1387"/>
      <c r="D5" s="1387"/>
      <c r="E5" s="2283"/>
      <c r="F5" s="2283"/>
      <c r="G5" s="2283"/>
      <c r="H5" s="2283"/>
      <c r="I5" s="2280">
        <f>S4&amp;".1"</f>
      </c>
      <c r="J5" s="1387"/>
      <c r="K5" s="1387"/>
      <c r="L5" s="1388"/>
      <c r="P5" s="2281">
        <v>1</v>
      </c>
      <c r="Q5" s="1474"/>
      <c r="R5" s="380"/>
      <c r="S5" s="1481">
        <f>$I5</f>
      </c>
      <c r="T5" s="309" t="s">
        <v>567</v>
      </c>
      <c r="U5" s="324"/>
      <c r="V5" s="2374"/>
      <c r="W5" s="2375"/>
      <c r="X5" s="2375"/>
      <c r="Y5" s="2375"/>
      <c r="Z5" s="2375"/>
      <c r="AA5" s="2375"/>
      <c r="AB5" s="2376"/>
      <c r="AC5" s="2377"/>
      <c r="AD5" s="2378"/>
      <c r="AE5" s="2378"/>
      <c r="AF5" s="2378"/>
      <c r="AG5" s="2378"/>
      <c r="AH5" s="2378"/>
      <c r="AI5" s="2378"/>
      <c r="AJ5" s="2379"/>
      <c r="AK5" s="1282" t="s">
        <v>568</v>
      </c>
      <c r="AM5" s="524"/>
      <c r="AN5" s="524" t="str">
        <f>IF(T5="","",T5)</f>
        <v>Наименование признака дифференциации</v>
      </c>
      <c r="AO5" s="524"/>
      <c r="AP5" s="524"/>
      <c r="AQ5" s="1179">
        <v>0</v>
      </c>
    </row>
    <row customHeight="1" ht="23.25" hidden="1">
      <c r="A6" s="1387"/>
      <c r="B6" s="1387"/>
      <c r="C6" s="1387"/>
      <c r="D6" s="1387"/>
      <c r="E6" s="2283"/>
      <c r="F6" s="2283"/>
      <c r="G6" s="2283"/>
      <c r="H6" s="2283"/>
      <c r="I6" s="2310"/>
      <c r="J6" s="2280">
        <f>I5&amp;".1"</f>
      </c>
      <c r="K6" s="1387"/>
      <c r="L6" s="1388" t="s">
        <v>490</v>
      </c>
      <c r="P6" s="2281"/>
      <c r="Q6" s="2281">
        <v>1</v>
      </c>
      <c r="R6" s="381"/>
      <c r="S6" s="1481">
        <f>$J6</f>
      </c>
      <c r="T6" s="310" t="s">
        <v>491</v>
      </c>
      <c r="U6" s="324"/>
      <c r="V6" s="2269"/>
      <c r="W6" s="2270"/>
      <c r="X6" s="2270"/>
      <c r="Y6" s="2270"/>
      <c r="Z6" s="2270"/>
      <c r="AA6" s="2270"/>
      <c r="AB6" s="2271"/>
      <c r="AC6" s="2269"/>
      <c r="AD6" s="2270"/>
      <c r="AE6" s="2270"/>
      <c r="AF6" s="2270"/>
      <c r="AG6" s="2270"/>
      <c r="AH6" s="2270"/>
      <c r="AI6" s="2270"/>
      <c r="AJ6" s="2271"/>
      <c r="AK6" s="1331" t="s">
        <v>569</v>
      </c>
      <c r="AM6" s="524"/>
      <c r="AN6" s="524" t="str">
        <f>IF(T6="","",T6)</f>
        <v>Группа потребителей</v>
      </c>
      <c r="AO6" s="524"/>
      <c r="AP6" s="524"/>
      <c r="AQ6" s="1179">
        <v>0</v>
      </c>
    </row>
    <row customHeight="1" ht="23.25" hidden="1">
      <c r="A7" s="1387"/>
      <c r="B7" s="1387"/>
      <c r="C7" s="1387"/>
      <c r="D7" s="1387"/>
      <c r="E7" s="2283"/>
      <c r="F7" s="2283"/>
      <c r="G7" s="2283"/>
      <c r="H7" s="2283"/>
      <c r="I7" s="2310"/>
      <c r="J7" s="2310"/>
      <c r="K7" s="2280">
        <f>J6&amp;".1"</f>
      </c>
      <c r="L7" s="1388"/>
      <c r="P7" s="2281"/>
      <c r="Q7" s="2281"/>
      <c r="R7" s="381">
        <v>1</v>
      </c>
      <c r="S7" s="1481">
        <f>$K7</f>
      </c>
      <c r="T7" s="1461"/>
      <c r="U7" s="324"/>
      <c r="V7" s="775"/>
      <c r="W7" s="775"/>
      <c r="X7" s="1281"/>
      <c r="Y7" s="2289"/>
      <c r="Z7" s="2131" t="s">
        <v>66</v>
      </c>
      <c r="AA7" s="2289"/>
      <c r="AB7" s="2131" t="s">
        <v>66</v>
      </c>
      <c r="AC7" s="775"/>
      <c r="AD7" s="775"/>
      <c r="AE7" s="1281"/>
      <c r="AF7" s="2289"/>
      <c r="AG7" s="2131" t="s">
        <v>66</v>
      </c>
      <c r="AH7" s="2311"/>
      <c r="AI7" s="2131" t="s">
        <v>66</v>
      </c>
      <c r="AJ7" s="1462"/>
      <c r="AK7"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35">
        <f>STRCHECKDATE(V8:AJ8)</f>
      </c>
      <c r="AM7" s="524"/>
      <c r="AN7" s="524" t="str">
        <f>IF(T7="","",T7)</f>
        <v/>
      </c>
      <c r="AO7" s="524"/>
      <c r="AP7" s="524"/>
      <c r="AQ7" s="1179">
        <v>0</v>
      </c>
    </row>
    <row customHeight="1" ht="14.25" hidden="1">
      <c r="A8" s="1387"/>
      <c r="B8" s="1387"/>
      <c r="C8" s="1387"/>
      <c r="D8" s="1387"/>
      <c r="E8" s="2283"/>
      <c r="F8" s="2283"/>
      <c r="G8" s="2283"/>
      <c r="H8" s="2283"/>
      <c r="I8" s="2310"/>
      <c r="J8" s="2310"/>
      <c r="K8" s="2280"/>
      <c r="L8" s="1388"/>
      <c r="P8" s="2281"/>
      <c r="Q8" s="2281"/>
      <c r="R8" s="381"/>
      <c r="S8" s="1480"/>
      <c r="T8" s="324"/>
      <c r="U8" s="324"/>
      <c r="V8" s="349"/>
      <c r="W8" s="349"/>
      <c r="X8" s="352" t="str">
        <f>Y7&amp;"-"&amp;AA7</f>
        <v>-</v>
      </c>
      <c r="Y8" s="2290"/>
      <c r="Z8" s="2131"/>
      <c r="AA8" s="2290"/>
      <c r="AB8" s="2131"/>
      <c r="AC8" s="349"/>
      <c r="AD8" s="349"/>
      <c r="AE8" s="352" t="str">
        <f>AF7&amp;"-"&amp;AH7</f>
        <v>-</v>
      </c>
      <c r="AF8" s="2290"/>
      <c r="AG8" s="2131"/>
      <c r="AH8" s="2312"/>
      <c r="AI8" s="2131"/>
      <c r="AJ8" s="1463"/>
      <c r="AK8" s="2373"/>
      <c r="AM8" s="524"/>
      <c r="AN8" s="524" t="str">
        <f>IF(T8="","",T8)</f>
        <v/>
      </c>
      <c r="AO8" s="524"/>
      <c r="AP8" s="524"/>
      <c r="AQ8" s="1179">
        <v>0</v>
      </c>
    </row>
    <row customHeight="1" ht="21" hidden="1">
      <c r="A9" s="1387"/>
      <c r="B9" s="1387"/>
      <c r="C9" s="1387"/>
      <c r="D9" s="1387"/>
      <c r="E9" s="2283"/>
      <c r="F9" s="2283"/>
      <c r="G9" s="2283"/>
      <c r="H9" s="2283"/>
      <c r="I9" s="2310"/>
      <c r="J9" s="2280"/>
      <c r="K9" s="1387"/>
      <c r="L9" s="1388"/>
      <c r="P9" s="2281"/>
      <c r="Q9" s="2281"/>
      <c r="R9" s="380"/>
      <c r="S9" s="1302"/>
      <c r="T9" s="311" t="s">
        <v>570</v>
      </c>
      <c r="U9" s="391"/>
      <c r="V9" s="391"/>
      <c r="W9" s="391"/>
      <c r="X9" s="391"/>
      <c r="Y9" s="391"/>
      <c r="Z9" s="391"/>
      <c r="AA9" s="391"/>
      <c r="AB9" s="391"/>
      <c r="AC9" s="391"/>
      <c r="AD9" s="391"/>
      <c r="AE9" s="391"/>
      <c r="AF9" s="391"/>
      <c r="AG9" s="391"/>
      <c r="AH9" s="391"/>
      <c r="AI9" s="391"/>
      <c r="AJ9" s="391"/>
      <c r="AK9" s="1282" t="s">
        <v>571</v>
      </c>
      <c r="AM9" s="524"/>
      <c r="AN9" s="524" t="str">
        <f>IF(T9="","",T9)</f>
        <v>Добавить значение признака дифференциации</v>
      </c>
      <c r="AO9" s="524"/>
      <c r="AP9" s="524"/>
      <c r="AQ9" s="1179">
        <v>0</v>
      </c>
    </row>
    <row customHeight="1" ht="21" hidden="1">
      <c r="A10" s="1387"/>
      <c r="B10" s="1387"/>
      <c r="C10" s="1387"/>
      <c r="D10" s="1387"/>
      <c r="E10" s="2283"/>
      <c r="F10" s="2283"/>
      <c r="G10" s="2283"/>
      <c r="H10" s="2283"/>
      <c r="I10" s="2280"/>
      <c r="J10" s="1387"/>
      <c r="K10" s="1387"/>
      <c r="L10" s="1388"/>
      <c r="P10" s="2281"/>
      <c r="Q10" s="1474"/>
      <c r="R10" s="380"/>
      <c r="S10" s="1302"/>
      <c r="T10" s="389" t="s">
        <v>496</v>
      </c>
      <c r="U10" s="391"/>
      <c r="V10" s="391"/>
      <c r="W10" s="391"/>
      <c r="X10" s="391"/>
      <c r="Y10" s="391"/>
      <c r="Z10" s="391"/>
      <c r="AA10" s="391"/>
      <c r="AB10" s="390"/>
      <c r="AC10" s="391"/>
      <c r="AD10" s="391"/>
      <c r="AE10" s="391"/>
      <c r="AF10" s="391"/>
      <c r="AG10" s="391"/>
      <c r="AH10" s="391"/>
      <c r="AI10" s="390"/>
      <c r="AJ10" s="391"/>
      <c r="AK10" s="1464"/>
      <c r="AM10" s="524"/>
      <c r="AN10" s="524" t="str">
        <f>IF(T10="","",T10)</f>
        <v>Добавить группу потребителей</v>
      </c>
      <c r="AO10" s="524"/>
      <c r="AP10" s="524"/>
      <c r="AQ10" s="1179">
        <v>0</v>
      </c>
    </row>
    <row customHeight="1" ht="21" hidden="1">
      <c r="A11" s="1387"/>
      <c r="B11" s="1387"/>
      <c r="C11" s="1387"/>
      <c r="D11" s="1387"/>
      <c r="E11" s="2283"/>
      <c r="F11" s="2283"/>
      <c r="G11" s="2283"/>
      <c r="H11" s="2282"/>
      <c r="I11" s="1387"/>
      <c r="J11" s="1387"/>
      <c r="K11" s="1387"/>
      <c r="L11" s="1388"/>
      <c r="M11" s="1389"/>
      <c r="N11" s="1389"/>
      <c r="O11" s="561"/>
      <c r="P11" s="384"/>
      <c r="Q11" s="399"/>
      <c r="R11" s="379"/>
      <c r="S11" s="1302"/>
      <c r="T11" s="396" t="s">
        <v>572</v>
      </c>
      <c r="U11" s="391"/>
      <c r="V11" s="391"/>
      <c r="W11" s="391"/>
      <c r="X11" s="391"/>
      <c r="Y11" s="391"/>
      <c r="Z11" s="391"/>
      <c r="AA11" s="391"/>
      <c r="AB11" s="390"/>
      <c r="AC11" s="391"/>
      <c r="AD11" s="391"/>
      <c r="AE11" s="391"/>
      <c r="AF11" s="391"/>
      <c r="AG11" s="391"/>
      <c r="AH11" s="391"/>
      <c r="AI11" s="390"/>
      <c r="AJ11" s="391"/>
      <c r="AK11" s="327"/>
      <c r="AM11" s="524"/>
      <c r="AN11" s="524" t="str">
        <f>IF(T11="","",T11)</f>
        <v>Добавить наименование признака дифференциации</v>
      </c>
      <c r="AO11" s="524"/>
      <c r="AP11" s="524"/>
      <c r="AQ11" s="1179">
        <v>0</v>
      </c>
    </row>
    <row s="1666" customFormat="1" customHeight="1" ht="14.25" hidden="1">
      <c r="A12" s="1367"/>
      <c r="B12" s="1367"/>
      <c r="C12" s="1338"/>
      <c r="D12" s="1338"/>
      <c r="E12" s="2283"/>
      <c r="F12" s="2282"/>
      <c r="G12" s="1338"/>
      <c r="H12" s="1338"/>
      <c r="I12" s="1338"/>
      <c r="J12" s="1338"/>
      <c r="K12" s="1338"/>
      <c r="L12" s="1482"/>
      <c r="M12" s="1345"/>
      <c r="N12" s="1345"/>
      <c r="P12" s="1340"/>
      <c r="Q12" s="1341"/>
      <c r="R12" s="1340"/>
      <c r="S12" s="1346"/>
      <c r="T12" s="1349" t="s">
        <v>499</v>
      </c>
      <c r="U12" s="1348"/>
      <c r="V12" s="1348"/>
      <c r="W12" s="1348"/>
      <c r="X12" s="1348"/>
      <c r="Y12" s="1348"/>
      <c r="Z12" s="1348"/>
      <c r="AA12" s="1348"/>
      <c r="AB12" s="1348"/>
      <c r="AC12" s="1348"/>
      <c r="AD12" s="1348"/>
      <c r="AE12" s="1348"/>
      <c r="AF12" s="1348"/>
      <c r="AG12" s="1348"/>
      <c r="AH12" s="1348"/>
      <c r="AI12" s="1348"/>
      <c r="AJ12" s="1348"/>
      <c r="AK12" s="1348"/>
      <c r="AM12" s="813"/>
      <c r="AN12" s="813" t="str">
        <f>IF(T12="","",T12)</f>
        <v>Добавить централизованную систему для дифференциации</v>
      </c>
      <c r="AO12" s="813"/>
      <c r="AP12" s="813"/>
      <c r="AQ12" s="542">
        <v>0</v>
      </c>
    </row>
    <row s="1666" customFormat="1" customHeight="1" ht="14.25" hidden="1">
      <c r="A13" s="1367"/>
      <c r="B13" s="1367"/>
      <c r="C13" s="1367"/>
      <c r="D13" s="1367"/>
      <c r="E13" s="2282"/>
      <c r="F13" s="1367"/>
      <c r="G13" s="1367"/>
      <c r="H13" s="1367"/>
      <c r="I13" s="1367"/>
      <c r="J13" s="1367"/>
      <c r="K13" s="1367"/>
      <c r="L13" s="1370"/>
      <c r="M13" s="1345"/>
      <c r="N13" s="1345"/>
      <c r="O13" s="542"/>
      <c r="P13" s="404"/>
      <c r="Q13" s="1368"/>
      <c r="R13" s="404"/>
      <c r="S13" s="1346"/>
      <c r="T13" s="1349" t="s">
        <v>500</v>
      </c>
      <c r="U13" s="1348"/>
      <c r="V13" s="1348"/>
      <c r="W13" s="1348"/>
      <c r="X13" s="1348"/>
      <c r="Y13" s="1348"/>
      <c r="Z13" s="1348"/>
      <c r="AA13" s="1348"/>
      <c r="AB13" s="1348"/>
      <c r="AC13" s="1348"/>
      <c r="AD13" s="1348"/>
      <c r="AE13" s="1348"/>
      <c r="AF13" s="1348"/>
      <c r="AG13" s="1348"/>
      <c r="AH13" s="1348"/>
      <c r="AI13" s="1348"/>
      <c r="AJ13" s="1348"/>
      <c r="AK13" s="1348"/>
      <c r="AM13" s="524"/>
      <c r="AN13" s="524" t="str">
        <f>IF(T13="","",T13)</f>
        <v>Добавить территорию для дифференциации</v>
      </c>
      <c r="AO13" s="524"/>
      <c r="AP13" s="524"/>
      <c r="AQ13" s="535">
        <v>0</v>
      </c>
    </row>
    <row customHeight="1" ht="14.25" hidden="1">
      <c r="AB14" s="351"/>
      <c r="AI14" s="351"/>
      <c r="AQ14" s="1179">
        <v>0</v>
      </c>
    </row>
    <row customHeight="1" ht="14.25" hidden="1">
      <c r="AC15" s="1384"/>
      <c r="AD15" s="1384"/>
      <c r="AE15" s="1385"/>
      <c r="AF15" s="2291"/>
      <c r="AG15" s="2292" t="s">
        <v>66</v>
      </c>
      <c r="AH15" s="2291"/>
      <c r="AI15" s="2292" t="s">
        <v>66</v>
      </c>
      <c r="AQ15" s="1179">
        <v>0</v>
      </c>
    </row>
    <row customHeight="1" ht="14.25" hidden="1">
      <c r="AC16" s="1384"/>
      <c r="AD16" s="1384"/>
      <c r="AE16" s="352" t="str">
        <f>AF15&amp;"-"&amp;AH15</f>
        <v>-</v>
      </c>
      <c r="AF16" s="2292"/>
      <c r="AG16" s="2292"/>
      <c r="AH16" s="2292"/>
      <c r="AI16" s="2292"/>
      <c r="AQ16" s="1179">
        <v>0</v>
      </c>
    </row>
    <row customHeight="1" ht="14.25" hidden="1">
      <c r="AI17" s="351"/>
      <c r="AQ17" s="1179">
        <v>0</v>
      </c>
    </row>
    <row s="1390" customFormat="1" customHeight="1" ht="22.5" hidden="1">
      <c r="L18" s="1471"/>
      <c r="M18" s="1386"/>
      <c r="N18" s="1386"/>
      <c r="O18" s="1391" t="s">
        <v>501</v>
      </c>
      <c r="P18" s="1386"/>
      <c r="Q18" s="1395"/>
      <c r="R18" s="1395"/>
      <c r="S18" s="753"/>
      <c r="Y18" s="1391"/>
      <c r="AA18" s="1391"/>
      <c r="AB18" s="1390"/>
      <c r="AF18" s="1391"/>
      <c r="AH18" s="1391"/>
      <c r="AI18" s="1390"/>
      <c r="AL18" s="535"/>
      <c r="AM18" s="535"/>
      <c r="AN18" s="535"/>
      <c r="AO18" s="535"/>
      <c r="AP18" s="535"/>
      <c r="AQ18" s="1184">
        <v>0</v>
      </c>
    </row>
    <row s="1390" customFormat="1" customHeight="1" ht="14.25" hidden="1">
      <c r="L19" s="1471"/>
      <c r="M19" s="1386"/>
      <c r="N19" s="1386"/>
      <c r="O19" s="1386"/>
      <c r="P19" s="1386"/>
      <c r="Q19" s="1395"/>
      <c r="R19" s="1395"/>
      <c r="S19" s="753"/>
      <c r="AB19" s="1390"/>
      <c r="AI19" s="1390"/>
      <c r="AL19" s="535"/>
      <c r="AM19" s="535"/>
      <c r="AN19" s="535"/>
      <c r="AO19" s="535"/>
      <c r="AP19" s="535"/>
      <c r="AQ19" s="1184">
        <v>0</v>
      </c>
    </row>
    <row s="1390" customFormat="1" customHeight="1" ht="12" hidden="1">
      <c r="L20" s="1471"/>
      <c r="M20" s="1386"/>
      <c r="N20" s="1386"/>
      <c r="O20" s="1388" t="s">
        <v>502</v>
      </c>
      <c r="P20" s="1386"/>
      <c r="Q20" s="1466"/>
      <c r="R20" s="1466"/>
      <c r="S20" s="753"/>
      <c r="T20" s="1184" t="s">
        <v>503</v>
      </c>
      <c r="Z20" s="210" t="s">
        <v>504</v>
      </c>
      <c r="AB20" s="210" t="s">
        <v>505</v>
      </c>
      <c r="AC20" s="1184" t="s">
        <v>503</v>
      </c>
      <c r="AG20" s="210" t="s">
        <v>506</v>
      </c>
      <c r="AI20" s="210" t="s">
        <v>505</v>
      </c>
      <c r="AQ20" s="1184">
        <v>0</v>
      </c>
    </row>
    <row customHeight="1" ht="14.25" hidden="1">
      <c r="O21" s="1388"/>
      <c r="AQ21" s="1179">
        <v>0</v>
      </c>
    </row>
    <row customHeight="1" ht="14.25" hidden="1">
      <c r="O22" s="1388"/>
      <c r="AQ22" s="1179">
        <v>0</v>
      </c>
    </row>
    <row customHeight="1" ht="14.699999999999998">
      <c r="Q23" s="400"/>
      <c r="R23" s="400"/>
      <c r="S23" s="1299"/>
      <c r="T23" s="387"/>
      <c r="U23" s="387"/>
      <c r="V23" s="533"/>
      <c r="W23" s="533"/>
      <c r="X23" s="533"/>
      <c r="Y23" s="533"/>
      <c r="Z23" s="533"/>
      <c r="AA23" s="533"/>
      <c r="AB23" s="533"/>
      <c r="AC23" s="533"/>
      <c r="AD23" s="533"/>
      <c r="AE23" s="533"/>
      <c r="AF23" s="533"/>
      <c r="AG23" s="533"/>
      <c r="AH23" s="533"/>
      <c r="AI23" s="533"/>
      <c r="AQ23" s="1179">
        <v>14</v>
      </c>
    </row>
    <row customHeight="1" ht="14.699999999999998">
      <c r="Q24" s="400"/>
      <c r="R24" s="400"/>
      <c r="S24" s="227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2"/>
      <c r="U24" s="2272"/>
      <c r="V24" s="2272"/>
      <c r="W24" s="2272"/>
      <c r="X24" s="2272"/>
      <c r="Y24" s="2272"/>
      <c r="Z24" s="2272"/>
      <c r="AA24" s="2272"/>
      <c r="AB24" s="2272"/>
      <c r="AC24" s="2272"/>
      <c r="AD24" s="2272"/>
      <c r="AE24" s="2272"/>
      <c r="AF24" s="2272"/>
      <c r="AG24" s="2272"/>
      <c r="AH24" s="2272"/>
      <c r="AI24" s="1267"/>
      <c r="AQ24" s="1179">
        <v>14</v>
      </c>
    </row>
    <row customHeight="1" ht="14.699999999999998">
      <c r="Q25" s="400"/>
      <c r="R25" s="400"/>
      <c r="S25" s="2273" t="str">
        <f>IF(org=0,"Не определено",org)</f>
        <v>АО "ДГК"</v>
      </c>
      <c r="T25" s="2273"/>
      <c r="U25" s="2273"/>
      <c r="V25" s="2273"/>
      <c r="W25" s="2273"/>
      <c r="X25" s="2273"/>
      <c r="Y25" s="2273"/>
      <c r="Z25" s="2273"/>
      <c r="AA25" s="2273"/>
      <c r="AB25" s="2273"/>
      <c r="AC25" s="2273"/>
      <c r="AD25" s="2273"/>
      <c r="AE25" s="2273"/>
      <c r="AF25" s="2273"/>
      <c r="AG25" s="2273"/>
      <c r="AH25" s="2273"/>
      <c r="AI25" s="1267"/>
      <c r="AQ25" s="1179">
        <v>14</v>
      </c>
    </row>
    <row customHeight="1" ht="14.25" hidden="1">
      <c r="Q26" s="400"/>
      <c r="R26" s="400"/>
      <c r="S26" s="1299"/>
      <c r="T26" s="387"/>
      <c r="U26" s="387"/>
      <c r="V26" s="346"/>
      <c r="W26" s="346"/>
      <c r="X26" s="346"/>
      <c r="Y26" s="346"/>
      <c r="Z26" s="346"/>
      <c r="AA26" s="346"/>
      <c r="AB26" s="346"/>
      <c r="AC26" s="346"/>
      <c r="AD26" s="346"/>
      <c r="AE26" s="346"/>
      <c r="AF26" s="346"/>
      <c r="AG26" s="346"/>
      <c r="AH26" s="346"/>
      <c r="AI26" s="346"/>
      <c r="AJ26" s="533"/>
      <c r="AQ26" s="1179">
        <v>0</v>
      </c>
    </row>
    <row s="1877" customFormat="1" customHeight="1" ht="25.5" hidden="1">
      <c r="A27" s="1392"/>
      <c r="B27" s="1392"/>
      <c r="C27" s="1392"/>
      <c r="D27" s="1392"/>
      <c r="E27" s="1392"/>
      <c r="F27" s="1392"/>
      <c r="G27" s="1392"/>
      <c r="H27" s="1392"/>
      <c r="I27" s="1392"/>
      <c r="J27" s="1392"/>
      <c r="K27" s="1392"/>
      <c r="L27" s="1393"/>
      <c r="M27" s="1392"/>
      <c r="N27" s="1392"/>
      <c r="O27" s="1392"/>
      <c r="S27" s="2274" t="s">
        <v>42</v>
      </c>
      <c r="T27" s="2274"/>
      <c r="U27" s="1396"/>
      <c r="V27" s="2275" t="str">
        <f>IF(TITLE_NAME_OR_PR_CHANGE="",IF(TITLE_NAME_OR_PR="","",TITLE_NAME_OR_PR),TITLE_NAME_OR_PR_CHANGE)</f>
        <v/>
      </c>
      <c r="W27" s="2275"/>
      <c r="X27" s="2275"/>
      <c r="Y27" s="2275"/>
      <c r="Z27" s="2275"/>
      <c r="AA27" s="2275"/>
      <c r="AB27" s="350"/>
      <c r="AC27" s="2275" t="str">
        <f>IF(TITLE_NAME_OR_PR_CHANGE="",IF(TITLE_NAME_OR_PR="","",TITLE_NAME_OR_PR),TITLE_NAME_OR_PR_CHANGE)</f>
        <v/>
      </c>
      <c r="AD27" s="2275"/>
      <c r="AE27" s="2275"/>
      <c r="AF27" s="2275"/>
      <c r="AG27" s="2275"/>
      <c r="AH27" s="2275"/>
      <c r="AI27" s="350"/>
      <c r="AJ27" s="350"/>
      <c r="AK27" s="304"/>
      <c r="AL27" s="392"/>
      <c r="AM27" s="392"/>
      <c r="AN27" s="392"/>
      <c r="AO27" s="392"/>
      <c r="AP27" s="392"/>
      <c r="AQ27" s="442">
        <v>0</v>
      </c>
    </row>
    <row s="1877" customFormat="1" customHeight="1" ht="18.75" hidden="1">
      <c r="A28" s="1392"/>
      <c r="B28" s="1392"/>
      <c r="C28" s="1392"/>
      <c r="D28" s="1392"/>
      <c r="E28" s="1392"/>
      <c r="F28" s="1392"/>
      <c r="G28" s="1392"/>
      <c r="H28" s="1392"/>
      <c r="I28" s="1392"/>
      <c r="J28" s="1392"/>
      <c r="K28" s="1392"/>
      <c r="L28" s="1393"/>
      <c r="M28" s="1392"/>
      <c r="N28" s="1392"/>
      <c r="O28" s="1392"/>
      <c r="S28" s="2274" t="s">
        <v>507</v>
      </c>
      <c r="T28" s="2274"/>
      <c r="U28" s="1396"/>
      <c r="V28" s="2288" t="str">
        <f>IF(TITLE_DATE_PR_CHANGE="",IF(TITLE_DATE_PR="","",TITLE_DATE_PR),TITLE_DATE_PR_CHANGE)</f>
        <v/>
      </c>
      <c r="W28" s="2288"/>
      <c r="X28" s="2288"/>
      <c r="Y28" s="2288"/>
      <c r="Z28" s="2288"/>
      <c r="AA28" s="2288"/>
      <c r="AB28" s="350"/>
      <c r="AC28" s="2288" t="str">
        <f>IF(TITLE_DATE_PR_CHANGE="",IF(TITLE_DATE_PR="","",TITLE_DATE_PR),TITLE_DATE_PR_CHANGE)</f>
        <v/>
      </c>
      <c r="AD28" s="2288"/>
      <c r="AE28" s="2288"/>
      <c r="AF28" s="2288"/>
      <c r="AG28" s="2288"/>
      <c r="AH28" s="2288"/>
      <c r="AI28" s="350"/>
      <c r="AJ28" s="350"/>
      <c r="AK28" s="304"/>
      <c r="AL28" s="392"/>
      <c r="AM28" s="392"/>
      <c r="AN28" s="392"/>
      <c r="AO28" s="392"/>
      <c r="AP28" s="392"/>
      <c r="AQ28" s="442">
        <v>0</v>
      </c>
    </row>
    <row s="1877" customFormat="1" customHeight="1" ht="18.75" hidden="1">
      <c r="A29" s="1392"/>
      <c r="B29" s="1392"/>
      <c r="C29" s="1392"/>
      <c r="D29" s="1392"/>
      <c r="E29" s="1392"/>
      <c r="F29" s="1392"/>
      <c r="G29" s="1392"/>
      <c r="H29" s="1392"/>
      <c r="I29" s="1392"/>
      <c r="J29" s="1392"/>
      <c r="K29" s="1392"/>
      <c r="L29" s="1393"/>
      <c r="M29" s="1392"/>
      <c r="N29" s="1392"/>
      <c r="O29" s="1392"/>
      <c r="S29" s="2274" t="s">
        <v>508</v>
      </c>
      <c r="T29" s="2274"/>
      <c r="U29" s="1396"/>
      <c r="V29" s="2275" t="str">
        <f>IF(TITLE_NUMBER_PR_CHANGE="",IF(TITLE_NUMBER_PR="","",TITLE_NUMBER_PR),TITLE_NUMBER_PR_CHANGE)</f>
        <v/>
      </c>
      <c r="W29" s="2275"/>
      <c r="X29" s="2275"/>
      <c r="Y29" s="2275"/>
      <c r="Z29" s="2275"/>
      <c r="AA29" s="2275"/>
      <c r="AB29" s="350"/>
      <c r="AC29" s="2275" t="str">
        <f>IF(TITLE_NUMBER_PR_CHANGE="",IF(TITLE_NUMBER_PR="","",TITLE_NUMBER_PR),TITLE_NUMBER_PR_CHANGE)</f>
        <v/>
      </c>
      <c r="AD29" s="2275"/>
      <c r="AE29" s="2275"/>
      <c r="AF29" s="2275"/>
      <c r="AG29" s="2275"/>
      <c r="AH29" s="2275"/>
      <c r="AI29" s="350"/>
      <c r="AJ29" s="350"/>
      <c r="AK29" s="304"/>
      <c r="AL29" s="392"/>
      <c r="AM29" s="392"/>
      <c r="AN29" s="392"/>
      <c r="AO29" s="392"/>
      <c r="AP29" s="392"/>
      <c r="AQ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43</v>
      </c>
      <c r="T30" s="2274"/>
      <c r="U30" s="1396"/>
      <c r="V30" s="2275" t="str">
        <f>IF(TITLE_IST_PUB_CHANGE="",IF(TITLE_IST_PUB="","",TITLE_IST_PUB),TITLE_IST_PUB_CHANGE)</f>
        <v/>
      </c>
      <c r="W30" s="2275"/>
      <c r="X30" s="2275"/>
      <c r="Y30" s="2275"/>
      <c r="Z30" s="2275"/>
      <c r="AA30" s="2275"/>
      <c r="AB30" s="350"/>
      <c r="AC30" s="2275" t="str">
        <f>IF(TITLE_IST_PUB_CHANGE="",IF(TITLE_IST_PUB="","",TITLE_IST_PUB),TITLE_IST_PUB_CHANGE)</f>
        <v/>
      </c>
      <c r="AD30" s="2275"/>
      <c r="AE30" s="2275"/>
      <c r="AF30" s="2275"/>
      <c r="AG30" s="2275"/>
      <c r="AH30" s="2275"/>
      <c r="AI30" s="350"/>
      <c r="AJ30" s="350"/>
      <c r="AK30" s="304"/>
      <c r="AL30" s="392"/>
      <c r="AM30" s="392"/>
      <c r="AN30" s="392"/>
      <c r="AO30" s="392"/>
      <c r="AP30" s="392"/>
      <c r="AQ30" s="442">
        <v>0</v>
      </c>
    </row>
    <row customHeight="1" ht="14.25" hidden="1">
      <c r="Q31" s="400"/>
      <c r="R31" s="400"/>
      <c r="S31" s="1299"/>
      <c r="T31" s="387"/>
      <c r="U31" s="387"/>
      <c r="V31" s="346"/>
      <c r="W31" s="346"/>
      <c r="X31" s="346"/>
      <c r="Y31" s="346"/>
      <c r="Z31" s="346"/>
      <c r="AA31" s="346"/>
      <c r="AB31" s="346"/>
      <c r="AC31" s="346"/>
      <c r="AD31" s="346"/>
      <c r="AE31" s="346"/>
      <c r="AF31" s="346"/>
      <c r="AG31" s="346"/>
      <c r="AH31" s="346"/>
      <c r="AI31" s="346"/>
      <c r="AJ31" s="533"/>
      <c r="AQ31" s="1179">
        <v>0</v>
      </c>
    </row>
    <row s="1877" customFormat="1" customHeight="1" ht="18.75" hidden="1">
      <c r="A32" s="1392"/>
      <c r="B32" s="1392"/>
      <c r="C32" s="1392"/>
      <c r="D32" s="1392"/>
      <c r="E32" s="1392"/>
      <c r="F32" s="1392"/>
      <c r="G32" s="1392"/>
      <c r="H32" s="1392"/>
      <c r="I32" s="1392"/>
      <c r="J32" s="1392"/>
      <c r="K32" s="1392"/>
      <c r="L32" s="1393"/>
      <c r="M32" s="1392"/>
      <c r="N32" s="1392"/>
      <c r="O32" s="1392"/>
      <c r="S32" s="2274" t="s">
        <v>509</v>
      </c>
      <c r="T32" s="2274"/>
      <c r="U32" s="1396"/>
      <c r="V32" s="2288" t="str">
        <f>IF(TITLE_DATE_PR_CHANGE="",IF(TITLE_DATE_PR="","",TITLE_DATE_PR),TITLE_DATE_PR_CHANGE)</f>
        <v/>
      </c>
      <c r="W32" s="2288"/>
      <c r="X32" s="2288"/>
      <c r="Y32" s="2288"/>
      <c r="Z32" s="2288"/>
      <c r="AA32" s="2288"/>
      <c r="AB32" s="350"/>
      <c r="AC32" s="2288" t="str">
        <f>IF(TITLE_DATE_PR_CHANGE="",IF(TITLE_DATE_PR="","",TITLE_DATE_PR),TITLE_DATE_PR_CHANGE)</f>
        <v/>
      </c>
      <c r="AD32" s="2288"/>
      <c r="AE32" s="2288"/>
      <c r="AF32" s="2288"/>
      <c r="AG32" s="2288"/>
      <c r="AH32" s="2288"/>
      <c r="AI32" s="350"/>
      <c r="AJ32" s="350"/>
      <c r="AK32" s="304"/>
      <c r="AL32" s="392"/>
      <c r="AM32" s="392"/>
      <c r="AN32" s="392"/>
      <c r="AO32" s="392"/>
      <c r="AP32" s="392"/>
      <c r="AQ32" s="442">
        <v>0</v>
      </c>
    </row>
    <row s="1877" customFormat="1" customHeight="1" ht="18.75" hidden="1">
      <c r="A33" s="1392"/>
      <c r="B33" s="1392"/>
      <c r="C33" s="1392"/>
      <c r="D33" s="1392"/>
      <c r="E33" s="1392"/>
      <c r="F33" s="1392"/>
      <c r="G33" s="1392"/>
      <c r="H33" s="1392"/>
      <c r="I33" s="1392"/>
      <c r="J33" s="1392"/>
      <c r="K33" s="1392"/>
      <c r="L33" s="1393"/>
      <c r="M33" s="1392"/>
      <c r="N33" s="1392"/>
      <c r="O33" s="1392"/>
      <c r="S33" s="2274" t="s">
        <v>510</v>
      </c>
      <c r="T33" s="2274"/>
      <c r="U33" s="1396"/>
      <c r="V33" s="2275" t="str">
        <f>IF(TITLE_NUMBER_PR_CHANGE="",IF(TITLE_NUMBER_PR="","",TITLE_NUMBER_PR),TITLE_NUMBER_PR_CHANGE)</f>
        <v/>
      </c>
      <c r="W33" s="2275"/>
      <c r="X33" s="2275"/>
      <c r="Y33" s="2275"/>
      <c r="Z33" s="2275"/>
      <c r="AA33" s="2275"/>
      <c r="AB33" s="350"/>
      <c r="AC33" s="2275" t="str">
        <f>IF(TITLE_NUMBER_PR_CHANGE="",IF(TITLE_NUMBER_PR="","",TITLE_NUMBER_PR),TITLE_NUMBER_PR_CHANGE)</f>
        <v/>
      </c>
      <c r="AD33" s="2275"/>
      <c r="AE33" s="2275"/>
      <c r="AF33" s="2275"/>
      <c r="AG33" s="2275"/>
      <c r="AH33" s="2275"/>
      <c r="AI33" s="350"/>
      <c r="AJ33" s="350"/>
      <c r="AK33" s="304"/>
      <c r="AL33" s="392"/>
      <c r="AM33" s="392"/>
      <c r="AN33" s="392"/>
      <c r="AO33" s="392"/>
      <c r="AP33" s="392"/>
      <c r="AQ33" s="442">
        <v>0</v>
      </c>
    </row>
    <row s="1877" customFormat="1" customHeight="1" ht="1.05">
      <c r="A34" s="1392"/>
      <c r="B34" s="1392"/>
      <c r="C34" s="1392"/>
      <c r="D34" s="1392"/>
      <c r="E34" s="1392"/>
      <c r="F34" s="1392"/>
      <c r="G34" s="1392"/>
      <c r="H34" s="1392"/>
      <c r="I34" s="1392"/>
      <c r="J34" s="1392"/>
      <c r="K34" s="1392"/>
      <c r="L34" s="1393"/>
      <c r="M34" s="1392"/>
      <c r="N34" s="1392"/>
      <c r="O34" s="1392"/>
      <c r="S34" s="347"/>
      <c r="T34" s="347"/>
      <c r="U34" s="1478"/>
      <c r="V34" s="350"/>
      <c r="W34" s="350"/>
      <c r="X34" s="350"/>
      <c r="Y34" s="350"/>
      <c r="Z34" s="350"/>
      <c r="AA34" s="350"/>
      <c r="AB34" s="302" t="s">
        <v>511</v>
      </c>
      <c r="AC34" s="350"/>
      <c r="AD34" s="350"/>
      <c r="AE34" s="350"/>
      <c r="AF34" s="350"/>
      <c r="AG34" s="350"/>
      <c r="AH34" s="350"/>
      <c r="AI34" s="302" t="s">
        <v>511</v>
      </c>
      <c r="AL34" s="392"/>
      <c r="AM34" s="392"/>
      <c r="AN34" s="392"/>
      <c r="AO34" s="392"/>
      <c r="AP34" s="392"/>
      <c r="AQ34" s="442">
        <v>1</v>
      </c>
    </row>
    <row customHeight="1" ht="14.699999999999998">
      <c r="Q35" s="400"/>
      <c r="R35" s="400"/>
      <c r="S35" s="1299"/>
      <c r="T35" s="387"/>
      <c r="U35" s="1268"/>
      <c r="V35" s="2276"/>
      <c r="W35" s="2276"/>
      <c r="X35" s="2276"/>
      <c r="Y35" s="2276"/>
      <c r="Z35" s="2276"/>
      <c r="AA35" s="2276"/>
      <c r="AB35" s="2276"/>
      <c r="AC35" s="2276"/>
      <c r="AD35" s="2276"/>
      <c r="AE35" s="2276"/>
      <c r="AF35" s="2276"/>
      <c r="AG35" s="2276"/>
      <c r="AH35" s="2276"/>
      <c r="AI35" s="2276"/>
      <c r="AQ35" s="1179">
        <v>14</v>
      </c>
    </row>
    <row customHeight="1" ht="14.699999999999998">
      <c r="Q36" s="400"/>
      <c r="R36" s="400"/>
      <c r="S36" s="2151" t="s">
        <v>384</v>
      </c>
      <c r="T36" s="2151"/>
      <c r="U36" s="2151"/>
      <c r="V36" s="2151"/>
      <c r="W36" s="2151"/>
      <c r="X36" s="2151"/>
      <c r="Y36" s="2151"/>
      <c r="Z36" s="2151"/>
      <c r="AA36" s="2151"/>
      <c r="AB36" s="2151"/>
      <c r="AC36" s="2151"/>
      <c r="AD36" s="2151"/>
      <c r="AE36" s="2151"/>
      <c r="AF36" s="2151"/>
      <c r="AG36" s="2151"/>
      <c r="AH36" s="2151"/>
      <c r="AI36" s="2151"/>
      <c r="AJ36" s="2151"/>
      <c r="AK36" s="2151" t="s">
        <v>385</v>
      </c>
      <c r="AQ36" s="1179">
        <v>14</v>
      </c>
    </row>
    <row customHeight="1" ht="14.699999999999998">
      <c r="Q37" s="400"/>
      <c r="R37" s="400"/>
      <c r="S37" s="2297" t="s">
        <v>88</v>
      </c>
      <c r="T37" s="2233" t="s">
        <v>512</v>
      </c>
      <c r="U37" s="325"/>
      <c r="V37" s="2298" t="s">
        <v>513</v>
      </c>
      <c r="W37" s="2299"/>
      <c r="X37" s="2299"/>
      <c r="Y37" s="2299"/>
      <c r="Z37" s="2299"/>
      <c r="AA37" s="2300"/>
      <c r="AB37" s="2301" t="s">
        <v>514</v>
      </c>
      <c r="AC37" s="2298" t="s">
        <v>513</v>
      </c>
      <c r="AD37" s="2299"/>
      <c r="AE37" s="2299"/>
      <c r="AF37" s="2299"/>
      <c r="AG37" s="2299"/>
      <c r="AH37" s="2300"/>
      <c r="AI37" s="2301" t="s">
        <v>515</v>
      </c>
      <c r="AJ37" s="2304" t="s">
        <v>516</v>
      </c>
      <c r="AK37" s="2151"/>
      <c r="AQ37" s="1179">
        <v>14</v>
      </c>
    </row>
    <row customHeight="1" ht="35.699999999999996">
      <c r="Q38" s="400"/>
      <c r="R38" s="400"/>
      <c r="S38" s="2297"/>
      <c r="T38" s="2233"/>
      <c r="U38" s="1055"/>
      <c r="V38" s="1476" t="s">
        <v>573</v>
      </c>
      <c r="W38" s="2286" t="s">
        <v>519</v>
      </c>
      <c r="X38" s="2287"/>
      <c r="Y38" s="2286" t="s">
        <v>520</v>
      </c>
      <c r="Z38" s="2293"/>
      <c r="AA38" s="2287"/>
      <c r="AB38" s="2302"/>
      <c r="AC38" s="1476" t="s">
        <v>573</v>
      </c>
      <c r="AD38" s="2286" t="s">
        <v>519</v>
      </c>
      <c r="AE38" s="2287"/>
      <c r="AF38" s="2286" t="s">
        <v>520</v>
      </c>
      <c r="AG38" s="2293"/>
      <c r="AH38" s="2287"/>
      <c r="AI38" s="2302"/>
      <c r="AJ38" s="2305"/>
      <c r="AK38" s="2151"/>
      <c r="AQ38" s="1179">
        <v>34</v>
      </c>
    </row>
    <row customHeight="1" ht="35.699999999999996">
      <c r="A39" s="1394"/>
      <c r="B39" s="1394" t="s">
        <v>223</v>
      </c>
      <c r="C39" s="1394" t="s">
        <v>224</v>
      </c>
      <c r="D39" s="1394" t="s">
        <v>225</v>
      </c>
      <c r="E39" s="1388" t="s">
        <v>521</v>
      </c>
      <c r="F39" s="1388" t="s">
        <v>522</v>
      </c>
      <c r="G39" s="1388" t="s">
        <v>523</v>
      </c>
      <c r="H39" s="1388"/>
      <c r="I39" s="1388" t="s">
        <v>574</v>
      </c>
      <c r="J39" s="1388" t="s">
        <v>526</v>
      </c>
      <c r="K39" s="1388" t="s">
        <v>575</v>
      </c>
      <c r="L39" s="1388" t="s">
        <v>502</v>
      </c>
      <c r="Q39" s="400"/>
      <c r="R39" s="400"/>
      <c r="S39" s="2297"/>
      <c r="T39" s="2233"/>
      <c r="U39" s="326"/>
      <c r="V39" s="1476" t="s">
        <v>576</v>
      </c>
      <c r="W39" s="1246" t="s">
        <v>577</v>
      </c>
      <c r="X39" s="1246" t="s">
        <v>578</v>
      </c>
      <c r="Y39" s="1479" t="s">
        <v>530</v>
      </c>
      <c r="Z39" s="2294" t="s">
        <v>531</v>
      </c>
      <c r="AA39" s="2295"/>
      <c r="AB39" s="2303"/>
      <c r="AC39" s="1476" t="s">
        <v>576</v>
      </c>
      <c r="AD39" s="1246" t="s">
        <v>577</v>
      </c>
      <c r="AE39" s="1246" t="s">
        <v>578</v>
      </c>
      <c r="AF39" s="1479" t="s">
        <v>530</v>
      </c>
      <c r="AG39" s="2294" t="s">
        <v>531</v>
      </c>
      <c r="AH39" s="2295"/>
      <c r="AI39" s="2303"/>
      <c r="AJ39" s="2306"/>
      <c r="AK39" s="2151"/>
      <c r="AQ39" s="1179">
        <v>34</v>
      </c>
    </row>
    <row s="1665" customFormat="1" customHeight="1" ht="0">
      <c r="A40" s="1394"/>
      <c r="B40" s="1394"/>
      <c r="C40" s="1394"/>
      <c r="D40" s="1394"/>
      <c r="E40" s="1394"/>
      <c r="F40" s="1394"/>
      <c r="G40" s="1394"/>
      <c r="H40" s="1394"/>
      <c r="I40" s="1394"/>
      <c r="J40" s="1394"/>
      <c r="K40" s="1394"/>
      <c r="L40" s="1388"/>
      <c r="M40" s="1386"/>
      <c r="N40" s="1386"/>
      <c r="O40" s="1386"/>
      <c r="P40" s="1270"/>
      <c r="Q40" s="1271"/>
      <c r="R40" s="1278">
        <v>1</v>
      </c>
      <c r="S40" s="1301" t="s">
        <v>170</v>
      </c>
      <c r="T40" s="1279" t="s">
        <v>103</v>
      </c>
      <c r="U40" s="1269" t="str">
        <f>OFFSET(U40,0,-1)</f>
        <v>2</v>
      </c>
      <c r="V40" s="1475">
        <f>OFFSET(V40,0,-1)+1</f>
        <v>3</v>
      </c>
      <c r="W40" s="1475">
        <f>OFFSET(W40,0,-1)+1</f>
        <v>4</v>
      </c>
      <c r="X40" s="1475">
        <f>OFFSET(X40,0,-1)+1</f>
        <v>5</v>
      </c>
      <c r="Y40" s="1475">
        <f>OFFSET(Y40,0,-1)+1</f>
        <v>6</v>
      </c>
      <c r="Z40" s="2296">
        <f>OFFSET(Z40,0,-1)+1</f>
        <v>7</v>
      </c>
      <c r="AA40" s="2296"/>
      <c r="AB40" s="1475">
        <f>OFFSET(AB40,0,-2)+1</f>
        <v>8</v>
      </c>
      <c r="AC40" s="1475">
        <f>OFFSET(AC40,0,-1)+1</f>
        <v>9</v>
      </c>
      <c r="AD40" s="1475">
        <f>OFFSET(AD40,0,-1)+1</f>
        <v>10</v>
      </c>
      <c r="AE40" s="1475">
        <f>OFFSET(AE40,0,-1)+1</f>
        <v>11</v>
      </c>
      <c r="AF40" s="1475">
        <f>OFFSET(AF40,0,-1)+1</f>
        <v>12</v>
      </c>
      <c r="AG40" s="2296">
        <f>OFFSET(AG40,0,-1)+1</f>
        <v>13</v>
      </c>
      <c r="AH40" s="2296"/>
      <c r="AI40" s="1475">
        <f>OFFSET(AI40,0,-2)+1</f>
        <v>14</v>
      </c>
      <c r="AJ40" s="1269">
        <f>OFFSET(AJ40,0,-1)</f>
        <v>14</v>
      </c>
      <c r="AK40" s="1475">
        <f>OFFSET(AK40,0,-1)+1</f>
        <v>15</v>
      </c>
      <c r="AL40" s="535"/>
      <c r="AM40" s="535"/>
      <c r="AN40" s="535"/>
      <c r="AO40" s="535"/>
      <c r="AP40" s="535"/>
      <c r="AQ40" s="520">
        <v>0</v>
      </c>
    </row>
    <row customHeight="1" ht="24">
      <c r="A41" s="1387" t="s">
        <v>325</v>
      </c>
      <c r="B41" s="1387"/>
      <c r="C41" s="1387"/>
      <c r="D41" s="1387"/>
      <c r="E41" s="2282">
        <v>1</v>
      </c>
      <c r="F41" s="1387"/>
      <c r="G41" s="1387"/>
      <c r="H41" s="1387"/>
      <c r="I41" s="1387"/>
      <c r="J41" s="1387"/>
      <c r="K41" s="1387"/>
      <c r="L41" s="1388"/>
      <c r="M41" s="1389"/>
      <c r="N41" s="1389"/>
      <c r="O41" s="1389"/>
      <c r="P41" s="385"/>
      <c r="Q41" s="384"/>
      <c r="R41" s="379"/>
      <c r="S41" s="1481">
        <f>INDEX(PT_DIFFERENTIATION_NUM_NTAR,MATCH(A41,PT_DIFFERENTIATION_NTAR_ID,0))</f>
        <v>0</v>
      </c>
      <c r="T41" s="322" t="s">
        <v>211</v>
      </c>
      <c r="U41" s="324"/>
      <c r="V41" s="2266"/>
      <c r="W41" s="2267"/>
      <c r="X41" s="2267"/>
      <c r="Y41" s="2267"/>
      <c r="Z41" s="2267"/>
      <c r="AA41" s="2267"/>
      <c r="AB41" s="2268"/>
      <c r="AC41" s="2266" t="str">
        <f>INDEX(PT_DIFFERENTIATION_NTAR,MATCH(A41,PT_DIFFERENTIATION_NTAR_ID,0))</f>
        <v/>
      </c>
      <c r="AD41" s="2267"/>
      <c r="AE41" s="2267"/>
      <c r="AF41" s="2267"/>
      <c r="AG41" s="2267"/>
      <c r="AH41" s="2267"/>
      <c r="AI41" s="2267"/>
      <c r="AJ41" s="2268"/>
      <c r="AK41"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24"/>
      <c r="AN41" s="524" t="str">
        <f>IF(T41="","",T41)</f>
        <v>Наименование тарифа</v>
      </c>
      <c r="AO41" s="524"/>
      <c r="AP41" s="524"/>
      <c r="AQ41" s="1179">
        <v>23</v>
      </c>
    </row>
    <row customHeight="1" ht="24">
      <c r="A42" s="1387" t="s">
        <v>325</v>
      </c>
      <c r="B42" s="1387" t="s">
        <v>326</v>
      </c>
      <c r="C42" s="1387"/>
      <c r="D42" s="1387"/>
      <c r="E42" s="2283"/>
      <c r="F42" s="2282">
        <v>1</v>
      </c>
      <c r="G42" s="1387"/>
      <c r="H42" s="1387"/>
      <c r="I42" s="1387"/>
      <c r="J42" s="1387"/>
      <c r="K42" s="1387"/>
      <c r="L42" s="1388"/>
      <c r="M42" s="1389"/>
      <c r="N42" s="1389"/>
      <c r="O42" s="1389"/>
      <c r="P42" s="1477"/>
      <c r="Q42" s="376"/>
      <c r="R42" s="377"/>
      <c r="S42" s="1481" t="str">
        <f>INDEX(PT_DIFFERENTIATION_NUM_TER,MATCH(B42,PT_DIFFERENTIATION_TER_ID,0))</f>
        <v>.</v>
      </c>
      <c r="T42" s="332" t="s">
        <v>481</v>
      </c>
      <c r="U42" s="324"/>
      <c r="V42" s="2266"/>
      <c r="W42" s="2267"/>
      <c r="X42" s="2267"/>
      <c r="Y42" s="2267"/>
      <c r="Z42" s="2267"/>
      <c r="AA42" s="2267"/>
      <c r="AB42" s="2268"/>
      <c r="AC42" s="2266" t="str">
        <f>INDEX(PT_DIFFERENTIATION_TER,MATCH(B42,PT_DIFFERENTIATION_TER_ID,0))</f>
        <v/>
      </c>
      <c r="AD42" s="2267"/>
      <c r="AE42" s="2267"/>
      <c r="AF42" s="2267"/>
      <c r="AG42" s="2267"/>
      <c r="AH42" s="2267"/>
      <c r="AI42" s="2267"/>
      <c r="AJ42" s="2268"/>
      <c r="AK42" s="1282" t="s">
        <v>482</v>
      </c>
      <c r="AM42" s="524"/>
      <c r="AN42" s="524" t="str">
        <f>IF(T42="","",T42)</f>
        <v>Территория действия тарифа</v>
      </c>
      <c r="AO42" s="524"/>
      <c r="AP42" s="524"/>
      <c r="AQ42" s="1179">
        <v>23</v>
      </c>
    </row>
    <row customHeight="1" ht="24">
      <c r="A43" s="1387" t="s">
        <v>325</v>
      </c>
      <c r="B43" s="1387" t="s">
        <v>326</v>
      </c>
      <c r="C43" s="1387" t="s">
        <v>327</v>
      </c>
      <c r="D43" s="1387"/>
      <c r="E43" s="2283"/>
      <c r="F43" s="2283"/>
      <c r="G43" s="2282">
        <v>1</v>
      </c>
      <c r="H43" s="1387"/>
      <c r="I43" s="1387"/>
      <c r="J43" s="1387"/>
      <c r="K43" s="1387"/>
      <c r="L43" s="1388"/>
      <c r="M43" s="1389"/>
      <c r="N43" s="1389"/>
      <c r="O43" s="1389"/>
      <c r="P43" s="378"/>
      <c r="Q43" s="376"/>
      <c r="R43" s="377"/>
      <c r="S43" s="1481" t="str">
        <f>INDEX(PT_DIFFERENTIATION_NUM_CS,MATCH(C43,PT_DIFFERENTIATION_CS_ID,0))</f>
        <v>..</v>
      </c>
      <c r="T43" s="333" t="s">
        <v>565</v>
      </c>
      <c r="U43" s="324"/>
      <c r="V43" s="2266"/>
      <c r="W43" s="2267"/>
      <c r="X43" s="2267"/>
      <c r="Y43" s="2267"/>
      <c r="Z43" s="2267"/>
      <c r="AA43" s="2267"/>
      <c r="AB43" s="2268"/>
      <c r="AC43" s="2266" t="str">
        <f>INDEX(PT_DIFFERENTIATION_CS,MATCH(C43,PT_DIFFERENTIATION_CS_ID,0))</f>
        <v/>
      </c>
      <c r="AD43" s="2267"/>
      <c r="AE43" s="2267"/>
      <c r="AF43" s="2267"/>
      <c r="AG43" s="2267"/>
      <c r="AH43" s="2267"/>
      <c r="AI43" s="2267"/>
      <c r="AJ43" s="2268"/>
      <c r="AK43" s="1282" t="s">
        <v>566</v>
      </c>
      <c r="AM43" s="524"/>
      <c r="AN43" s="524" t="str">
        <f>IF(T43="","",T43)</f>
        <v>Наименование централизованной системы холодного водоснабжения</v>
      </c>
      <c r="AO43" s="524"/>
      <c r="AP43" s="524"/>
      <c r="AQ43" s="1179">
        <v>23</v>
      </c>
    </row>
    <row customHeight="1" ht="24">
      <c r="A44" s="1387" t="s">
        <v>325</v>
      </c>
      <c r="B44" s="1387" t="s">
        <v>326</v>
      </c>
      <c r="C44" s="1387" t="s">
        <v>327</v>
      </c>
      <c r="D44" s="1387" t="s">
        <v>582</v>
      </c>
      <c r="E44" s="2283"/>
      <c r="F44" s="2283"/>
      <c r="G44" s="2283"/>
      <c r="H44" s="2283"/>
      <c r="I44" s="2280" t="str">
        <f>S43&amp;".1"</f>
        <v>...1</v>
      </c>
      <c r="J44" s="1387"/>
      <c r="K44" s="1387"/>
      <c r="L44" s="1388"/>
      <c r="P44" s="2281">
        <v>1</v>
      </c>
      <c r="Q44" s="1474"/>
      <c r="R44" s="380"/>
      <c r="S44" s="1481" t="str">
        <f>$I44</f>
        <v>...1</v>
      </c>
      <c r="T44" s="309" t="s">
        <v>567</v>
      </c>
      <c r="U44" s="324"/>
      <c r="V44" s="2374"/>
      <c r="W44" s="2375"/>
      <c r="X44" s="2375"/>
      <c r="Y44" s="2375"/>
      <c r="Z44" s="2375"/>
      <c r="AA44" s="2375"/>
      <c r="AB44" s="2376"/>
      <c r="AC44" s="2377"/>
      <c r="AD44" s="2378"/>
      <c r="AE44" s="2378"/>
      <c r="AF44" s="2378"/>
      <c r="AG44" s="2378"/>
      <c r="AH44" s="2378"/>
      <c r="AI44" s="2378"/>
      <c r="AJ44" s="2379"/>
      <c r="AK44" s="1282" t="s">
        <v>568</v>
      </c>
      <c r="AM44" s="524"/>
      <c r="AN44" s="524" t="str">
        <f>IF(T44="","",T44)</f>
        <v>Наименование признака дифференциации</v>
      </c>
      <c r="AO44" s="524"/>
      <c r="AP44" s="524"/>
      <c r="AQ44" s="1179">
        <v>23</v>
      </c>
    </row>
    <row customHeight="1" ht="24">
      <c r="A45" s="1387" t="s">
        <v>325</v>
      </c>
      <c r="B45" s="1387" t="s">
        <v>326</v>
      </c>
      <c r="C45" s="1387" t="s">
        <v>327</v>
      </c>
      <c r="D45" s="1387" t="s">
        <v>582</v>
      </c>
      <c r="E45" s="2283"/>
      <c r="F45" s="2283"/>
      <c r="G45" s="2283"/>
      <c r="H45" s="2283"/>
      <c r="I45" s="2310"/>
      <c r="J45" s="2280" t="str">
        <f>I44&amp;".1"</f>
        <v>...1.1</v>
      </c>
      <c r="K45" s="1387"/>
      <c r="L45" s="1388" t="s">
        <v>490</v>
      </c>
      <c r="P45" s="2281"/>
      <c r="Q45" s="2281">
        <v>1</v>
      </c>
      <c r="R45" s="381"/>
      <c r="S45" s="1481" t="str">
        <f>$J45</f>
        <v>...1.1</v>
      </c>
      <c r="T45" s="310" t="s">
        <v>491</v>
      </c>
      <c r="U45" s="324"/>
      <c r="V45" s="2269"/>
      <c r="W45" s="2270"/>
      <c r="X45" s="2270"/>
      <c r="Y45" s="2270"/>
      <c r="Z45" s="2270"/>
      <c r="AA45" s="2270"/>
      <c r="AB45" s="2271"/>
      <c r="AC45" s="2269"/>
      <c r="AD45" s="2270"/>
      <c r="AE45" s="2270"/>
      <c r="AF45" s="2270"/>
      <c r="AG45" s="2270"/>
      <c r="AH45" s="2270"/>
      <c r="AI45" s="2270"/>
      <c r="AJ45" s="2271"/>
      <c r="AK45" s="1331" t="s">
        <v>569</v>
      </c>
      <c r="AM45" s="524"/>
      <c r="AN45" s="524" t="str">
        <f>IF(T45="","",T45)</f>
        <v>Группа потребителей</v>
      </c>
      <c r="AO45" s="524"/>
      <c r="AP45" s="524"/>
      <c r="AQ45" s="1179">
        <v>23</v>
      </c>
    </row>
    <row customHeight="1" ht="24">
      <c r="A46" s="1387" t="s">
        <v>325</v>
      </c>
      <c r="B46" s="1387" t="s">
        <v>326</v>
      </c>
      <c r="C46" s="1387" t="s">
        <v>327</v>
      </c>
      <c r="D46" s="1387" t="s">
        <v>582</v>
      </c>
      <c r="E46" s="2283"/>
      <c r="F46" s="2283"/>
      <c r="G46" s="2283"/>
      <c r="H46" s="2283"/>
      <c r="I46" s="2310"/>
      <c r="J46" s="2310"/>
      <c r="K46" s="2280" t="str">
        <f>J45&amp;".1"</f>
        <v>...1.1.1</v>
      </c>
      <c r="L46" s="1388"/>
      <c r="P46" s="2281"/>
      <c r="Q46" s="2281"/>
      <c r="R46" s="381">
        <v>1</v>
      </c>
      <c r="S46" s="1481" t="str">
        <f>$K46</f>
        <v>...1.1.1</v>
      </c>
      <c r="T46" s="1461"/>
      <c r="U46" s="324"/>
      <c r="V46" s="775"/>
      <c r="W46" s="775"/>
      <c r="X46" s="1281"/>
      <c r="Y46" s="2289"/>
      <c r="Z46" s="2131" t="s">
        <v>66</v>
      </c>
      <c r="AA46" s="2289"/>
      <c r="AB46" s="2131" t="s">
        <v>66</v>
      </c>
      <c r="AC46" s="775"/>
      <c r="AD46" s="775"/>
      <c r="AE46" s="1281"/>
      <c r="AF46" s="2289"/>
      <c r="AG46" s="2131" t="s">
        <v>66</v>
      </c>
      <c r="AH46" s="2311"/>
      <c r="AI46" s="2131" t="s">
        <v>66</v>
      </c>
      <c r="AJ46" s="1462"/>
      <c r="AK46"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35">
        <f>STRCHECKDATE(V47:AJ47)</f>
      </c>
      <c r="AM46" s="524"/>
      <c r="AN46" s="524" t="str">
        <f>IF(T46="","",T46)</f>
        <v/>
      </c>
      <c r="AO46" s="524"/>
      <c r="AP46" s="524"/>
      <c r="AQ46" s="1179">
        <v>23</v>
      </c>
    </row>
    <row customHeight="1" ht="0">
      <c r="A47" s="1387" t="s">
        <v>325</v>
      </c>
      <c r="B47" s="1387" t="s">
        <v>326</v>
      </c>
      <c r="C47" s="1387" t="s">
        <v>327</v>
      </c>
      <c r="D47" s="1387" t="s">
        <v>582</v>
      </c>
      <c r="E47" s="2283"/>
      <c r="F47" s="2283"/>
      <c r="G47" s="2283"/>
      <c r="H47" s="2283"/>
      <c r="I47" s="2310"/>
      <c r="J47" s="2310"/>
      <c r="K47" s="2280"/>
      <c r="L47" s="1388"/>
      <c r="P47" s="2281"/>
      <c r="Q47" s="2281"/>
      <c r="R47" s="381"/>
      <c r="S47" s="1480"/>
      <c r="T47" s="324"/>
      <c r="U47" s="324"/>
      <c r="V47" s="349"/>
      <c r="W47" s="349"/>
      <c r="X47" s="352" t="str">
        <f>Y46&amp;"-"&amp;AA46</f>
        <v>-</v>
      </c>
      <c r="Y47" s="2290"/>
      <c r="Z47" s="2131"/>
      <c r="AA47" s="2290"/>
      <c r="AB47" s="2131"/>
      <c r="AC47" s="349"/>
      <c r="AD47" s="349"/>
      <c r="AE47" s="352" t="str">
        <f>AF46&amp;"-"&amp;AH46</f>
        <v>-</v>
      </c>
      <c r="AF47" s="2290"/>
      <c r="AG47" s="2131"/>
      <c r="AH47" s="2312"/>
      <c r="AI47" s="2131"/>
      <c r="AJ47" s="1463"/>
      <c r="AK47" s="2373"/>
      <c r="AM47" s="524"/>
      <c r="AN47" s="524" t="str">
        <f>IF(T47="","",T47)</f>
        <v/>
      </c>
      <c r="AO47" s="524"/>
      <c r="AP47" s="524"/>
      <c r="AQ47" s="1179">
        <v>0</v>
      </c>
    </row>
    <row customHeight="1" ht="21">
      <c r="A48" s="1387" t="s">
        <v>325</v>
      </c>
      <c r="B48" s="1387" t="s">
        <v>326</v>
      </c>
      <c r="C48" s="1387" t="s">
        <v>327</v>
      </c>
      <c r="D48" s="1387" t="s">
        <v>582</v>
      </c>
      <c r="E48" s="2283"/>
      <c r="F48" s="2283"/>
      <c r="G48" s="2283"/>
      <c r="H48" s="2283"/>
      <c r="I48" s="2310"/>
      <c r="J48" s="2280"/>
      <c r="K48" s="1387"/>
      <c r="L48" s="1388"/>
      <c r="P48" s="2281"/>
      <c r="Q48" s="2281"/>
      <c r="R48" s="380"/>
      <c r="S48" s="1302"/>
      <c r="T48" s="311" t="s">
        <v>570</v>
      </c>
      <c r="U48" s="391"/>
      <c r="V48" s="391"/>
      <c r="W48" s="391"/>
      <c r="X48" s="391"/>
      <c r="Y48" s="391"/>
      <c r="Z48" s="391"/>
      <c r="AA48" s="391"/>
      <c r="AB48" s="391"/>
      <c r="AC48" s="391"/>
      <c r="AD48" s="391"/>
      <c r="AE48" s="391"/>
      <c r="AF48" s="391"/>
      <c r="AG48" s="391"/>
      <c r="AH48" s="391"/>
      <c r="AI48" s="391"/>
      <c r="AJ48" s="391"/>
      <c r="AK48" s="1282" t="s">
        <v>571</v>
      </c>
      <c r="AM48" s="524"/>
      <c r="AN48" s="524" t="str">
        <f>IF(T48="","",T48)</f>
        <v>Добавить значение признака дифференциации</v>
      </c>
      <c r="AO48" s="524"/>
      <c r="AP48" s="524"/>
      <c r="AQ48" s="1179">
        <v>20</v>
      </c>
    </row>
    <row customHeight="1" ht="22.049999999999997">
      <c r="A49" s="1387" t="s">
        <v>325</v>
      </c>
      <c r="B49" s="1387" t="s">
        <v>326</v>
      </c>
      <c r="C49" s="1387" t="s">
        <v>327</v>
      </c>
      <c r="D49" s="1387" t="s">
        <v>582</v>
      </c>
      <c r="E49" s="2283"/>
      <c r="F49" s="2283"/>
      <c r="G49" s="2283"/>
      <c r="H49" s="2283"/>
      <c r="I49" s="2280"/>
      <c r="J49" s="1387"/>
      <c r="K49" s="1387"/>
      <c r="L49" s="1388"/>
      <c r="P49" s="2281"/>
      <c r="Q49" s="1474"/>
      <c r="R49" s="380"/>
      <c r="S49" s="1302"/>
      <c r="T49" s="389" t="s">
        <v>496</v>
      </c>
      <c r="U49" s="391"/>
      <c r="V49" s="391"/>
      <c r="W49" s="391"/>
      <c r="X49" s="391"/>
      <c r="Y49" s="391"/>
      <c r="Z49" s="391"/>
      <c r="AA49" s="391"/>
      <c r="AB49" s="390"/>
      <c r="AC49" s="391"/>
      <c r="AD49" s="391"/>
      <c r="AE49" s="391"/>
      <c r="AF49" s="391"/>
      <c r="AG49" s="391"/>
      <c r="AH49" s="391"/>
      <c r="AI49" s="390"/>
      <c r="AJ49" s="391"/>
      <c r="AK49" s="1464"/>
      <c r="AM49" s="524"/>
      <c r="AN49" s="524" t="str">
        <f>IF(T49="","",T49)</f>
        <v>Добавить группу потребителей</v>
      </c>
      <c r="AO49" s="524"/>
      <c r="AP49" s="524"/>
      <c r="AQ49" s="1179">
        <v>21</v>
      </c>
    </row>
    <row customHeight="1" ht="22.049999999999997">
      <c r="A50" s="1387" t="s">
        <v>325</v>
      </c>
      <c r="B50" s="1387" t="s">
        <v>326</v>
      </c>
      <c r="C50" s="1387" t="s">
        <v>327</v>
      </c>
      <c r="D50" s="1387" t="s">
        <v>582</v>
      </c>
      <c r="E50" s="2283"/>
      <c r="F50" s="2283"/>
      <c r="G50" s="2283"/>
      <c r="H50" s="2282"/>
      <c r="I50" s="1387"/>
      <c r="J50" s="1387"/>
      <c r="K50" s="1387"/>
      <c r="L50" s="1388"/>
      <c r="M50" s="1389"/>
      <c r="N50" s="1389"/>
      <c r="O50" s="561"/>
      <c r="P50" s="384"/>
      <c r="Q50" s="399"/>
      <c r="R50" s="379"/>
      <c r="S50" s="1302"/>
      <c r="T50" s="396" t="s">
        <v>572</v>
      </c>
      <c r="U50" s="391"/>
      <c r="V50" s="391"/>
      <c r="W50" s="391"/>
      <c r="X50" s="391"/>
      <c r="Y50" s="391"/>
      <c r="Z50" s="391"/>
      <c r="AA50" s="391"/>
      <c r="AB50" s="390"/>
      <c r="AC50" s="391"/>
      <c r="AD50" s="391"/>
      <c r="AE50" s="391"/>
      <c r="AF50" s="391"/>
      <c r="AG50" s="391"/>
      <c r="AH50" s="391"/>
      <c r="AI50" s="390"/>
      <c r="AJ50" s="391"/>
      <c r="AK50" s="327"/>
      <c r="AM50" s="524"/>
      <c r="AN50" s="524" t="str">
        <f>IF(T50="","",T50)</f>
        <v>Добавить наименование признака дифференциации</v>
      </c>
      <c r="AO50" s="524"/>
      <c r="AP50" s="524"/>
      <c r="AQ50" s="1179">
        <v>21</v>
      </c>
    </row>
    <row s="1666" customFormat="1" customHeight="1" ht="0">
      <c r="A51" s="1367" t="s">
        <v>325</v>
      </c>
      <c r="B51" s="1367" t="s">
        <v>326</v>
      </c>
      <c r="C51" s="1338"/>
      <c r="D51" s="1338"/>
      <c r="E51" s="2283"/>
      <c r="F51" s="2282"/>
      <c r="G51" s="1338"/>
      <c r="H51" s="1338"/>
      <c r="I51" s="1338"/>
      <c r="J51" s="1338"/>
      <c r="K51" s="1338"/>
      <c r="L51" s="1482"/>
      <c r="M51" s="1345"/>
      <c r="N51" s="1345"/>
      <c r="P51" s="1340"/>
      <c r="Q51" s="1341"/>
      <c r="R51" s="1340"/>
      <c r="S51" s="1346"/>
      <c r="T51" s="1349" t="s">
        <v>499</v>
      </c>
      <c r="U51" s="1348"/>
      <c r="V51" s="1348"/>
      <c r="W51" s="1348"/>
      <c r="X51" s="1348"/>
      <c r="Y51" s="1348"/>
      <c r="Z51" s="1348"/>
      <c r="AA51" s="1348"/>
      <c r="AB51" s="1348"/>
      <c r="AC51" s="1348"/>
      <c r="AD51" s="1348"/>
      <c r="AE51" s="1348"/>
      <c r="AF51" s="1348"/>
      <c r="AG51" s="1348"/>
      <c r="AH51" s="1348"/>
      <c r="AI51" s="1348"/>
      <c r="AJ51" s="1348"/>
      <c r="AK51" s="1348"/>
      <c r="AM51" s="813"/>
      <c r="AN51" s="813" t="str">
        <f>IF(T51="","",T51)</f>
        <v>Добавить централизованную систему для дифференциации</v>
      </c>
      <c r="AO51" s="813"/>
      <c r="AP51" s="813"/>
      <c r="AQ51" s="542">
        <v>0</v>
      </c>
    </row>
    <row s="1666" customFormat="1" customHeight="1" ht="0">
      <c r="A52" s="1367" t="s">
        <v>325</v>
      </c>
      <c r="B52" s="1367"/>
      <c r="C52" s="1367"/>
      <c r="D52" s="1367"/>
      <c r="E52" s="2282"/>
      <c r="F52" s="1367"/>
      <c r="G52" s="1367"/>
      <c r="H52" s="1367"/>
      <c r="I52" s="1367"/>
      <c r="J52" s="1367"/>
      <c r="K52" s="1367"/>
      <c r="L52" s="1370"/>
      <c r="M52" s="1345"/>
      <c r="N52" s="1345"/>
      <c r="O52" s="542"/>
      <c r="P52" s="404"/>
      <c r="Q52" s="1368"/>
      <c r="R52" s="404"/>
      <c r="S52" s="1346"/>
      <c r="T52" s="1349" t="s">
        <v>500</v>
      </c>
      <c r="U52" s="1348"/>
      <c r="V52" s="1348"/>
      <c r="W52" s="1348"/>
      <c r="X52" s="1348"/>
      <c r="Y52" s="1348"/>
      <c r="Z52" s="1348"/>
      <c r="AA52" s="1348"/>
      <c r="AB52" s="1348"/>
      <c r="AC52" s="1348"/>
      <c r="AD52" s="1348"/>
      <c r="AE52" s="1348"/>
      <c r="AF52" s="1348"/>
      <c r="AG52" s="1348"/>
      <c r="AH52" s="1348"/>
      <c r="AI52" s="1348"/>
      <c r="AJ52" s="1348"/>
      <c r="AK52" s="1348"/>
      <c r="AM52" s="524"/>
      <c r="AN52" s="524" t="str">
        <f>IF(T52="","",T52)</f>
        <v>Добавить территорию для дифференциации</v>
      </c>
      <c r="AO52" s="524"/>
      <c r="AP52" s="524"/>
      <c r="AQ52" s="535">
        <v>0</v>
      </c>
    </row>
    <row s="1666" customFormat="1" customHeight="1" ht="0">
      <c r="A53" s="1338"/>
      <c r="B53" s="1338"/>
      <c r="C53" s="1338"/>
      <c r="D53" s="1338"/>
      <c r="E53" s="1367"/>
      <c r="F53" s="1338"/>
      <c r="G53" s="1338"/>
      <c r="H53" s="1338"/>
      <c r="I53" s="1338"/>
      <c r="J53" s="1338"/>
      <c r="K53" s="1338"/>
      <c r="L53" s="1482"/>
      <c r="M53" s="1345"/>
      <c r="N53" s="1345"/>
      <c r="P53" s="1340"/>
      <c r="Q53" s="1341"/>
      <c r="R53" s="1340"/>
      <c r="S53" s="1346"/>
      <c r="T53" s="1349" t="s">
        <v>532</v>
      </c>
      <c r="U53" s="1348"/>
      <c r="V53" s="1348"/>
      <c r="W53" s="1348"/>
      <c r="X53" s="1348"/>
      <c r="Y53" s="1348"/>
      <c r="Z53" s="1348"/>
      <c r="AA53" s="1348"/>
      <c r="AB53" s="1348"/>
      <c r="AC53" s="1348"/>
      <c r="AD53" s="1348"/>
      <c r="AE53" s="1348"/>
      <c r="AF53" s="1348"/>
      <c r="AG53" s="1348"/>
      <c r="AH53" s="1348"/>
      <c r="AI53" s="1348"/>
      <c r="AJ53" s="1348"/>
      <c r="AK53" s="1348"/>
      <c r="AM53" s="813"/>
      <c r="AN53" s="813" t="str">
        <f>IF(T53="","",T53)</f>
        <v>Добавить наименование тарифа</v>
      </c>
      <c r="AO53" s="813"/>
      <c r="AP53" s="813"/>
      <c r="AQ53" s="542">
        <v>0</v>
      </c>
    </row>
    <row customHeight="1" ht="11.549999999999999">
      <c r="M54" s="1184"/>
      <c r="N54" s="1184"/>
      <c r="O54" s="561"/>
      <c r="P54" s="1179"/>
      <c r="Q54" s="1179"/>
      <c r="R54" s="1179"/>
      <c r="S54" s="1179"/>
      <c r="AL54" s="1179"/>
      <c r="AM54" s="1179"/>
      <c r="AN54" s="1179"/>
      <c r="AO54" s="1179"/>
      <c r="AP54" s="1179"/>
      <c r="AQ54" s="1179">
        <v>11</v>
      </c>
    </row>
    <row customHeight="1" ht="14.699999999999998">
      <c r="O55" s="561"/>
      <c r="S55" s="1277"/>
      <c r="T55" s="2309"/>
      <c r="U55" s="2309"/>
      <c r="V55" s="2309"/>
      <c r="W55" s="2309"/>
      <c r="X55" s="2309"/>
      <c r="Y55" s="2309"/>
      <c r="Z55" s="2309"/>
      <c r="AA55" s="2309"/>
      <c r="AB55" s="2309"/>
      <c r="AC55" s="2309"/>
      <c r="AD55" s="2309"/>
      <c r="AE55" s="2309"/>
      <c r="AF55" s="2309"/>
      <c r="AG55" s="2309"/>
      <c r="AH55" s="2309"/>
      <c r="AI55" s="2309"/>
      <c r="AJ55" s="2309"/>
      <c r="AK55" s="2309"/>
      <c r="AQ55" s="1179">
        <v>14</v>
      </c>
    </row>
    <row customHeight="1" ht="14.699999999999998">
      <c r="O56" s="561"/>
      <c r="AQ56" s="1179">
        <v>14</v>
      </c>
    </row>
    <row customHeight="1" ht="14.699999999999998">
      <c r="O57" s="561"/>
      <c r="S57" s="1277"/>
      <c r="T57" s="2309"/>
      <c r="U57" s="2309"/>
      <c r="V57" s="2309"/>
      <c r="W57" s="2309"/>
      <c r="X57" s="2309"/>
      <c r="Y57" s="2309"/>
      <c r="Z57" s="2309"/>
      <c r="AA57" s="2309"/>
      <c r="AB57" s="2309"/>
      <c r="AC57" s="2309"/>
      <c r="AD57" s="2309"/>
      <c r="AE57" s="2309"/>
      <c r="AF57" s="2309"/>
      <c r="AG57" s="2309"/>
      <c r="AH57" s="2309"/>
      <c r="AI57" s="2309"/>
      <c r="AJ57" s="2309"/>
      <c r="AK57" s="2309"/>
      <c r="AQ57" s="1179">
        <v>14</v>
      </c>
    </row>
    <row customHeight="1" ht="22.5" hidden="1">
      <c r="A58" s="1184" t="s">
        <v>82</v>
      </c>
      <c r="B58" s="1184">
        <v>0</v>
      </c>
      <c r="C58" s="1184">
        <v>0</v>
      </c>
      <c r="D58" s="1184">
        <v>0</v>
      </c>
      <c r="E58" s="1184">
        <v>0</v>
      </c>
      <c r="F58" s="1184">
        <v>0</v>
      </c>
      <c r="G58" s="1184">
        <v>0</v>
      </c>
      <c r="H58" s="1184">
        <v>0</v>
      </c>
      <c r="I58" s="1184">
        <v>0</v>
      </c>
      <c r="J58" s="1184">
        <v>0</v>
      </c>
      <c r="K58" s="1184">
        <v>0</v>
      </c>
      <c r="L58" s="1471">
        <v>0</v>
      </c>
      <c r="M58" s="1386">
        <v>0</v>
      </c>
      <c r="N58" s="1386">
        <v>0</v>
      </c>
      <c r="O58" s="1386">
        <v>0</v>
      </c>
      <c r="P58" s="1470">
        <v>3</v>
      </c>
      <c r="Q58" s="368">
        <v>3</v>
      </c>
      <c r="R58" s="368">
        <v>3</v>
      </c>
      <c r="S58" s="605">
        <v>12</v>
      </c>
      <c r="T58" s="1179">
        <v>35</v>
      </c>
      <c r="U58" s="1179">
        <v>0</v>
      </c>
      <c r="V58" s="1179">
        <v>0</v>
      </c>
      <c r="W58" s="1179">
        <v>0</v>
      </c>
      <c r="X58" s="1179">
        <v>0</v>
      </c>
      <c r="Y58" s="1179">
        <v>0</v>
      </c>
      <c r="Z58" s="1179">
        <v>0</v>
      </c>
      <c r="AA58" s="1179">
        <v>0</v>
      </c>
      <c r="AB58" s="1179">
        <v>0</v>
      </c>
      <c r="AC58" s="1179">
        <v>24</v>
      </c>
      <c r="AD58" s="1179">
        <v>24</v>
      </c>
      <c r="AE58" s="1179">
        <v>24</v>
      </c>
      <c r="AF58" s="1179">
        <v>11</v>
      </c>
      <c r="AG58" s="1179">
        <v>3</v>
      </c>
      <c r="AH58" s="1179">
        <v>11</v>
      </c>
      <c r="AI58" s="1179">
        <v>0</v>
      </c>
      <c r="AJ58" s="1179">
        <v>4</v>
      </c>
      <c r="AK58" s="1179">
        <v>115</v>
      </c>
      <c r="AL58" s="535">
        <v>10</v>
      </c>
      <c r="AM58" s="535">
        <v>10</v>
      </c>
      <c r="AN58" s="535">
        <v>10</v>
      </c>
      <c r="AO58" s="535">
        <v>10</v>
      </c>
      <c r="AP58" s="535">
        <v>10</v>
      </c>
      <c r="AQ58" s="1179">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86A8B-2F54-07AE-820E-0.BE2B1D62}"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59" width="10.140625" hidden="1" customWidth="1"/>
    <col min="4" max="4" style="1659" width="11.8515625" hidden="1" customWidth="1"/>
    <col min="5" max="11" style="1659" width="10.140625" hidden="1" customWidth="1"/>
    <col min="12" max="12" style="2149" width="10.140625" hidden="1" customWidth="1"/>
    <col min="13" max="15" style="2421" width="10.140625" hidden="1" customWidth="1"/>
    <col min="16" max="16" style="1800" width="3.00390625" customWidth="1"/>
    <col min="17" max="17" style="1395" width="3.00390625" customWidth="1"/>
    <col min="18" max="18" style="368" width="3.00390625" customWidth="1"/>
    <col min="19" max="19" style="2431" width="12.00390625" customWidth="1"/>
    <col min="20" max="20" style="1659" width="31.00390625" customWidth="1"/>
    <col min="21" max="21" style="1659" width="0.140625" customWidth="1"/>
    <col min="22" max="23" style="1659" width="21.7109375" hidden="1" customWidth="1"/>
    <col min="24" max="24" style="1659" width="11.7109375" hidden="1" customWidth="1"/>
    <col min="25" max="25" style="1659" width="3.7109375" hidden="1" customWidth="1"/>
    <col min="26" max="26" style="1659" width="11.7109375" hidden="1" customWidth="1"/>
    <col min="27" max="27" style="1659" width="8.57421875" hidden="1" customWidth="1"/>
    <col min="28" max="28" style="1659" width="27.00390625" customWidth="1"/>
    <col min="29" max="29" style="1659" width="24.57421875" customWidth="1"/>
    <col min="30" max="31" style="1659" width="21.00390625" customWidth="1"/>
    <col min="32" max="32" style="1659" width="11.00390625" customWidth="1"/>
    <col min="33" max="33" style="1659" width="3.7109375" customWidth="1"/>
    <col min="34" max="34" style="1659" width="11.00390625" customWidth="1"/>
    <col min="35" max="35" style="1659" width="8.57421875" hidden="1" customWidth="1"/>
    <col min="36" max="36" style="1659" width="4.00390625" customWidth="1"/>
    <col min="37" max="37" style="1659" width="115.00390625" customWidth="1"/>
    <col min="38" max="42" style="1666" width="10.00390625" customWidth="1"/>
    <col min="43" max="43" style="1659" width="10.57421875" hidden="1"/>
  </cols>
  <sheetData>
    <row customHeight="1" ht="0.75" hidden="1">
      <c r="AQ1" s="1655" t="s">
        <v>14</v>
      </c>
    </row>
    <row customHeight="1" ht="21" hidden="1">
      <c r="A2" s="1291"/>
      <c r="B2" s="1291"/>
      <c r="C2" s="1291"/>
      <c r="D2" s="1291"/>
      <c r="E2" s="2313">
        <v>1</v>
      </c>
      <c r="F2" s="1291"/>
      <c r="G2" s="1291"/>
      <c r="H2" s="1291"/>
      <c r="I2" s="1291"/>
      <c r="J2" s="1291"/>
      <c r="K2" s="1291"/>
      <c r="L2" s="1334"/>
      <c r="M2" s="1634"/>
      <c r="N2" s="1634"/>
      <c r="O2" s="1634"/>
      <c r="P2" s="1433"/>
      <c r="Q2" s="897"/>
      <c r="R2" s="379"/>
      <c r="S2" s="1982">
        <f>INDEX(PT_DIFFERENTIATION_NUM_NTAR,MATCH(A2,PT_DIFFERENTIATION_NTAR_ID,0))</f>
      </c>
      <c r="T2" s="1549" t="s">
        <v>211</v>
      </c>
      <c r="U2" s="324"/>
      <c r="V2" s="2267"/>
      <c r="W2" s="2267"/>
      <c r="X2" s="2267"/>
      <c r="Y2" s="2267"/>
      <c r="Z2" s="2267"/>
      <c r="AA2" s="2268"/>
      <c r="AB2" s="1976"/>
      <c r="AC2" s="2267">
        <f>INDEX(PT_DIFFERENTIATION_NTAR,MATCH(A2,PT_DIFFERENTIATION_NTAR_ID,0))</f>
      </c>
      <c r="AD2" s="2267"/>
      <c r="AE2" s="2267"/>
      <c r="AF2" s="2267"/>
      <c r="AG2" s="2267"/>
      <c r="AH2" s="2267"/>
      <c r="AI2" s="2267"/>
      <c r="AJ2" s="2268"/>
      <c r="AK2" s="1282" t="s">
        <v>480</v>
      </c>
      <c r="AM2" s="1648"/>
      <c r="AN2" s="1648" t="str">
        <f>IF(T2="","",T2)</f>
        <v>Наименование тарифа</v>
      </c>
      <c r="AO2" s="1648"/>
      <c r="AP2" s="1648"/>
      <c r="AQ2" s="1655">
        <v>0</v>
      </c>
    </row>
    <row customHeight="1" ht="21" hidden="1">
      <c r="A3" s="1291"/>
      <c r="B3" s="1291"/>
      <c r="C3" s="1291"/>
      <c r="D3" s="1291"/>
      <c r="E3" s="2314"/>
      <c r="F3" s="2313">
        <v>1</v>
      </c>
      <c r="G3" s="1291"/>
      <c r="H3" s="1291"/>
      <c r="I3" s="1291"/>
      <c r="J3" s="1291"/>
      <c r="K3" s="1291"/>
      <c r="L3" s="1334"/>
      <c r="M3" s="1634"/>
      <c r="N3" s="1634"/>
      <c r="O3" s="1634"/>
      <c r="P3" s="1993"/>
      <c r="Q3" s="1435"/>
      <c r="R3" s="377"/>
      <c r="S3" s="1982">
        <f>INDEX(PT_DIFFERENTIATION_NUM_TER,MATCH(B3,PT_DIFFERENTIATION_TER_ID,0))</f>
      </c>
      <c r="T3" s="1546" t="s">
        <v>481</v>
      </c>
      <c r="U3" s="324"/>
      <c r="V3" s="2267"/>
      <c r="W3" s="2267"/>
      <c r="X3" s="2267"/>
      <c r="Y3" s="2267"/>
      <c r="Z3" s="2267"/>
      <c r="AA3" s="2268"/>
      <c r="AB3" s="1976"/>
      <c r="AC3" s="2267">
        <f>INDEX(PT_DIFFERENTIATION_TER,MATCH(B3,PT_DIFFERENTIATION_TER_ID,0))</f>
      </c>
      <c r="AD3" s="2267"/>
      <c r="AE3" s="2267"/>
      <c r="AF3" s="2267"/>
      <c r="AG3" s="2267"/>
      <c r="AH3" s="2267"/>
      <c r="AI3" s="2267"/>
      <c r="AJ3" s="2268"/>
      <c r="AK3" s="1282" t="s">
        <v>482</v>
      </c>
      <c r="AM3" s="1648"/>
      <c r="AN3" s="1648" t="str">
        <f>IF(T3="","",T3)</f>
        <v>Территория действия тарифа</v>
      </c>
      <c r="AO3" s="1648"/>
      <c r="AP3" s="1648"/>
      <c r="AQ3" s="1655">
        <v>0</v>
      </c>
    </row>
    <row customHeight="1" ht="22.5" hidden="1">
      <c r="A4" s="1291"/>
      <c r="B4" s="1291"/>
      <c r="C4" s="1291"/>
      <c r="D4" s="1291"/>
      <c r="E4" s="2314"/>
      <c r="F4" s="2314"/>
      <c r="G4" s="2313">
        <v>1</v>
      </c>
      <c r="H4" s="1291"/>
      <c r="I4" s="1291"/>
      <c r="J4" s="1291"/>
      <c r="K4" s="1291"/>
      <c r="L4" s="1334"/>
      <c r="M4" s="1634"/>
      <c r="N4" s="1634"/>
      <c r="O4" s="1634"/>
      <c r="P4" s="1436"/>
      <c r="Q4" s="1435"/>
      <c r="R4" s="377"/>
      <c r="S4" s="1982">
        <f>INDEX(PT_DIFFERENTIATION_NUM_CS,MATCH(C4,PT_DIFFERENTIATION_CS_ID,0))</f>
      </c>
      <c r="T4" s="333" t="s">
        <v>483</v>
      </c>
      <c r="U4" s="324"/>
      <c r="V4" s="2267"/>
      <c r="W4" s="2267"/>
      <c r="X4" s="2267"/>
      <c r="Y4" s="2267"/>
      <c r="Z4" s="2267"/>
      <c r="AA4" s="2268"/>
      <c r="AB4" s="1976"/>
      <c r="AC4" s="2267">
        <f>INDEX(PT_DIFFERENTIATION_CS,MATCH(C4,PT_DIFFERENTIATION_CS_ID,0))</f>
      </c>
      <c r="AD4" s="2267"/>
      <c r="AE4" s="2267"/>
      <c r="AF4" s="2267"/>
      <c r="AG4" s="2267"/>
      <c r="AH4" s="2267"/>
      <c r="AI4" s="2267"/>
      <c r="AJ4" s="2268"/>
      <c r="AK4" s="1282" t="s">
        <v>484</v>
      </c>
      <c r="AM4" s="1648"/>
      <c r="AN4" s="1648" t="str">
        <f>IF(T4="","",T4)</f>
        <v>Наименование системы теплоснабжения </v>
      </c>
      <c r="AO4" s="1648"/>
      <c r="AP4" s="1648"/>
      <c r="AQ4" s="1655">
        <v>0</v>
      </c>
    </row>
    <row customHeight="1" ht="21" hidden="1">
      <c r="A5" s="1291"/>
      <c r="B5" s="1291"/>
      <c r="C5" s="1291"/>
      <c r="D5" s="1291"/>
      <c r="E5" s="2314"/>
      <c r="F5" s="2314"/>
      <c r="G5" s="2314"/>
      <c r="H5" s="2313">
        <v>1</v>
      </c>
      <c r="I5" s="1291"/>
      <c r="J5" s="1291"/>
      <c r="K5" s="1291"/>
      <c r="L5" s="1334"/>
      <c r="M5" s="1634"/>
      <c r="N5" s="1634"/>
      <c r="O5" s="1634"/>
      <c r="P5" s="1436"/>
      <c r="Q5" s="1435"/>
      <c r="R5" s="377"/>
      <c r="S5" s="1982">
        <f>INDEX(PT_DIFFERENTIATION_NUM_IST_TE,MATCH(D5,PT_DIFFERENTIATION_IST_TE_ID,0))</f>
      </c>
      <c r="T5" s="334" t="s">
        <v>485</v>
      </c>
      <c r="U5" s="324"/>
      <c r="V5" s="2267"/>
      <c r="W5" s="2267"/>
      <c r="X5" s="2267"/>
      <c r="Y5" s="2267"/>
      <c r="Z5" s="2267"/>
      <c r="AA5" s="2268"/>
      <c r="AB5" s="1976"/>
      <c r="AC5" s="2267">
        <f>INDEX(PT_DIFFERENTIATION_IST_TE,MATCH(D5,PT_DIFFERENTIATION_IST_TE_ID,0))</f>
      </c>
      <c r="AD5" s="2267"/>
      <c r="AE5" s="2267"/>
      <c r="AF5" s="2267"/>
      <c r="AG5" s="2267"/>
      <c r="AH5" s="2267"/>
      <c r="AI5" s="2267"/>
      <c r="AJ5" s="2268"/>
      <c r="AK5" s="1282" t="s">
        <v>486</v>
      </c>
      <c r="AM5" s="1648"/>
      <c r="AN5" s="1648" t="str">
        <f>IF(T5="","",T5)</f>
        <v>Источник тепловой энергии  </v>
      </c>
      <c r="AO5" s="1648"/>
      <c r="AP5" s="1648"/>
      <c r="AQ5" s="1655">
        <v>0</v>
      </c>
    </row>
    <row s="1666" customFormat="1" customHeight="1" ht="0.75" hidden="1">
      <c r="A6" s="1399"/>
      <c r="B6" s="1399"/>
      <c r="C6" s="1399"/>
      <c r="D6" s="1399"/>
      <c r="E6" s="2314"/>
      <c r="F6" s="2314"/>
      <c r="G6" s="2314"/>
      <c r="H6" s="2314"/>
      <c r="I6" s="2151">
        <f>S5&amp;".1"</f>
      </c>
      <c r="J6" s="1399"/>
      <c r="K6" s="1399"/>
      <c r="L6" s="1405" t="s">
        <v>487</v>
      </c>
      <c r="M6" s="1270"/>
      <c r="N6" s="1270"/>
      <c r="O6" s="1270"/>
      <c r="P6" s="2281">
        <v>1</v>
      </c>
      <c r="Q6" s="1978"/>
      <c r="R6" s="380"/>
      <c r="S6" s="1066"/>
      <c r="T6" s="1407"/>
      <c r="U6" s="1408"/>
      <c r="V6" s="2321"/>
      <c r="W6" s="2321"/>
      <c r="X6" s="2321"/>
      <c r="Y6" s="2321"/>
      <c r="Z6" s="2321"/>
      <c r="AA6" s="2322"/>
      <c r="AB6" s="1984"/>
      <c r="AC6" s="2321"/>
      <c r="AD6" s="2321"/>
      <c r="AE6" s="2321"/>
      <c r="AF6" s="2321"/>
      <c r="AG6" s="2321"/>
      <c r="AH6" s="2321"/>
      <c r="AI6" s="2321"/>
      <c r="AJ6" s="2322"/>
      <c r="AK6" s="1409"/>
      <c r="AM6" s="1648"/>
      <c r="AN6" s="1648" t="str">
        <f>IF(T6="","",T6)</f>
        <v/>
      </c>
      <c r="AO6" s="1648"/>
      <c r="AP6" s="1648"/>
      <c r="AQ6" s="1660">
        <v>0</v>
      </c>
    </row>
    <row s="1666" customFormat="1" customHeight="1" ht="0.75" hidden="1">
      <c r="A7" s="1399"/>
      <c r="B7" s="1399"/>
      <c r="C7" s="1399"/>
      <c r="D7" s="1399"/>
      <c r="E7" s="2314"/>
      <c r="F7" s="2314"/>
      <c r="G7" s="2314"/>
      <c r="H7" s="2314"/>
      <c r="I7" s="2125"/>
      <c r="J7" s="2151">
        <f>S5&amp;".1"</f>
      </c>
      <c r="K7" s="1399"/>
      <c r="L7" s="1405"/>
      <c r="M7" s="1270"/>
      <c r="N7" s="1270"/>
      <c r="O7" s="1270"/>
      <c r="P7" s="2281"/>
      <c r="Q7" s="2281">
        <v>1</v>
      </c>
      <c r="R7" s="381"/>
      <c r="S7" s="1066"/>
      <c r="T7" s="1423"/>
      <c r="U7" s="1408"/>
      <c r="V7" s="2321"/>
      <c r="W7" s="2321"/>
      <c r="X7" s="2321"/>
      <c r="Y7" s="2321"/>
      <c r="Z7" s="2321"/>
      <c r="AA7" s="2322"/>
      <c r="AB7" s="1984"/>
      <c r="AC7" s="2321"/>
      <c r="AD7" s="2321"/>
      <c r="AE7" s="2321"/>
      <c r="AF7" s="2321"/>
      <c r="AG7" s="2321"/>
      <c r="AH7" s="2321"/>
      <c r="AI7" s="2321"/>
      <c r="AJ7" s="2322"/>
      <c r="AK7" s="1409"/>
      <c r="AM7" s="1648"/>
      <c r="AN7" s="1648" t="str">
        <f>IF(T7="","",T7)</f>
        <v/>
      </c>
      <c r="AO7" s="1648"/>
      <c r="AP7" s="1648"/>
      <c r="AQ7" s="1660">
        <v>0</v>
      </c>
    </row>
    <row customHeight="1" ht="21" hidden="1">
      <c r="A8" s="1291"/>
      <c r="B8" s="1291"/>
      <c r="C8" s="1291"/>
      <c r="D8" s="1291"/>
      <c r="E8" s="2314"/>
      <c r="F8" s="2314"/>
      <c r="G8" s="2314"/>
      <c r="H8" s="2314"/>
      <c r="I8" s="2125"/>
      <c r="J8" s="2125"/>
      <c r="K8" s="2015">
        <f>S5&amp;".1"</f>
      </c>
      <c r="L8" s="1334"/>
      <c r="P8" s="2281"/>
      <c r="Q8" s="2281"/>
      <c r="R8" s="2019">
        <v>1</v>
      </c>
      <c r="S8" s="2017">
        <f>$K8</f>
      </c>
      <c r="T8" s="2018"/>
      <c r="U8" s="324"/>
      <c r="V8" s="775"/>
      <c r="W8" s="1281"/>
      <c r="X8" s="2016"/>
      <c r="Y8" s="2014" t="s">
        <v>66</v>
      </c>
      <c r="Z8" s="2016"/>
      <c r="AA8" s="2014" t="s">
        <v>66</v>
      </c>
      <c r="AB8" s="2020"/>
      <c r="AC8" s="2021" t="s">
        <v>22</v>
      </c>
      <c r="AD8" s="775"/>
      <c r="AE8" s="1281"/>
      <c r="AF8" s="1979"/>
      <c r="AG8" s="1966" t="s">
        <v>66</v>
      </c>
      <c r="AH8" s="1979"/>
      <c r="AI8" s="1966" t="s">
        <v>66</v>
      </c>
      <c r="AJ8" s="1372"/>
      <c r="AK8" s="2277" t="s">
        <v>548</v>
      </c>
      <c r="AL8" s="1660">
        <f>STRCHECKDATE(#REF!)</f>
      </c>
      <c r="AM8" s="1648"/>
      <c r="AN8" s="1648" t="str">
        <f>IF(T8="","",T8)</f>
        <v/>
      </c>
      <c r="AO8" s="1648"/>
      <c r="AP8" s="1648"/>
      <c r="AQ8" s="1655">
        <v>0</v>
      </c>
    </row>
    <row customHeight="1" ht="11.25" hidden="1">
      <c r="A9" s="1291"/>
      <c r="B9" s="1291"/>
      <c r="C9" s="1291"/>
      <c r="D9" s="1291"/>
      <c r="E9" s="2314"/>
      <c r="F9" s="2314"/>
      <c r="G9" s="2314"/>
      <c r="H9" s="2314"/>
      <c r="I9" s="2125"/>
      <c r="J9" s="2151"/>
      <c r="K9" s="1291"/>
      <c r="L9" s="1334"/>
      <c r="P9" s="2281"/>
      <c r="Q9" s="2281"/>
      <c r="R9" s="380"/>
      <c r="S9" s="1302"/>
      <c r="T9" s="311" t="s">
        <v>552</v>
      </c>
      <c r="U9" s="624"/>
      <c r="V9" s="624"/>
      <c r="W9" s="624"/>
      <c r="X9" s="624"/>
      <c r="Y9" s="624"/>
      <c r="Z9" s="624"/>
      <c r="AA9" s="624"/>
      <c r="AB9" s="624"/>
      <c r="AC9" s="624"/>
      <c r="AD9" s="624"/>
      <c r="AE9" s="624"/>
      <c r="AF9" s="624"/>
      <c r="AG9" s="624"/>
      <c r="AH9" s="624"/>
      <c r="AI9" s="624"/>
      <c r="AJ9" s="348"/>
      <c r="AK9" s="2279"/>
      <c r="AM9" s="1648"/>
      <c r="AN9" s="1648" t="str">
        <f>IF(T9="","",T9)</f>
        <v>Добавить строку</v>
      </c>
      <c r="AO9" s="1648"/>
      <c r="AP9" s="1648"/>
      <c r="AQ9" s="1655">
        <v>0</v>
      </c>
    </row>
    <row s="1666" customFormat="1" customHeight="1" ht="0.75" hidden="1">
      <c r="A10" s="1399"/>
      <c r="B10" s="1399"/>
      <c r="C10" s="1399"/>
      <c r="D10" s="1399"/>
      <c r="E10" s="2314"/>
      <c r="F10" s="2314"/>
      <c r="G10" s="2314"/>
      <c r="H10" s="2314"/>
      <c r="I10" s="2151"/>
      <c r="J10" s="1399"/>
      <c r="K10" s="1399"/>
      <c r="L10" s="1405"/>
      <c r="M10" s="1270"/>
      <c r="N10" s="1270"/>
      <c r="O10" s="1270"/>
      <c r="P10" s="2281"/>
      <c r="Q10" s="1978"/>
      <c r="R10" s="380"/>
      <c r="S10" s="1410"/>
      <c r="T10" s="1411"/>
      <c r="U10" s="1412"/>
      <c r="V10" s="1412"/>
      <c r="W10" s="1412"/>
      <c r="X10" s="1412"/>
      <c r="Y10" s="1412"/>
      <c r="Z10" s="1412"/>
      <c r="AA10" s="1412"/>
      <c r="AB10" s="1412"/>
      <c r="AC10" s="1412"/>
      <c r="AD10" s="1412"/>
      <c r="AE10" s="1412"/>
      <c r="AF10" s="1412"/>
      <c r="AG10" s="1412"/>
      <c r="AH10" s="1412"/>
      <c r="AI10" s="1412"/>
      <c r="AJ10" s="1412"/>
      <c r="AK10" s="1413"/>
      <c r="AM10" s="1648"/>
      <c r="AN10" s="1648" t="str">
        <f>IF(T10="","",T10)</f>
        <v/>
      </c>
      <c r="AO10" s="1648"/>
      <c r="AP10" s="1648"/>
      <c r="AQ10" s="1660">
        <v>0</v>
      </c>
    </row>
    <row s="1666" customFormat="1" customHeight="1" ht="0.75" hidden="1">
      <c r="A11" s="1399"/>
      <c r="B11" s="1399"/>
      <c r="C11" s="1399"/>
      <c r="D11" s="1399"/>
      <c r="E11" s="2314"/>
      <c r="F11" s="2314"/>
      <c r="G11" s="2314"/>
      <c r="H11" s="2313"/>
      <c r="I11" s="1399"/>
      <c r="J11" s="1399"/>
      <c r="K11" s="1399"/>
      <c r="L11" s="1405"/>
      <c r="M11" s="1402"/>
      <c r="N11" s="1402"/>
      <c r="O11" s="375"/>
      <c r="P11" s="404"/>
      <c r="Q11" s="1368"/>
      <c r="R11" s="1425"/>
      <c r="S11" s="1410"/>
      <c r="T11" s="1411"/>
      <c r="U11" s="1412"/>
      <c r="V11" s="1412"/>
      <c r="W11" s="1412"/>
      <c r="X11" s="1412"/>
      <c r="Y11" s="1412"/>
      <c r="Z11" s="1412"/>
      <c r="AA11" s="1412"/>
      <c r="AB11" s="1412"/>
      <c r="AC11" s="1412"/>
      <c r="AD11" s="1412"/>
      <c r="AE11" s="1412"/>
      <c r="AF11" s="1412"/>
      <c r="AG11" s="1412"/>
      <c r="AH11" s="1412"/>
      <c r="AI11" s="1412"/>
      <c r="AJ11" s="1412"/>
      <c r="AK11" s="1413"/>
      <c r="AM11" s="1648"/>
      <c r="AN11" s="1648" t="str">
        <f>IF(T11="","",T11)</f>
        <v/>
      </c>
      <c r="AO11" s="1648"/>
      <c r="AP11" s="1648"/>
      <c r="AQ11" s="1660">
        <v>0</v>
      </c>
    </row>
    <row s="1666" customFormat="1" customHeight="1" ht="0.75" hidden="1">
      <c r="A12" s="1399"/>
      <c r="B12" s="1399"/>
      <c r="C12" s="1399"/>
      <c r="D12" s="1398"/>
      <c r="E12" s="2314"/>
      <c r="F12" s="2314"/>
      <c r="G12" s="2313"/>
      <c r="H12" s="1398"/>
      <c r="I12" s="1398"/>
      <c r="J12" s="1398"/>
      <c r="K12" s="1398"/>
      <c r="L12" s="1401"/>
      <c r="M12" s="1402"/>
      <c r="N12" s="1402"/>
      <c r="O12" s="375"/>
      <c r="P12" s="1340"/>
      <c r="Q12" s="1341"/>
      <c r="R12" s="1340"/>
      <c r="S12" s="1346"/>
      <c r="T12" s="1349" t="s">
        <v>498</v>
      </c>
      <c r="U12" s="1348"/>
      <c r="V12" s="1348"/>
      <c r="W12" s="1348"/>
      <c r="X12" s="1348"/>
      <c r="Y12" s="1348"/>
      <c r="Z12" s="1348"/>
      <c r="AA12" s="1348"/>
      <c r="AB12" s="1348"/>
      <c r="AC12" s="1348"/>
      <c r="AD12" s="1348"/>
      <c r="AE12" s="1348"/>
      <c r="AF12" s="1348"/>
      <c r="AG12" s="1348"/>
      <c r="AH12" s="1348"/>
      <c r="AI12" s="1348"/>
      <c r="AJ12" s="1348"/>
      <c r="AK12" s="1348"/>
      <c r="AM12" s="1275"/>
      <c r="AN12" s="1275" t="str">
        <f>IF(T12="","",T12)</f>
        <v>Добавить источник для дифференциации</v>
      </c>
      <c r="AO12" s="1275"/>
      <c r="AP12" s="1275"/>
      <c r="AQ12" s="1666">
        <v>0</v>
      </c>
    </row>
    <row s="1666" customFormat="1" customHeight="1" ht="0.75" hidden="1">
      <c r="A13" s="1399"/>
      <c r="B13" s="1399"/>
      <c r="C13" s="1398"/>
      <c r="D13" s="1398"/>
      <c r="E13" s="2314"/>
      <c r="F13" s="2313"/>
      <c r="G13" s="1398"/>
      <c r="H13" s="1398"/>
      <c r="I13" s="1398"/>
      <c r="J13" s="1398"/>
      <c r="K13" s="1398"/>
      <c r="L13" s="1401"/>
      <c r="M13" s="1403"/>
      <c r="N13" s="1403"/>
      <c r="O13" s="375"/>
      <c r="P13" s="1340"/>
      <c r="Q13" s="1341"/>
      <c r="R13" s="1340"/>
      <c r="S13" s="1346"/>
      <c r="T13" s="1349" t="s">
        <v>499</v>
      </c>
      <c r="U13" s="1348"/>
      <c r="V13" s="1348"/>
      <c r="W13" s="1348"/>
      <c r="X13" s="1348"/>
      <c r="Y13" s="1348"/>
      <c r="Z13" s="1348"/>
      <c r="AA13" s="1348"/>
      <c r="AB13" s="1348"/>
      <c r="AC13" s="1348"/>
      <c r="AD13" s="1348"/>
      <c r="AE13" s="1348"/>
      <c r="AF13" s="1348"/>
      <c r="AG13" s="1348"/>
      <c r="AH13" s="1348"/>
      <c r="AI13" s="1348"/>
      <c r="AJ13" s="1348"/>
      <c r="AK13" s="1348"/>
      <c r="AM13" s="1275"/>
      <c r="AN13" s="1275" t="str">
        <f>IF(T13="","",T13)</f>
        <v>Добавить централизованную систему для дифференциации</v>
      </c>
      <c r="AO13" s="1275"/>
      <c r="AP13" s="1275"/>
      <c r="AQ13" s="1666">
        <v>0</v>
      </c>
    </row>
    <row s="1666" customFormat="1" customHeight="1" ht="0.75" hidden="1">
      <c r="A14" s="1399"/>
      <c r="B14" s="1399"/>
      <c r="C14" s="1399"/>
      <c r="D14" s="1399"/>
      <c r="E14" s="2313"/>
      <c r="F14" s="1399"/>
      <c r="G14" s="1399"/>
      <c r="H14" s="1399"/>
      <c r="I14" s="1399"/>
      <c r="J14" s="1399"/>
      <c r="K14" s="1399"/>
      <c r="L14" s="1405"/>
      <c r="M14" s="1403"/>
      <c r="N14" s="1403"/>
      <c r="O14" s="375"/>
      <c r="P14" s="404"/>
      <c r="Q14" s="1368"/>
      <c r="R14" s="404"/>
      <c r="S14" s="1346"/>
      <c r="T14" s="1349" t="s">
        <v>500</v>
      </c>
      <c r="U14" s="1348"/>
      <c r="V14" s="1348"/>
      <c r="W14" s="1348"/>
      <c r="X14" s="1348"/>
      <c r="Y14" s="1348"/>
      <c r="Z14" s="1348"/>
      <c r="AA14" s="1348"/>
      <c r="AB14" s="1348"/>
      <c r="AC14" s="1348"/>
      <c r="AD14" s="1348"/>
      <c r="AE14" s="1348"/>
      <c r="AF14" s="1348"/>
      <c r="AG14" s="1348"/>
      <c r="AH14" s="1348"/>
      <c r="AI14" s="1348"/>
      <c r="AJ14" s="1348"/>
      <c r="AK14" s="1348"/>
      <c r="AM14" s="1648"/>
      <c r="AN14" s="1648" t="str">
        <f>IF(T14="","",T14)</f>
        <v>Добавить территорию для дифференциации</v>
      </c>
      <c r="AO14" s="1648"/>
      <c r="AP14" s="1648"/>
      <c r="AQ14" s="1660">
        <v>0</v>
      </c>
    </row>
    <row customHeight="1" ht="14.25" hidden="1">
      <c r="AQ15" s="1655">
        <v>0</v>
      </c>
    </row>
    <row customHeight="1" ht="14.25" hidden="1">
      <c r="AC16" s="1526"/>
      <c r="AD16" s="1427"/>
      <c r="AE16" s="1428"/>
      <c r="AF16" s="1760"/>
      <c r="AG16" s="1990" t="s">
        <v>66</v>
      </c>
      <c r="AH16" s="1760"/>
      <c r="AI16" s="1990" t="s">
        <v>66</v>
      </c>
      <c r="AQ16" s="1655">
        <v>0</v>
      </c>
    </row>
    <row customHeight="1" ht="14.25" hidden="1">
      <c r="AL17" s="1665"/>
      <c r="AM17" s="1665"/>
      <c r="AN17" s="1665"/>
      <c r="AO17" s="1665"/>
      <c r="AP17" s="1665"/>
      <c r="AQ17" s="1655">
        <v>0</v>
      </c>
    </row>
    <row customHeight="1" ht="14.25" hidden="1">
      <c r="O18" s="1369" t="s">
        <v>501</v>
      </c>
      <c r="X18" s="1369"/>
      <c r="Z18" s="1369"/>
      <c r="AF18" s="1369"/>
      <c r="AH18" s="1369"/>
      <c r="AL18" s="1665"/>
      <c r="AM18" s="1665"/>
      <c r="AN18" s="1665"/>
      <c r="AO18" s="1665"/>
      <c r="AP18" s="1665"/>
      <c r="AQ18" s="1655">
        <v>0</v>
      </c>
    </row>
    <row customHeight="1" ht="14.25" hidden="1">
      <c r="AL19" s="1665"/>
      <c r="AM19" s="1665"/>
      <c r="AN19" s="1665"/>
      <c r="AO19" s="1665"/>
      <c r="AP19" s="1665"/>
      <c r="AQ19" s="1655">
        <v>0</v>
      </c>
    </row>
    <row s="1533" customFormat="1" customHeight="1" ht="14.25" hidden="1">
      <c r="A20" s="1995"/>
      <c r="B20" s="1995"/>
      <c r="C20" s="1995"/>
      <c r="D20" s="1995"/>
      <c r="E20" s="1995"/>
      <c r="F20" s="1995"/>
      <c r="G20" s="1995"/>
      <c r="H20" s="1995"/>
      <c r="I20" s="1995"/>
      <c r="J20" s="1995"/>
      <c r="K20" s="1995"/>
      <c r="L20" s="1995"/>
      <c r="M20" s="1996"/>
      <c r="N20" s="1996"/>
      <c r="O20" s="1997" t="s">
        <v>502</v>
      </c>
      <c r="P20" s="1532"/>
      <c r="Q20" s="1534"/>
      <c r="R20" s="1534"/>
      <c r="Y20" s="1531" t="s">
        <v>504</v>
      </c>
      <c r="AA20" s="1531" t="s">
        <v>505</v>
      </c>
      <c r="AC20" s="1531" t="s">
        <v>554</v>
      </c>
      <c r="AG20" s="1531" t="s">
        <v>504</v>
      </c>
      <c r="AI20" s="1531" t="s">
        <v>505</v>
      </c>
      <c r="AL20" s="1535"/>
      <c r="AM20" s="1535"/>
      <c r="AN20" s="1535"/>
      <c r="AO20" s="1535"/>
      <c r="AP20" s="1535"/>
      <c r="AQ20" s="1531">
        <v>0</v>
      </c>
    </row>
    <row customHeight="1" ht="14.25" hidden="1">
      <c r="O21" s="1334"/>
      <c r="AL21" s="1665"/>
      <c r="AM21" s="1665"/>
      <c r="AN21" s="1665"/>
      <c r="AO21" s="1665"/>
      <c r="AP21" s="1665"/>
      <c r="AQ21" s="1655">
        <v>0</v>
      </c>
    </row>
    <row customHeight="1" ht="14.25" hidden="1">
      <c r="O22" s="1334"/>
      <c r="AL22" s="1665"/>
      <c r="AM22" s="1665"/>
      <c r="AN22" s="1665"/>
      <c r="AO22" s="1665"/>
      <c r="AP22" s="1665"/>
      <c r="AQ22" s="1655">
        <v>0</v>
      </c>
    </row>
    <row customHeight="1" ht="14.699999999999998">
      <c r="Q23" s="315"/>
      <c r="R23" s="400"/>
      <c r="S23" s="1299"/>
      <c r="T23" s="481"/>
      <c r="U23" s="481"/>
      <c r="V23" s="1659"/>
      <c r="W23" s="1659"/>
      <c r="X23" s="1659"/>
      <c r="Y23" s="1659"/>
      <c r="Z23" s="1659"/>
      <c r="AA23" s="1659"/>
      <c r="AB23" s="1659"/>
      <c r="AC23" s="1659"/>
      <c r="AD23" s="1659"/>
      <c r="AE23" s="1659"/>
      <c r="AF23" s="1659"/>
      <c r="AG23" s="1659"/>
      <c r="AH23" s="1659"/>
      <c r="AI23" s="1659"/>
      <c r="AQ23" s="1655">
        <v>14</v>
      </c>
    </row>
    <row customHeight="1" ht="39.75">
      <c r="Q24" s="315"/>
      <c r="R24" s="400"/>
      <c r="S24" s="227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72"/>
      <c r="U24" s="2272"/>
      <c r="V24" s="2272"/>
      <c r="W24" s="2272"/>
      <c r="X24" s="2272"/>
      <c r="Y24" s="2272"/>
      <c r="Z24" s="2272"/>
      <c r="AA24" s="2272"/>
      <c r="AB24" s="2272"/>
      <c r="AC24" s="2272"/>
      <c r="AD24" s="2272"/>
      <c r="AE24" s="2272"/>
      <c r="AF24" s="2272"/>
      <c r="AG24" s="2272"/>
      <c r="AH24" s="2272"/>
      <c r="AI24" s="1267"/>
      <c r="AQ24" s="1655">
        <v>38</v>
      </c>
    </row>
    <row customHeight="1" ht="14.699999999999998">
      <c r="Q25" s="315"/>
      <c r="R25" s="400"/>
      <c r="S25" s="2273" t="str">
        <f>IF(org=0,"Не определено",org)</f>
        <v>АО "ДГК"</v>
      </c>
      <c r="T25" s="2273"/>
      <c r="U25" s="2273"/>
      <c r="V25" s="2273"/>
      <c r="W25" s="2273"/>
      <c r="X25" s="2273"/>
      <c r="Y25" s="2273"/>
      <c r="Z25" s="2273"/>
      <c r="AA25" s="2273"/>
      <c r="AB25" s="2273"/>
      <c r="AC25" s="2273"/>
      <c r="AD25" s="2273"/>
      <c r="AE25" s="2273"/>
      <c r="AF25" s="2273"/>
      <c r="AG25" s="2273"/>
      <c r="AH25" s="2273"/>
      <c r="AI25" s="1267"/>
      <c r="AQ25" s="1655">
        <v>14</v>
      </c>
    </row>
    <row customHeight="1" ht="14.25" hidden="1">
      <c r="Q26" s="315"/>
      <c r="R26" s="400"/>
      <c r="S26" s="1299"/>
      <c r="T26" s="481"/>
      <c r="U26" s="481"/>
      <c r="V26" s="346"/>
      <c r="W26" s="346"/>
      <c r="X26" s="346"/>
      <c r="Y26" s="346"/>
      <c r="Z26" s="346"/>
      <c r="AA26" s="346"/>
      <c r="AB26" s="346"/>
      <c r="AC26" s="346"/>
      <c r="AD26" s="346"/>
      <c r="AE26" s="346"/>
      <c r="AF26" s="346"/>
      <c r="AG26" s="346"/>
      <c r="AH26" s="346"/>
      <c r="AI26" s="346"/>
      <c r="AJ26" s="1659"/>
      <c r="AQ26" s="1655">
        <v>0</v>
      </c>
    </row>
    <row s="1877" customFormat="1" customHeight="1" ht="25.5" hidden="1">
      <c r="A27" s="1272"/>
      <c r="B27" s="1272"/>
      <c r="C27" s="1272"/>
      <c r="D27" s="1272"/>
      <c r="E27" s="1272"/>
      <c r="F27" s="1272"/>
      <c r="G27" s="1272"/>
      <c r="H27" s="1272"/>
      <c r="I27" s="1272"/>
      <c r="J27" s="1272"/>
      <c r="K27" s="1272"/>
      <c r="L27" s="1404"/>
      <c r="M27" s="1272"/>
      <c r="N27" s="1272"/>
      <c r="O27" s="1272"/>
      <c r="P27" s="1392"/>
      <c r="Q27" s="1392"/>
      <c r="S27" s="2274" t="s">
        <v>42</v>
      </c>
      <c r="T27" s="2274"/>
      <c r="U27" s="1396"/>
      <c r="V27" s="2275" t="str">
        <f>IF(TITLE_NAME_OR_PR_CHANGE="",IF(TITLE_NAME_OR_PR="","",TITLE_NAME_OR_PR),TITLE_NAME_OR_PR_CHANGE)</f>
        <v/>
      </c>
      <c r="W27" s="2275"/>
      <c r="X27" s="2275"/>
      <c r="Y27" s="2275"/>
      <c r="Z27" s="2275"/>
      <c r="AA27" s="1659"/>
      <c r="AB27" s="1659"/>
      <c r="AC27" s="2275"/>
      <c r="AD27" s="2275"/>
      <c r="AE27" s="2275"/>
      <c r="AF27" s="2275"/>
      <c r="AG27" s="2275"/>
      <c r="AH27" s="2275"/>
      <c r="AI27" s="1659"/>
      <c r="AJ27" s="1659"/>
      <c r="AK27" s="304"/>
      <c r="AL27" s="392"/>
      <c r="AM27" s="392"/>
      <c r="AN27" s="392"/>
      <c r="AO27" s="392"/>
      <c r="AP27" s="392"/>
      <c r="AQ27" s="442">
        <v>0</v>
      </c>
    </row>
    <row s="1877" customFormat="1" customHeight="1" ht="18.75" hidden="1">
      <c r="A28" s="1272"/>
      <c r="B28" s="1272"/>
      <c r="C28" s="1272"/>
      <c r="D28" s="1272"/>
      <c r="E28" s="1272"/>
      <c r="F28" s="1272"/>
      <c r="G28" s="1272"/>
      <c r="H28" s="1272"/>
      <c r="I28" s="1272"/>
      <c r="J28" s="1272"/>
      <c r="K28" s="1272"/>
      <c r="L28" s="1404"/>
      <c r="M28" s="1272"/>
      <c r="N28" s="1272"/>
      <c r="O28" s="1272"/>
      <c r="P28" s="1392"/>
      <c r="Q28" s="1392"/>
      <c r="S28" s="2274" t="s">
        <v>507</v>
      </c>
      <c r="T28" s="2274"/>
      <c r="U28" s="1396"/>
      <c r="V28" s="2288" t="str">
        <f>IF(TITLE_DATE_PR_CHANGE="",IF(TITLE_DATE_PR="","",TITLE_DATE_PR),TITLE_DATE_PR_CHANGE)</f>
        <v/>
      </c>
      <c r="W28" s="2288"/>
      <c r="X28" s="2288"/>
      <c r="Y28" s="2288"/>
      <c r="Z28" s="2288"/>
      <c r="AA28" s="1659"/>
      <c r="AB28" s="1659"/>
      <c r="AC28" s="2288"/>
      <c r="AD28" s="2288"/>
      <c r="AE28" s="2288"/>
      <c r="AF28" s="2288"/>
      <c r="AG28" s="2288"/>
      <c r="AH28" s="2288"/>
      <c r="AI28" s="1659"/>
      <c r="AJ28" s="1659"/>
      <c r="AK28" s="304"/>
      <c r="AL28" s="392"/>
      <c r="AM28" s="392"/>
      <c r="AN28" s="392"/>
      <c r="AO28" s="392"/>
      <c r="AP28" s="392"/>
      <c r="AQ28" s="442">
        <v>0</v>
      </c>
    </row>
    <row s="1877" customFormat="1" customHeight="1" ht="18.75" hidden="1">
      <c r="A29" s="1272"/>
      <c r="B29" s="1272"/>
      <c r="C29" s="1272"/>
      <c r="D29" s="1272"/>
      <c r="E29" s="1272"/>
      <c r="F29" s="1272"/>
      <c r="G29" s="1272"/>
      <c r="H29" s="1272"/>
      <c r="I29" s="1272"/>
      <c r="J29" s="1272"/>
      <c r="K29" s="1272"/>
      <c r="L29" s="1404"/>
      <c r="M29" s="1272"/>
      <c r="N29" s="1272"/>
      <c r="O29" s="1272"/>
      <c r="P29" s="1392"/>
      <c r="Q29" s="1392"/>
      <c r="S29" s="2274" t="s">
        <v>508</v>
      </c>
      <c r="T29" s="2274"/>
      <c r="U29" s="1396"/>
      <c r="V29" s="2275" t="str">
        <f>IF(TITLE_NUMBER_PR_CHANGE="",IF(TITLE_NUMBER_PR="","",TITLE_NUMBER_PR),TITLE_NUMBER_PR_CHANGE)</f>
        <v/>
      </c>
      <c r="W29" s="2275"/>
      <c r="X29" s="2275"/>
      <c r="Y29" s="2275"/>
      <c r="Z29" s="2275"/>
      <c r="AA29" s="1659"/>
      <c r="AB29" s="1659"/>
      <c r="AC29" s="2275"/>
      <c r="AD29" s="2275"/>
      <c r="AE29" s="2275"/>
      <c r="AF29" s="2275"/>
      <c r="AG29" s="2275"/>
      <c r="AH29" s="2275"/>
      <c r="AI29" s="1659"/>
      <c r="AJ29" s="1659"/>
      <c r="AK29" s="304"/>
      <c r="AL29" s="392"/>
      <c r="AM29" s="392"/>
      <c r="AN29" s="392"/>
      <c r="AO29" s="392"/>
      <c r="AP29" s="392"/>
      <c r="AQ29" s="442">
        <v>0</v>
      </c>
    </row>
    <row s="1877" customFormat="1" customHeight="1" ht="18.75" hidden="1">
      <c r="A30" s="1272"/>
      <c r="B30" s="1272"/>
      <c r="C30" s="1272"/>
      <c r="D30" s="1272"/>
      <c r="E30" s="1272"/>
      <c r="F30" s="1272"/>
      <c r="G30" s="1272"/>
      <c r="H30" s="1272"/>
      <c r="I30" s="1272"/>
      <c r="J30" s="1272"/>
      <c r="K30" s="1272"/>
      <c r="L30" s="1404"/>
      <c r="M30" s="1272"/>
      <c r="N30" s="1272"/>
      <c r="O30" s="1272"/>
      <c r="P30" s="1392"/>
      <c r="Q30" s="1392"/>
      <c r="S30" s="2274" t="s">
        <v>43</v>
      </c>
      <c r="T30" s="2274"/>
      <c r="U30" s="1396"/>
      <c r="V30" s="2275" t="str">
        <f>IF(TITLE_IST_PUB_CHANGE="",IF(TITLE_IST_PUB="","",TITLE_IST_PUB),TITLE_IST_PUB_CHANGE)</f>
        <v/>
      </c>
      <c r="W30" s="2275"/>
      <c r="X30" s="2275"/>
      <c r="Y30" s="2275"/>
      <c r="Z30" s="2275"/>
      <c r="AA30" s="1659"/>
      <c r="AB30" s="1659"/>
      <c r="AC30" s="2275"/>
      <c r="AD30" s="2275"/>
      <c r="AE30" s="2275"/>
      <c r="AF30" s="2275"/>
      <c r="AG30" s="2275"/>
      <c r="AH30" s="2275"/>
      <c r="AI30" s="1659"/>
      <c r="AJ30" s="1659"/>
      <c r="AK30" s="304"/>
      <c r="AL30" s="392"/>
      <c r="AM30" s="392"/>
      <c r="AN30" s="392"/>
      <c r="AO30" s="392"/>
      <c r="AP30" s="392"/>
      <c r="AQ30" s="442">
        <v>0</v>
      </c>
    </row>
    <row customHeight="1" ht="14.25" hidden="1">
      <c r="Q31" s="315"/>
      <c r="R31" s="400"/>
      <c r="S31" s="1299"/>
      <c r="T31" s="481"/>
      <c r="U31" s="481"/>
      <c r="V31" s="346"/>
      <c r="W31" s="346"/>
      <c r="X31" s="346"/>
      <c r="Y31" s="346"/>
      <c r="Z31" s="346"/>
      <c r="AA31" s="346"/>
      <c r="AB31" s="346"/>
      <c r="AC31" s="346"/>
      <c r="AD31" s="346"/>
      <c r="AE31" s="346"/>
      <c r="AF31" s="346"/>
      <c r="AG31" s="346"/>
      <c r="AH31" s="346"/>
      <c r="AI31" s="346"/>
      <c r="AJ31" s="1659"/>
      <c r="AQ31" s="1655">
        <v>0</v>
      </c>
    </row>
    <row s="1877" customFormat="1" customHeight="1" ht="18.75" hidden="1">
      <c r="A32" s="1272"/>
      <c r="B32" s="1272"/>
      <c r="C32" s="1272"/>
      <c r="D32" s="1272"/>
      <c r="E32" s="1272"/>
      <c r="F32" s="1272"/>
      <c r="G32" s="1272"/>
      <c r="H32" s="1272"/>
      <c r="I32" s="1272"/>
      <c r="J32" s="1272"/>
      <c r="K32" s="1272"/>
      <c r="L32" s="1404"/>
      <c r="M32" s="1272"/>
      <c r="N32" s="1272"/>
      <c r="O32" s="1272"/>
      <c r="P32" s="1392"/>
      <c r="Q32" s="1392"/>
      <c r="S32" s="2274" t="s">
        <v>507</v>
      </c>
      <c r="T32" s="2274"/>
      <c r="U32" s="1396"/>
      <c r="V32" s="2288" t="str">
        <f>IF(TITLE_DATE_PR_CHANGE="",IF(TITLE_DATE_PR="","",TITLE_DATE_PR),TITLE_DATE_PR_CHANGE)</f>
        <v/>
      </c>
      <c r="W32" s="2288"/>
      <c r="X32" s="2288"/>
      <c r="Y32" s="2288"/>
      <c r="Z32" s="2288"/>
      <c r="AA32" s="1659"/>
      <c r="AB32" s="1659"/>
      <c r="AC32" s="2288"/>
      <c r="AD32" s="2288"/>
      <c r="AE32" s="2288"/>
      <c r="AF32" s="2288"/>
      <c r="AG32" s="2288"/>
      <c r="AH32" s="2288"/>
      <c r="AI32" s="1659"/>
      <c r="AJ32" s="1659"/>
      <c r="AK32" s="304"/>
      <c r="AL32" s="392"/>
      <c r="AM32" s="392"/>
      <c r="AN32" s="392"/>
      <c r="AO32" s="392"/>
      <c r="AP32" s="392"/>
      <c r="AQ32" s="442">
        <v>0</v>
      </c>
    </row>
    <row s="1877" customFormat="1" customHeight="1" ht="18" hidden="1">
      <c r="A33" s="1272"/>
      <c r="B33" s="1272"/>
      <c r="C33" s="1272"/>
      <c r="D33" s="1272"/>
      <c r="E33" s="1272"/>
      <c r="F33" s="1272"/>
      <c r="G33" s="1272"/>
      <c r="H33" s="1272"/>
      <c r="I33" s="1272"/>
      <c r="J33" s="1272"/>
      <c r="K33" s="1272"/>
      <c r="L33" s="1404"/>
      <c r="M33" s="1272"/>
      <c r="N33" s="1272"/>
      <c r="O33" s="1272"/>
      <c r="P33" s="1392"/>
      <c r="Q33" s="1392"/>
      <c r="S33" s="2274" t="s">
        <v>508</v>
      </c>
      <c r="T33" s="2274"/>
      <c r="U33" s="1396"/>
      <c r="V33" s="2275" t="str">
        <f>IF(TITLE_NUMBER_PR_CHANGE="",IF(TITLE_NUMBER_PR="","",TITLE_NUMBER_PR),TITLE_NUMBER_PR_CHANGE)</f>
        <v/>
      </c>
      <c r="W33" s="2275"/>
      <c r="X33" s="2275"/>
      <c r="Y33" s="2275"/>
      <c r="Z33" s="2275"/>
      <c r="AA33" s="1659"/>
      <c r="AB33" s="1659"/>
      <c r="AC33" s="2275"/>
      <c r="AD33" s="2275"/>
      <c r="AE33" s="2275"/>
      <c r="AF33" s="2275"/>
      <c r="AG33" s="2275"/>
      <c r="AH33" s="2275"/>
      <c r="AI33" s="1659"/>
      <c r="AJ33" s="1659"/>
      <c r="AK33" s="304"/>
      <c r="AL33" s="392"/>
      <c r="AM33" s="392"/>
      <c r="AN33" s="392"/>
      <c r="AO33" s="392"/>
      <c r="AP33" s="392"/>
      <c r="AQ33" s="442">
        <v>0</v>
      </c>
    </row>
    <row s="1877" customFormat="1" customHeight="1" ht="1.05">
      <c r="A34" s="1272"/>
      <c r="B34" s="1272"/>
      <c r="C34" s="1272"/>
      <c r="D34" s="1272"/>
      <c r="E34" s="1272"/>
      <c r="F34" s="1272"/>
      <c r="G34" s="1272"/>
      <c r="H34" s="1272"/>
      <c r="I34" s="1272"/>
      <c r="J34" s="1272"/>
      <c r="K34" s="1272"/>
      <c r="L34" s="1404"/>
      <c r="M34" s="1272"/>
      <c r="N34" s="1272"/>
      <c r="O34" s="1272"/>
      <c r="P34" s="1392"/>
      <c r="Q34" s="1392"/>
      <c r="S34" s="1659"/>
      <c r="T34" s="1659"/>
      <c r="U34" s="1994"/>
      <c r="V34" s="1659"/>
      <c r="W34" s="1659"/>
      <c r="X34" s="1659"/>
      <c r="Y34" s="1659"/>
      <c r="Z34" s="1659"/>
      <c r="AA34" s="1666" t="s">
        <v>511</v>
      </c>
      <c r="AB34" s="1666"/>
      <c r="AC34" s="1659"/>
      <c r="AD34" s="1659"/>
      <c r="AE34" s="1659"/>
      <c r="AF34" s="1659"/>
      <c r="AG34" s="1659"/>
      <c r="AH34" s="1659"/>
      <c r="AI34" s="1666" t="s">
        <v>511</v>
      </c>
      <c r="AL34" s="392"/>
      <c r="AM34" s="392"/>
      <c r="AN34" s="392"/>
      <c r="AO34" s="392"/>
      <c r="AP34" s="392"/>
      <c r="AQ34" s="442">
        <v>1</v>
      </c>
    </row>
    <row customHeight="1" ht="14.699999999999998">
      <c r="Q35" s="315"/>
      <c r="R35" s="400"/>
      <c r="S35" s="1299"/>
      <c r="T35" s="481"/>
      <c r="U35" s="1268"/>
      <c r="V35" s="2276"/>
      <c r="W35" s="2276"/>
      <c r="X35" s="2276"/>
      <c r="Y35" s="2276"/>
      <c r="Z35" s="2276"/>
      <c r="AA35" s="2276"/>
      <c r="AB35" s="1981"/>
      <c r="AC35" s="2276"/>
      <c r="AD35" s="2276"/>
      <c r="AE35" s="2276"/>
      <c r="AF35" s="2276"/>
      <c r="AG35" s="2276"/>
      <c r="AH35" s="2276"/>
      <c r="AI35" s="2276"/>
      <c r="AQ35" s="1655">
        <v>14</v>
      </c>
    </row>
    <row customHeight="1" ht="14.699999999999998">
      <c r="Q36" s="315"/>
      <c r="R36" s="400"/>
      <c r="S36" s="2151" t="s">
        <v>384</v>
      </c>
      <c r="T36" s="2151"/>
      <c r="U36" s="2151"/>
      <c r="V36" s="2151"/>
      <c r="W36" s="2151"/>
      <c r="X36" s="2151"/>
      <c r="Y36" s="2151"/>
      <c r="Z36" s="2151"/>
      <c r="AA36" s="2199"/>
      <c r="AB36" s="2199"/>
      <c r="AC36" s="2199"/>
      <c r="AD36" s="2151"/>
      <c r="AE36" s="2151"/>
      <c r="AF36" s="2151"/>
      <c r="AG36" s="2151"/>
      <c r="AH36" s="2151"/>
      <c r="AI36" s="2151"/>
      <c r="AJ36" s="2151"/>
      <c r="AK36" s="2151" t="s">
        <v>385</v>
      </c>
      <c r="AQ36" s="1655">
        <v>14</v>
      </c>
    </row>
    <row customHeight="1" ht="14.699999999999998">
      <c r="Q37" s="315"/>
      <c r="R37" s="400"/>
      <c r="S37" s="2297" t="s">
        <v>88</v>
      </c>
      <c r="T37" s="2233" t="s">
        <v>583</v>
      </c>
      <c r="U37" s="361"/>
      <c r="V37" s="2299"/>
      <c r="W37" s="2299"/>
      <c r="X37" s="2299"/>
      <c r="Y37" s="2299"/>
      <c r="Z37" s="2299"/>
      <c r="AA37" s="2233" t="s">
        <v>514</v>
      </c>
      <c r="AB37" s="2232" t="s">
        <v>584</v>
      </c>
      <c r="AC37" s="2232" t="s">
        <v>558</v>
      </c>
      <c r="AD37" s="2315" t="s">
        <v>513</v>
      </c>
      <c r="AE37" s="2315"/>
      <c r="AF37" s="2299"/>
      <c r="AG37" s="2299"/>
      <c r="AH37" s="2300"/>
      <c r="AI37" s="2301" t="s">
        <v>514</v>
      </c>
      <c r="AJ37" s="2304" t="s">
        <v>516</v>
      </c>
      <c r="AK37" s="2151"/>
      <c r="AQ37" s="1655">
        <v>14</v>
      </c>
    </row>
    <row customHeight="1" ht="35.699999999999996">
      <c r="Q38" s="315"/>
      <c r="R38" s="400"/>
      <c r="S38" s="2297"/>
      <c r="T38" s="2233"/>
      <c r="U38" s="1055"/>
      <c r="V38" s="2127" t="s">
        <v>561</v>
      </c>
      <c r="W38" s="2151"/>
      <c r="X38" s="2318" t="s">
        <v>520</v>
      </c>
      <c r="Y38" s="2337"/>
      <c r="Z38" s="2337"/>
      <c r="AA38" s="2233"/>
      <c r="AB38" s="2232"/>
      <c r="AC38" s="2232"/>
      <c r="AD38" s="2127" t="s">
        <v>561</v>
      </c>
      <c r="AE38" s="2151"/>
      <c r="AF38" s="2337" t="s">
        <v>520</v>
      </c>
      <c r="AG38" s="2337"/>
      <c r="AH38" s="2338"/>
      <c r="AI38" s="2302"/>
      <c r="AJ38" s="2305"/>
      <c r="AK38" s="2151"/>
      <c r="AQ38" s="1655">
        <v>34</v>
      </c>
    </row>
    <row customHeight="1" ht="14.699999999999998">
      <c r="Q39" s="315"/>
      <c r="R39" s="400"/>
      <c r="S39" s="2297"/>
      <c r="T39" s="2233"/>
      <c r="U39" s="1055"/>
      <c r="V39" s="2364" t="str">
        <f>IF($AD$39&lt;&gt;"",$AD$39,"")</f>
        <v/>
      </c>
      <c r="W39" s="2364"/>
      <c r="X39" s="2319"/>
      <c r="Y39" s="2339"/>
      <c r="Z39" s="2339"/>
      <c r="AA39" s="2233"/>
      <c r="AB39" s="2232"/>
      <c r="AC39" s="2232"/>
      <c r="AD39" s="2380"/>
      <c r="AE39" s="2363"/>
      <c r="AF39" s="2339"/>
      <c r="AG39" s="2339"/>
      <c r="AH39" s="2340"/>
      <c r="AI39" s="2302"/>
      <c r="AJ39" s="2305"/>
      <c r="AK39" s="2151"/>
      <c r="AQ39" s="1655">
        <v>14</v>
      </c>
    </row>
    <row customHeight="1" ht="14.699999999999998">
      <c r="A40" s="1290"/>
      <c r="B40" s="1290" t="s">
        <v>223</v>
      </c>
      <c r="C40" s="1290" t="s">
        <v>224</v>
      </c>
      <c r="D40" s="1290" t="s">
        <v>225</v>
      </c>
      <c r="E40" s="1334" t="s">
        <v>521</v>
      </c>
      <c r="F40" s="1334" t="s">
        <v>522</v>
      </c>
      <c r="G40" s="1334" t="s">
        <v>523</v>
      </c>
      <c r="H40" s="1334" t="s">
        <v>524</v>
      </c>
      <c r="I40" s="1334" t="s">
        <v>525</v>
      </c>
      <c r="J40" s="1334" t="s">
        <v>526</v>
      </c>
      <c r="K40" s="1334" t="s">
        <v>527</v>
      </c>
      <c r="L40" s="1334" t="s">
        <v>502</v>
      </c>
      <c r="Q40" s="315"/>
      <c r="R40" s="400"/>
      <c r="S40" s="2297"/>
      <c r="T40" s="2233"/>
      <c r="U40" s="326"/>
      <c r="V40" s="1974" t="s">
        <v>562</v>
      </c>
      <c r="W40" s="1974" t="s">
        <v>563</v>
      </c>
      <c r="X40" s="1962" t="s">
        <v>530</v>
      </c>
      <c r="Y40" s="2294" t="s">
        <v>531</v>
      </c>
      <c r="Z40" s="2344"/>
      <c r="AA40" s="2233"/>
      <c r="AB40" s="2232"/>
      <c r="AC40" s="2232"/>
      <c r="AD40" s="1992" t="s">
        <v>562</v>
      </c>
      <c r="AE40" s="1983" t="s">
        <v>563</v>
      </c>
      <c r="AF40" s="1962" t="s">
        <v>530</v>
      </c>
      <c r="AG40" s="2294" t="s">
        <v>531</v>
      </c>
      <c r="AH40" s="2295"/>
      <c r="AI40" s="2303"/>
      <c r="AJ40" s="2306"/>
      <c r="AK40" s="2151"/>
      <c r="AQ40" s="1655">
        <v>14</v>
      </c>
    </row>
    <row s="1665" customFormat="1" customHeight="1" ht="11.25" hidden="1">
      <c r="A41" s="1290"/>
      <c r="B41" s="1290"/>
      <c r="C41" s="1290"/>
      <c r="D41" s="1290"/>
      <c r="E41" s="1290"/>
      <c r="F41" s="1290"/>
      <c r="G41" s="1290"/>
      <c r="H41" s="1290"/>
      <c r="I41" s="1290"/>
      <c r="J41" s="1290"/>
      <c r="K41" s="1290"/>
      <c r="L41" s="1334"/>
      <c r="M41" s="1989"/>
      <c r="N41" s="1989"/>
      <c r="O41" s="1989"/>
      <c r="P41" s="534"/>
      <c r="Q41" s="1278"/>
      <c r="R41" s="1278">
        <v>1</v>
      </c>
      <c r="S41" s="1301" t="s">
        <v>170</v>
      </c>
      <c r="T41" s="1279" t="s">
        <v>103</v>
      </c>
      <c r="U41" s="1269" t="str">
        <f>OFFSET(U41,0,-1)</f>
        <v>2</v>
      </c>
      <c r="V41" s="1980">
        <f>OFFSET(V41,0,-1)+1</f>
        <v>3</v>
      </c>
      <c r="W41" s="1980">
        <f>OFFSET(W41,0,-1)+1</f>
        <v>4</v>
      </c>
      <c r="X41" s="1980">
        <f>OFFSET(X41,0,-1)+1</f>
        <v>5</v>
      </c>
      <c r="Y41" s="2296">
        <f>OFFSET(Y41,0,-1)+1</f>
        <v>6</v>
      </c>
      <c r="Z41" s="2296"/>
      <c r="AA41" s="1365">
        <f>OFFSET(AA41,0,-2)+1</f>
        <v>7</v>
      </c>
      <c r="AB41" s="1365"/>
      <c r="AC41" s="1365"/>
      <c r="AD41" s="1980">
        <f>OFFSET(AD41,0,-1)+1</f>
        <v>1</v>
      </c>
      <c r="AE41" s="1980">
        <f>OFFSET(AE41,0,-1)+1</f>
        <v>2</v>
      </c>
      <c r="AF41" s="1980">
        <f>OFFSET(AF41,0,-1)+1</f>
        <v>3</v>
      </c>
      <c r="AG41" s="2296">
        <f>OFFSET(AG41,0,-1)+1</f>
        <v>4</v>
      </c>
      <c r="AH41" s="2296"/>
      <c r="AI41" s="1980">
        <f>OFFSET(AI41,0,-2)+1</f>
        <v>5</v>
      </c>
      <c r="AJ41" s="1269">
        <f>OFFSET(AJ41,0,-1)</f>
        <v>5</v>
      </c>
      <c r="AK41" s="1980">
        <f>OFFSET(AK41,0,-1)+1</f>
        <v>6</v>
      </c>
      <c r="AL41" s="1660"/>
      <c r="AM41" s="1660"/>
      <c r="AN41" s="1660"/>
      <c r="AO41" s="1660"/>
      <c r="AP41" s="1660"/>
      <c r="AQ41" s="1665">
        <v>0</v>
      </c>
    </row>
    <row customHeight="1" ht="107.25">
      <c r="A42" s="1291" t="s">
        <v>290</v>
      </c>
      <c r="B42" s="1291"/>
      <c r="C42" s="1291"/>
      <c r="D42" s="1291"/>
      <c r="E42" s="2313">
        <v>1</v>
      </c>
      <c r="F42" s="1291"/>
      <c r="G42" s="1291"/>
      <c r="H42" s="1291"/>
      <c r="I42" s="1291"/>
      <c r="J42" s="1291"/>
      <c r="K42" s="1291"/>
      <c r="L42" s="1334"/>
      <c r="M42" s="1634"/>
      <c r="N42" s="1634"/>
      <c r="O42" s="1634"/>
      <c r="P42" s="1433"/>
      <c r="Q42" s="897"/>
      <c r="R42" s="379"/>
      <c r="S42" s="1982">
        <f>INDEX(PT_DIFFERENTIATION_NUM_NTAR,MATCH(A42,PT_DIFFERENTIATION_NTAR_ID,0))</f>
        <v>0</v>
      </c>
      <c r="T42" s="1549" t="s">
        <v>211</v>
      </c>
      <c r="U42" s="324"/>
      <c r="V42" s="2267"/>
      <c r="W42" s="2267"/>
      <c r="X42" s="2267"/>
      <c r="Y42" s="2267"/>
      <c r="Z42" s="2267"/>
      <c r="AA42" s="2268"/>
      <c r="AB42" s="1976"/>
      <c r="AC42" s="2267" t="str">
        <f>INDEX(PT_DIFFERENTIATION_NTAR,MATCH(A42,PT_DIFFERENTIATION_NTAR_ID,0))</f>
        <v/>
      </c>
      <c r="AD42" s="2267"/>
      <c r="AE42" s="2267"/>
      <c r="AF42" s="2267"/>
      <c r="AG42" s="2267"/>
      <c r="AH42" s="2267"/>
      <c r="AI42" s="2267"/>
      <c r="AJ42" s="2268"/>
      <c r="AK42" s="12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48"/>
      <c r="AN42" s="1648" t="str">
        <f>IF(T42="","",T42)</f>
        <v>Наименование тарифа</v>
      </c>
      <c r="AO42" s="1648"/>
      <c r="AP42" s="1648"/>
      <c r="AQ42" s="1655">
        <v>102</v>
      </c>
    </row>
    <row customHeight="1" ht="22.049999999999997">
      <c r="A43" s="1291" t="s">
        <v>290</v>
      </c>
      <c r="B43" s="1291" t="s">
        <v>291</v>
      </c>
      <c r="C43" s="1291"/>
      <c r="D43" s="1291"/>
      <c r="E43" s="2314"/>
      <c r="F43" s="2313">
        <v>1</v>
      </c>
      <c r="G43" s="1291"/>
      <c r="H43" s="1291"/>
      <c r="I43" s="1291"/>
      <c r="J43" s="1291"/>
      <c r="K43" s="1291"/>
      <c r="L43" s="1334"/>
      <c r="M43" s="1634"/>
      <c r="N43" s="1634"/>
      <c r="O43" s="1634"/>
      <c r="P43" s="1993"/>
      <c r="Q43" s="1435"/>
      <c r="R43" s="377"/>
      <c r="S43" s="1982" t="str">
        <f>INDEX(PT_DIFFERENTIATION_NUM_TER,MATCH(B43,PT_DIFFERENTIATION_TER_ID,0))</f>
        <v>.</v>
      </c>
      <c r="T43" s="1546" t="s">
        <v>481</v>
      </c>
      <c r="U43" s="324"/>
      <c r="V43" s="2267"/>
      <c r="W43" s="2267"/>
      <c r="X43" s="2267"/>
      <c r="Y43" s="2267"/>
      <c r="Z43" s="2267"/>
      <c r="AA43" s="2268"/>
      <c r="AB43" s="1976"/>
      <c r="AC43" s="2267" t="str">
        <f>INDEX(PT_DIFFERENTIATION_TER,MATCH(B43,PT_DIFFERENTIATION_TER_ID,0))</f>
        <v/>
      </c>
      <c r="AD43" s="2267"/>
      <c r="AE43" s="2267"/>
      <c r="AF43" s="2267"/>
      <c r="AG43" s="2267"/>
      <c r="AH43" s="2267"/>
      <c r="AI43" s="2267"/>
      <c r="AJ43" s="2268"/>
      <c r="AK43" s="1282" t="s">
        <v>482</v>
      </c>
      <c r="AM43" s="1648"/>
      <c r="AN43" s="1648" t="str">
        <f>IF(T43="","",T43)</f>
        <v>Территория действия тарифа</v>
      </c>
      <c r="AO43" s="1648"/>
      <c r="AP43" s="1648"/>
      <c r="AQ43" s="1655">
        <v>21</v>
      </c>
    </row>
    <row customHeight="1" ht="24">
      <c r="A44" s="1291" t="s">
        <v>290</v>
      </c>
      <c r="B44" s="1291" t="s">
        <v>291</v>
      </c>
      <c r="C44" s="1291" t="s">
        <v>292</v>
      </c>
      <c r="D44" s="1291"/>
      <c r="E44" s="2314"/>
      <c r="F44" s="2314"/>
      <c r="G44" s="2313">
        <v>1</v>
      </c>
      <c r="H44" s="1291"/>
      <c r="I44" s="1291"/>
      <c r="J44" s="1291"/>
      <c r="K44" s="1291"/>
      <c r="L44" s="1334"/>
      <c r="M44" s="1634"/>
      <c r="N44" s="1634"/>
      <c r="O44" s="1634"/>
      <c r="P44" s="1436"/>
      <c r="Q44" s="1435"/>
      <c r="R44" s="377"/>
      <c r="S44" s="1982" t="str">
        <f>INDEX(PT_DIFFERENTIATION_NUM_CS,MATCH(C44,PT_DIFFERENTIATION_CS_ID,0))</f>
        <v>..</v>
      </c>
      <c r="T44" s="333" t="s">
        <v>483</v>
      </c>
      <c r="U44" s="324"/>
      <c r="V44" s="2267"/>
      <c r="W44" s="2267"/>
      <c r="X44" s="2267"/>
      <c r="Y44" s="2267"/>
      <c r="Z44" s="2267"/>
      <c r="AA44" s="2268"/>
      <c r="AB44" s="1976"/>
      <c r="AC44" s="2267" t="str">
        <f>INDEX(PT_DIFFERENTIATION_CS,MATCH(C44,PT_DIFFERENTIATION_CS_ID,0))</f>
        <v/>
      </c>
      <c r="AD44" s="2267"/>
      <c r="AE44" s="2267"/>
      <c r="AF44" s="2267"/>
      <c r="AG44" s="2267"/>
      <c r="AH44" s="2267"/>
      <c r="AI44" s="2267"/>
      <c r="AJ44" s="2268"/>
      <c r="AK44" s="1282" t="s">
        <v>484</v>
      </c>
      <c r="AM44" s="1648"/>
      <c r="AN44" s="1648" t="str">
        <f>IF(T44="","",T44)</f>
        <v>Наименование системы теплоснабжения </v>
      </c>
      <c r="AO44" s="1648"/>
      <c r="AP44" s="1648"/>
      <c r="AQ44" s="1655">
        <v>23</v>
      </c>
    </row>
    <row customHeight="1" ht="22.049999999999997">
      <c r="A45" s="1291" t="s">
        <v>290</v>
      </c>
      <c r="B45" s="1291" t="s">
        <v>291</v>
      </c>
      <c r="C45" s="1291" t="s">
        <v>292</v>
      </c>
      <c r="D45" s="1291" t="s">
        <v>293</v>
      </c>
      <c r="E45" s="2314"/>
      <c r="F45" s="2314"/>
      <c r="G45" s="2314"/>
      <c r="H45" s="2313">
        <v>1</v>
      </c>
      <c r="I45" s="1291"/>
      <c r="J45" s="1291"/>
      <c r="K45" s="1291"/>
      <c r="L45" s="1334"/>
      <c r="M45" s="1634"/>
      <c r="N45" s="1634"/>
      <c r="O45" s="1634"/>
      <c r="P45" s="1436"/>
      <c r="Q45" s="1435"/>
      <c r="R45" s="377"/>
      <c r="S45" s="1982" t="str">
        <f>INDEX(PT_DIFFERENTIATION_NUM_IST_TE,MATCH(D45,PT_DIFFERENTIATION_IST_TE_ID,0))</f>
        <v>...</v>
      </c>
      <c r="T45" s="334" t="s">
        <v>485</v>
      </c>
      <c r="U45" s="324"/>
      <c r="V45" s="2267"/>
      <c r="W45" s="2267"/>
      <c r="X45" s="2267"/>
      <c r="Y45" s="2267"/>
      <c r="Z45" s="2267"/>
      <c r="AA45" s="2268"/>
      <c r="AB45" s="1976"/>
      <c r="AC45" s="2267" t="str">
        <f>INDEX(PT_DIFFERENTIATION_IST_TE,MATCH(D45,PT_DIFFERENTIATION_IST_TE_ID,0))</f>
        <v/>
      </c>
      <c r="AD45" s="2267"/>
      <c r="AE45" s="2267"/>
      <c r="AF45" s="2267"/>
      <c r="AG45" s="2267"/>
      <c r="AH45" s="2267"/>
      <c r="AI45" s="2267"/>
      <c r="AJ45" s="2268"/>
      <c r="AK45" s="1282" t="s">
        <v>486</v>
      </c>
      <c r="AM45" s="1648"/>
      <c r="AN45" s="1648" t="str">
        <f>IF(T45="","",T45)</f>
        <v>Источник тепловой энергии  </v>
      </c>
      <c r="AO45" s="1648"/>
      <c r="AP45" s="1648"/>
      <c r="AQ45" s="1655">
        <v>21</v>
      </c>
    </row>
    <row s="1666" customFormat="1" customHeight="1" ht="0">
      <c r="A46" s="1399" t="s">
        <v>290</v>
      </c>
      <c r="B46" s="1399" t="s">
        <v>291</v>
      </c>
      <c r="C46" s="1399" t="s">
        <v>292</v>
      </c>
      <c r="D46" s="1399" t="s">
        <v>293</v>
      </c>
      <c r="E46" s="2314"/>
      <c r="F46" s="2314"/>
      <c r="G46" s="2314"/>
      <c r="H46" s="2314"/>
      <c r="I46" s="2151" t="str">
        <f>S45&amp;".1"</f>
        <v>....1</v>
      </c>
      <c r="J46" s="1399"/>
      <c r="K46" s="1399"/>
      <c r="L46" s="1405" t="s">
        <v>487</v>
      </c>
      <c r="M46" s="1270"/>
      <c r="N46" s="1270"/>
      <c r="O46" s="1270"/>
      <c r="P46" s="2281">
        <v>1</v>
      </c>
      <c r="Q46" s="1978"/>
      <c r="R46" s="380"/>
      <c r="S46" s="1066"/>
      <c r="T46" s="1407"/>
      <c r="U46" s="1408"/>
      <c r="V46" s="2321"/>
      <c r="W46" s="2321"/>
      <c r="X46" s="2321"/>
      <c r="Y46" s="2321"/>
      <c r="Z46" s="2321"/>
      <c r="AA46" s="2322"/>
      <c r="AB46" s="1984"/>
      <c r="AC46" s="2321"/>
      <c r="AD46" s="2321"/>
      <c r="AE46" s="2321"/>
      <c r="AF46" s="2321"/>
      <c r="AG46" s="2321"/>
      <c r="AH46" s="2321"/>
      <c r="AI46" s="2321"/>
      <c r="AJ46" s="2322"/>
      <c r="AK46" s="1409"/>
      <c r="AM46" s="1648"/>
      <c r="AN46" s="1648" t="str">
        <f>IF(T46="","",T46)</f>
        <v/>
      </c>
      <c r="AO46" s="1648"/>
      <c r="AP46" s="1648"/>
      <c r="AQ46" s="1660">
        <v>0</v>
      </c>
    </row>
    <row s="1666" customFormat="1" customHeight="1" ht="0">
      <c r="A47" s="1399" t="s">
        <v>290</v>
      </c>
      <c r="B47" s="1399" t="s">
        <v>291</v>
      </c>
      <c r="C47" s="1399" t="s">
        <v>292</v>
      </c>
      <c r="D47" s="1399" t="s">
        <v>293</v>
      </c>
      <c r="E47" s="2314"/>
      <c r="F47" s="2314"/>
      <c r="G47" s="2314"/>
      <c r="H47" s="2314"/>
      <c r="I47" s="2125"/>
      <c r="J47" s="2151" t="str">
        <f>S45&amp;".1"</f>
        <v>....1</v>
      </c>
      <c r="K47" s="1399"/>
      <c r="L47" s="1405"/>
      <c r="M47" s="1270"/>
      <c r="N47" s="1270"/>
      <c r="O47" s="1270"/>
      <c r="P47" s="2281"/>
      <c r="Q47" s="2281">
        <v>1</v>
      </c>
      <c r="R47" s="381"/>
      <c r="S47" s="1066"/>
      <c r="T47" s="1423"/>
      <c r="U47" s="1408"/>
      <c r="V47" s="2321"/>
      <c r="W47" s="2321"/>
      <c r="X47" s="2321"/>
      <c r="Y47" s="2321"/>
      <c r="Z47" s="2321"/>
      <c r="AA47" s="2322"/>
      <c r="AB47" s="1984"/>
      <c r="AC47" s="2321"/>
      <c r="AD47" s="2321"/>
      <c r="AE47" s="2321"/>
      <c r="AF47" s="2321"/>
      <c r="AG47" s="2321"/>
      <c r="AH47" s="2321"/>
      <c r="AI47" s="2321"/>
      <c r="AJ47" s="2322"/>
      <c r="AK47" s="1409"/>
      <c r="AM47" s="1648"/>
      <c r="AN47" s="1648" t="str">
        <f>IF(T47="","",T47)</f>
        <v/>
      </c>
      <c r="AO47" s="1648"/>
      <c r="AP47" s="1648"/>
      <c r="AQ47" s="1660">
        <v>0</v>
      </c>
    </row>
    <row customHeight="1" ht="22.049999999999997">
      <c r="A48" s="1291" t="s">
        <v>290</v>
      </c>
      <c r="B48" s="1291" t="s">
        <v>291</v>
      </c>
      <c r="C48" s="1291" t="s">
        <v>292</v>
      </c>
      <c r="D48" s="1291" t="s">
        <v>293</v>
      </c>
      <c r="E48" s="2314"/>
      <c r="F48" s="2314"/>
      <c r="G48" s="2314"/>
      <c r="H48" s="2314"/>
      <c r="I48" s="2125"/>
      <c r="J48" s="2125"/>
      <c r="K48" s="1965" t="str">
        <f>S45&amp;".1"</f>
        <v>....1</v>
      </c>
      <c r="L48" s="1334"/>
      <c r="P48" s="2281"/>
      <c r="Q48" s="2281"/>
      <c r="R48" s="381">
        <v>1</v>
      </c>
      <c r="S48" s="1986" t="str">
        <f>$K48</f>
        <v>....1</v>
      </c>
      <c r="T48" s="1985"/>
      <c r="U48" s="324"/>
      <c r="V48" s="775"/>
      <c r="W48" s="1281"/>
      <c r="X48" s="1979"/>
      <c r="Y48" s="1966" t="s">
        <v>66</v>
      </c>
      <c r="Z48" s="1979"/>
      <c r="AA48" s="1966" t="s">
        <v>66</v>
      </c>
      <c r="AB48" s="1988"/>
      <c r="AC48" s="1987" t="s">
        <v>22</v>
      </c>
      <c r="AD48" s="775"/>
      <c r="AE48" s="1281"/>
      <c r="AF48" s="1979"/>
      <c r="AG48" s="1966" t="s">
        <v>66</v>
      </c>
      <c r="AH48" s="1979"/>
      <c r="AI48" s="1966" t="s">
        <v>66</v>
      </c>
      <c r="AJ48" s="1372"/>
      <c r="AK48" s="2277" t="s">
        <v>564</v>
      </c>
      <c r="AL48" s="1660">
        <f>STRCHECKDATE(#REF!)</f>
      </c>
      <c r="AM48" s="1648"/>
      <c r="AN48" s="1648" t="str">
        <f>IF(T48="","",T48)</f>
        <v/>
      </c>
      <c r="AO48" s="1648"/>
      <c r="AP48" s="1648"/>
      <c r="AQ48" s="1655">
        <v>21</v>
      </c>
    </row>
    <row customHeight="1" ht="11.549999999999999">
      <c r="A49" s="1291" t="s">
        <v>290</v>
      </c>
      <c r="B49" s="1291" t="s">
        <v>291</v>
      </c>
      <c r="C49" s="1291" t="s">
        <v>292</v>
      </c>
      <c r="D49" s="1291" t="s">
        <v>293</v>
      </c>
      <c r="E49" s="2314"/>
      <c r="F49" s="2314"/>
      <c r="G49" s="2314"/>
      <c r="H49" s="2314"/>
      <c r="I49" s="2125"/>
      <c r="J49" s="2151"/>
      <c r="K49" s="1291"/>
      <c r="L49" s="1334"/>
      <c r="P49" s="2281"/>
      <c r="Q49" s="2281"/>
      <c r="R49" s="380"/>
      <c r="S49" s="1302"/>
      <c r="T49" s="311" t="s">
        <v>552</v>
      </c>
      <c r="U49" s="624"/>
      <c r="V49" s="624"/>
      <c r="W49" s="624"/>
      <c r="X49" s="624"/>
      <c r="Y49" s="624"/>
      <c r="Z49" s="624"/>
      <c r="AA49" s="348"/>
      <c r="AB49" s="624"/>
      <c r="AC49" s="624"/>
      <c r="AD49" s="624"/>
      <c r="AE49" s="624"/>
      <c r="AF49" s="624"/>
      <c r="AG49" s="624"/>
      <c r="AH49" s="624"/>
      <c r="AI49" s="624"/>
      <c r="AJ49" s="348"/>
      <c r="AK49" s="2279"/>
      <c r="AM49" s="1648"/>
      <c r="AN49" s="1648" t="str">
        <f>IF(T49="","",T49)</f>
        <v>Добавить строку</v>
      </c>
      <c r="AO49" s="1648"/>
      <c r="AP49" s="1648"/>
      <c r="AQ49" s="1655">
        <v>11</v>
      </c>
    </row>
    <row s="1666" customFormat="1" customHeight="1" ht="1.05">
      <c r="A50" s="1399" t="s">
        <v>290</v>
      </c>
      <c r="B50" s="1399" t="s">
        <v>291</v>
      </c>
      <c r="C50" s="1399" t="s">
        <v>292</v>
      </c>
      <c r="D50" s="1399" t="s">
        <v>293</v>
      </c>
      <c r="E50" s="2314"/>
      <c r="F50" s="2314"/>
      <c r="G50" s="2314"/>
      <c r="H50" s="2314"/>
      <c r="I50" s="2151"/>
      <c r="J50" s="1399"/>
      <c r="K50" s="1399"/>
      <c r="L50" s="1405"/>
      <c r="M50" s="1270"/>
      <c r="N50" s="1270"/>
      <c r="O50" s="1270"/>
      <c r="P50" s="2281"/>
      <c r="Q50" s="1978"/>
      <c r="R50" s="380"/>
      <c r="S50" s="1410"/>
      <c r="T50" s="1411" t="s">
        <v>496</v>
      </c>
      <c r="U50" s="1412"/>
      <c r="V50" s="1412"/>
      <c r="W50" s="1412"/>
      <c r="X50" s="1412"/>
      <c r="Y50" s="1412"/>
      <c r="Z50" s="1412"/>
      <c r="AA50" s="1412"/>
      <c r="AB50" s="1412"/>
      <c r="AC50" s="1412"/>
      <c r="AD50" s="1412"/>
      <c r="AE50" s="1412"/>
      <c r="AF50" s="1412"/>
      <c r="AG50" s="1412"/>
      <c r="AH50" s="1412"/>
      <c r="AI50" s="1412"/>
      <c r="AJ50" s="1412"/>
      <c r="AK50" s="1413"/>
      <c r="AM50" s="1648"/>
      <c r="AN50" s="1648" t="str">
        <f>IF(T50="","",T50)</f>
        <v>Добавить группу потребителей</v>
      </c>
      <c r="AO50" s="1648"/>
      <c r="AP50" s="1648"/>
      <c r="AQ50" s="1660">
        <v>1</v>
      </c>
    </row>
    <row s="1665" customFormat="1" customHeight="1" ht="1.05">
      <c r="A51" s="1399" t="s">
        <v>290</v>
      </c>
      <c r="B51" s="1399" t="s">
        <v>291</v>
      </c>
      <c r="C51" s="1399" t="s">
        <v>292</v>
      </c>
      <c r="D51" s="1399" t="s">
        <v>293</v>
      </c>
      <c r="E51" s="2314"/>
      <c r="F51" s="2314"/>
      <c r="G51" s="2314"/>
      <c r="H51" s="2313"/>
      <c r="I51" s="1399"/>
      <c r="J51" s="1399"/>
      <c r="K51" s="1399"/>
      <c r="L51" s="1405"/>
      <c r="M51" s="1402"/>
      <c r="N51" s="1402"/>
      <c r="O51" s="375"/>
      <c r="P51" s="404"/>
      <c r="Q51" s="1368"/>
      <c r="R51" s="1424"/>
      <c r="S51" s="1410"/>
      <c r="T51" s="1411"/>
      <c r="U51" s="1412"/>
      <c r="V51" s="1412"/>
      <c r="W51" s="1412"/>
      <c r="X51" s="1412"/>
      <c r="Y51" s="1412"/>
      <c r="Z51" s="1412"/>
      <c r="AA51" s="1412"/>
      <c r="AB51" s="1412"/>
      <c r="AC51" s="1412"/>
      <c r="AD51" s="1412"/>
      <c r="AE51" s="1412"/>
      <c r="AF51" s="1412"/>
      <c r="AG51" s="1412"/>
      <c r="AH51" s="1412"/>
      <c r="AI51" s="1412"/>
      <c r="AJ51" s="1412"/>
      <c r="AK51" s="1413"/>
      <c r="AL51" s="1660"/>
      <c r="AM51" s="1648"/>
      <c r="AN51" s="1648" t="str">
        <f>IF(T51="","",T51)</f>
        <v/>
      </c>
      <c r="AO51" s="1648"/>
      <c r="AP51" s="1648"/>
      <c r="AQ51" s="1665">
        <v>1</v>
      </c>
    </row>
    <row s="1666" customFormat="1" customHeight="1" ht="1.05">
      <c r="A52" s="1399" t="s">
        <v>290</v>
      </c>
      <c r="B52" s="1399" t="s">
        <v>291</v>
      </c>
      <c r="C52" s="1399" t="s">
        <v>292</v>
      </c>
      <c r="D52" s="1398"/>
      <c r="E52" s="2314"/>
      <c r="F52" s="2314"/>
      <c r="G52" s="2313"/>
      <c r="H52" s="1398"/>
      <c r="I52" s="1398"/>
      <c r="J52" s="1398"/>
      <c r="K52" s="1398"/>
      <c r="L52" s="1401"/>
      <c r="M52" s="1402"/>
      <c r="N52" s="1402"/>
      <c r="O52" s="375"/>
      <c r="P52" s="1340"/>
      <c r="Q52" s="1341"/>
      <c r="R52" s="1340"/>
      <c r="S52" s="1346"/>
      <c r="T52" s="1349" t="s">
        <v>498</v>
      </c>
      <c r="U52" s="1348"/>
      <c r="V52" s="1348"/>
      <c r="W52" s="1348"/>
      <c r="X52" s="1348"/>
      <c r="Y52" s="1348"/>
      <c r="Z52" s="1348"/>
      <c r="AA52" s="1348"/>
      <c r="AB52" s="1348"/>
      <c r="AC52" s="1348"/>
      <c r="AD52" s="1348"/>
      <c r="AE52" s="1348"/>
      <c r="AF52" s="1348"/>
      <c r="AG52" s="1348"/>
      <c r="AH52" s="1348"/>
      <c r="AI52" s="1348"/>
      <c r="AJ52" s="1348"/>
      <c r="AK52" s="1348"/>
      <c r="AM52" s="1275"/>
      <c r="AN52" s="1275" t="str">
        <f>IF(T52="","",T52)</f>
        <v>Добавить источник для дифференциации</v>
      </c>
      <c r="AO52" s="1275"/>
      <c r="AP52" s="1275"/>
      <c r="AQ52" s="1666">
        <v>1</v>
      </c>
    </row>
    <row s="1666" customFormat="1" customHeight="1" ht="1.05">
      <c r="A53" s="1399" t="s">
        <v>290</v>
      </c>
      <c r="B53" s="1399" t="s">
        <v>291</v>
      </c>
      <c r="C53" s="1398"/>
      <c r="D53" s="1398"/>
      <c r="E53" s="2314"/>
      <c r="F53" s="2313"/>
      <c r="G53" s="1398"/>
      <c r="H53" s="1398"/>
      <c r="I53" s="1398"/>
      <c r="J53" s="1398"/>
      <c r="K53" s="1398"/>
      <c r="L53" s="1401"/>
      <c r="M53" s="1403"/>
      <c r="N53" s="1403"/>
      <c r="O53" s="375"/>
      <c r="P53" s="1340"/>
      <c r="Q53" s="1341"/>
      <c r="R53" s="1340"/>
      <c r="S53" s="1346"/>
      <c r="T53" s="1349" t="s">
        <v>499</v>
      </c>
      <c r="U53" s="1348"/>
      <c r="V53" s="1348"/>
      <c r="W53" s="1348"/>
      <c r="X53" s="1348"/>
      <c r="Y53" s="1348"/>
      <c r="Z53" s="1348"/>
      <c r="AA53" s="1348"/>
      <c r="AB53" s="1348"/>
      <c r="AC53" s="1348"/>
      <c r="AD53" s="1348"/>
      <c r="AE53" s="1348"/>
      <c r="AF53" s="1348"/>
      <c r="AG53" s="1348"/>
      <c r="AH53" s="1348"/>
      <c r="AI53" s="1348"/>
      <c r="AJ53" s="1348"/>
      <c r="AK53" s="1348"/>
      <c r="AM53" s="1275"/>
      <c r="AN53" s="1275" t="str">
        <f>IF(T53="","",T53)</f>
        <v>Добавить централизованную систему для дифференциации</v>
      </c>
      <c r="AO53" s="1275"/>
      <c r="AP53" s="1275"/>
      <c r="AQ53" s="1666">
        <v>1</v>
      </c>
    </row>
    <row s="1666" customFormat="1" customHeight="1" ht="1.05">
      <c r="A54" s="1399" t="s">
        <v>290</v>
      </c>
      <c r="B54" s="1399"/>
      <c r="C54" s="1399"/>
      <c r="D54" s="1399"/>
      <c r="E54" s="2314"/>
      <c r="F54" s="1399"/>
      <c r="G54" s="1399"/>
      <c r="H54" s="1399"/>
      <c r="I54" s="1399"/>
      <c r="J54" s="1399"/>
      <c r="K54" s="1399"/>
      <c r="L54" s="1405"/>
      <c r="M54" s="1403"/>
      <c r="N54" s="1403"/>
      <c r="O54" s="375"/>
      <c r="P54" s="404"/>
      <c r="Q54" s="1368"/>
      <c r="R54" s="404"/>
      <c r="S54" s="1346"/>
      <c r="T54" s="1349" t="s">
        <v>500</v>
      </c>
      <c r="U54" s="1348"/>
      <c r="V54" s="1348"/>
      <c r="W54" s="1348"/>
      <c r="X54" s="1348"/>
      <c r="Y54" s="1348"/>
      <c r="Z54" s="1348"/>
      <c r="AA54" s="1348"/>
      <c r="AB54" s="1348"/>
      <c r="AC54" s="1348"/>
      <c r="AD54" s="1348"/>
      <c r="AE54" s="1348"/>
      <c r="AF54" s="1348"/>
      <c r="AG54" s="1348"/>
      <c r="AH54" s="1348"/>
      <c r="AI54" s="1348"/>
      <c r="AJ54" s="1348"/>
      <c r="AK54" s="1348"/>
      <c r="AM54" s="1648"/>
      <c r="AN54" s="1648" t="str">
        <f>IF(T54="","",T54)</f>
        <v>Добавить территорию для дифференциации</v>
      </c>
      <c r="AO54" s="1648"/>
      <c r="AP54" s="1648"/>
      <c r="AQ54" s="1660">
        <v>1</v>
      </c>
    </row>
    <row s="1666" customFormat="1" customHeight="1" ht="1.05">
      <c r="A55" s="1399" t="s">
        <v>290</v>
      </c>
      <c r="B55" s="1399"/>
      <c r="C55" s="1399"/>
      <c r="D55" s="1399"/>
      <c r="E55" s="2313"/>
      <c r="F55" s="1399"/>
      <c r="G55" s="1399"/>
      <c r="H55" s="1399"/>
      <c r="I55" s="1399"/>
      <c r="J55" s="1399"/>
      <c r="K55" s="1399"/>
      <c r="L55" s="1405"/>
      <c r="M55" s="1403"/>
      <c r="N55" s="1403"/>
      <c r="O55" s="375"/>
      <c r="P55" s="404"/>
      <c r="Q55" s="1368"/>
      <c r="R55" s="404"/>
      <c r="S55" s="1346"/>
      <c r="T55" s="1349" t="s">
        <v>500</v>
      </c>
      <c r="U55" s="1348"/>
      <c r="V55" s="1348"/>
      <c r="W55" s="1348"/>
      <c r="X55" s="1348"/>
      <c r="Y55" s="1348"/>
      <c r="Z55" s="1348"/>
      <c r="AA55" s="1348"/>
      <c r="AB55" s="1348"/>
      <c r="AC55" s="1348"/>
      <c r="AD55" s="1348"/>
      <c r="AE55" s="1348"/>
      <c r="AF55" s="1348"/>
      <c r="AG55" s="1348"/>
      <c r="AH55" s="1348"/>
      <c r="AI55" s="1348"/>
      <c r="AJ55" s="1348"/>
      <c r="AK55" s="1348"/>
      <c r="AM55" s="1648"/>
      <c r="AN55" s="1648" t="str">
        <f>IF(T55="","",T55)</f>
        <v>Добавить территорию для дифференциации</v>
      </c>
      <c r="AO55" s="1648"/>
      <c r="AP55" s="1648"/>
      <c r="AQ55" s="1660">
        <v>1</v>
      </c>
    </row>
    <row s="1666" customFormat="1" customHeight="1" ht="1.05">
      <c r="A56" s="1398"/>
      <c r="B56" s="1398"/>
      <c r="C56" s="1398"/>
      <c r="D56" s="1398"/>
      <c r="E56" s="1399"/>
      <c r="F56" s="1398"/>
      <c r="G56" s="1398"/>
      <c r="H56" s="1398"/>
      <c r="I56" s="1398"/>
      <c r="J56" s="1398"/>
      <c r="K56" s="1398"/>
      <c r="L56" s="1401"/>
      <c r="M56" s="1403"/>
      <c r="N56" s="1403"/>
      <c r="O56" s="375"/>
      <c r="P56" s="1340"/>
      <c r="Q56" s="1341"/>
      <c r="R56" s="1340"/>
      <c r="S56" s="1346"/>
      <c r="T56" s="1349" t="s">
        <v>532</v>
      </c>
      <c r="U56" s="1348"/>
      <c r="V56" s="1348"/>
      <c r="W56" s="1348"/>
      <c r="X56" s="1348"/>
      <c r="Y56" s="1348"/>
      <c r="Z56" s="1348"/>
      <c r="AA56" s="1348"/>
      <c r="AB56" s="1348"/>
      <c r="AC56" s="1348"/>
      <c r="AD56" s="1348"/>
      <c r="AE56" s="1348"/>
      <c r="AF56" s="1348"/>
      <c r="AG56" s="1348"/>
      <c r="AH56" s="1348"/>
      <c r="AI56" s="1348"/>
      <c r="AJ56" s="1348"/>
      <c r="AK56" s="1348"/>
      <c r="AM56" s="1275"/>
      <c r="AN56" s="1275" t="str">
        <f>IF(T56="","",T56)</f>
        <v>Добавить наименование тарифа</v>
      </c>
      <c r="AO56" s="1275"/>
      <c r="AP56" s="1275"/>
      <c r="AQ56" s="1666">
        <v>1</v>
      </c>
    </row>
    <row customHeight="1" ht="11.549999999999999">
      <c r="M57" s="1655"/>
      <c r="N57" s="1655"/>
      <c r="O57" s="1659"/>
      <c r="P57" s="1390"/>
      <c r="Q57" s="1390"/>
      <c r="R57" s="1655"/>
      <c r="S57" s="1655"/>
      <c r="AL57" s="1655"/>
      <c r="AM57" s="1655"/>
      <c r="AN57" s="1655"/>
      <c r="AO57" s="1655"/>
      <c r="AP57" s="1655"/>
      <c r="AQ57" s="1655">
        <v>11</v>
      </c>
    </row>
    <row customHeight="1" ht="19.95">
      <c r="O58" s="1659"/>
      <c r="S58" s="1277"/>
      <c r="T58" s="2309"/>
      <c r="U58" s="2309"/>
      <c r="V58" s="2309"/>
      <c r="W58" s="2309"/>
      <c r="X58" s="2309"/>
      <c r="Y58" s="2309"/>
      <c r="Z58" s="2309"/>
      <c r="AA58" s="2309"/>
      <c r="AB58" s="2309"/>
      <c r="AC58" s="2309"/>
      <c r="AD58" s="2309"/>
      <c r="AE58" s="2309"/>
      <c r="AF58" s="2309"/>
      <c r="AG58" s="2309"/>
      <c r="AH58" s="2309"/>
      <c r="AI58" s="2309"/>
      <c r="AJ58" s="2309"/>
      <c r="AK58" s="2309"/>
      <c r="AQ58" s="1655">
        <v>19</v>
      </c>
    </row>
    <row customHeight="1" ht="21">
      <c r="O59" s="1659"/>
      <c r="T59" s="2309"/>
      <c r="U59" s="2309"/>
      <c r="V59" s="2309"/>
      <c r="W59" s="2309"/>
      <c r="X59" s="2309"/>
      <c r="Y59" s="2309"/>
      <c r="Z59" s="2309"/>
      <c r="AA59" s="2309"/>
      <c r="AB59" s="2309"/>
      <c r="AC59" s="2309"/>
      <c r="AD59" s="2309"/>
      <c r="AE59" s="2309"/>
      <c r="AF59" s="2309"/>
      <c r="AG59" s="2309"/>
      <c r="AH59" s="2309"/>
      <c r="AI59" s="2309"/>
      <c r="AJ59" s="2309"/>
      <c r="AK59" s="2309"/>
      <c r="AQ59" s="1655">
        <v>20</v>
      </c>
    </row>
    <row customHeight="1" ht="14.699999999999998">
      <c r="O60" s="1659"/>
      <c r="T60" s="1977"/>
      <c r="U60" s="1977"/>
      <c r="V60" s="1977"/>
      <c r="W60" s="1977"/>
      <c r="X60" s="1977"/>
      <c r="Y60" s="1977"/>
      <c r="Z60" s="1977"/>
      <c r="AA60" s="1977"/>
      <c r="AB60" s="1977"/>
      <c r="AC60" s="1977"/>
      <c r="AD60" s="1977"/>
      <c r="AE60" s="1977"/>
      <c r="AF60" s="1977"/>
      <c r="AG60" s="1977"/>
      <c r="AH60" s="1977"/>
      <c r="AI60" s="1977"/>
      <c r="AJ60" s="1977"/>
      <c r="AK60" s="1977"/>
      <c r="AQ60" s="1655">
        <v>14</v>
      </c>
    </row>
    <row customHeight="1" ht="19.95">
      <c r="O61" s="1659"/>
      <c r="T61" s="2309"/>
      <c r="U61" s="2309"/>
      <c r="V61" s="2309"/>
      <c r="W61" s="2309"/>
      <c r="X61" s="2309"/>
      <c r="Y61" s="2309"/>
      <c r="Z61" s="2309"/>
      <c r="AA61" s="2309"/>
      <c r="AB61" s="2309"/>
      <c r="AC61" s="2309"/>
      <c r="AD61" s="2309"/>
      <c r="AE61" s="2309"/>
      <c r="AF61" s="2309"/>
      <c r="AG61" s="2309"/>
      <c r="AH61" s="2309"/>
      <c r="AI61" s="2309"/>
      <c r="AJ61" s="2309"/>
      <c r="AK61" s="2309"/>
      <c r="AQ61" s="1655">
        <v>19</v>
      </c>
    </row>
    <row customHeight="1" ht="16.8">
      <c r="O62" s="1659"/>
      <c r="T62" s="2309"/>
      <c r="U62" s="2309"/>
      <c r="V62" s="2309"/>
      <c r="W62" s="2309"/>
      <c r="X62" s="2309"/>
      <c r="Y62" s="2309"/>
      <c r="Z62" s="2309"/>
      <c r="AA62" s="2309"/>
      <c r="AB62" s="2309"/>
      <c r="AC62" s="2309"/>
      <c r="AD62" s="2309"/>
      <c r="AE62" s="2309"/>
      <c r="AF62" s="2309"/>
      <c r="AG62" s="2309"/>
      <c r="AH62" s="2309"/>
      <c r="AI62" s="2309"/>
      <c r="AJ62" s="2309"/>
      <c r="AK62" s="2309"/>
      <c r="AQ62" s="1655">
        <v>16</v>
      </c>
    </row>
    <row customHeight="1" ht="14.699999999999998">
      <c r="O63" s="1659"/>
      <c r="AQ63" s="1655">
        <v>14</v>
      </c>
    </row>
    <row customHeight="1" ht="22.5" hidden="1">
      <c r="A64" s="1655" t="s">
        <v>82</v>
      </c>
      <c r="B64" s="1655">
        <v>0</v>
      </c>
      <c r="C64" s="1655">
        <v>0</v>
      </c>
      <c r="D64" s="1655">
        <v>0</v>
      </c>
      <c r="E64" s="1655">
        <v>0</v>
      </c>
      <c r="F64" s="1655">
        <v>0</v>
      </c>
      <c r="G64" s="1655">
        <v>0</v>
      </c>
      <c r="H64" s="1655">
        <v>0</v>
      </c>
      <c r="I64" s="1655">
        <v>0</v>
      </c>
      <c r="J64" s="1655">
        <v>0</v>
      </c>
      <c r="K64" s="1655">
        <v>0</v>
      </c>
      <c r="L64" s="1963">
        <v>0</v>
      </c>
      <c r="M64" s="1989">
        <v>0</v>
      </c>
      <c r="N64" s="1989">
        <v>0</v>
      </c>
      <c r="O64" s="1989">
        <v>0</v>
      </c>
      <c r="P64" s="1386">
        <v>3</v>
      </c>
      <c r="Q64" s="1395">
        <v>3</v>
      </c>
      <c r="R64" s="368">
        <v>3</v>
      </c>
      <c r="S64" s="605">
        <v>12</v>
      </c>
      <c r="T64" s="1655">
        <v>31</v>
      </c>
      <c r="U64" s="1655">
        <v>0</v>
      </c>
      <c r="V64" s="1655">
        <v>0</v>
      </c>
      <c r="W64" s="1655">
        <v>0</v>
      </c>
      <c r="X64" s="1655">
        <v>0</v>
      </c>
      <c r="Y64" s="1655">
        <v>0</v>
      </c>
      <c r="Z64" s="1655">
        <v>0</v>
      </c>
      <c r="AA64" s="1655">
        <v>0</v>
      </c>
      <c r="AB64" s="1655">
        <v>27</v>
      </c>
      <c r="AC64" s="1655">
        <v>24</v>
      </c>
      <c r="AD64" s="1655">
        <v>21</v>
      </c>
      <c r="AE64" s="1655">
        <v>21</v>
      </c>
      <c r="AF64" s="1655">
        <v>11</v>
      </c>
      <c r="AG64" s="1655">
        <v>3</v>
      </c>
      <c r="AH64" s="1655">
        <v>11</v>
      </c>
      <c r="AI64" s="1655">
        <v>8</v>
      </c>
      <c r="AJ64" s="1655">
        <v>4</v>
      </c>
      <c r="AK64" s="1655">
        <v>115</v>
      </c>
      <c r="AL64" s="1660">
        <v>10</v>
      </c>
      <c r="AM64" s="1660">
        <v>10</v>
      </c>
      <c r="AN64" s="1660">
        <v>10</v>
      </c>
      <c r="AO64" s="1660">
        <v>10</v>
      </c>
      <c r="AP64" s="1660">
        <v>10</v>
      </c>
      <c r="AQ64" s="1655">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B79064-8E93-6CCB-8537-0.F4C2142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90" width="11.57421875" hidden="1" customWidth="1"/>
    <col min="2" max="2" style="1390" width="11.00390625" hidden="1" customWidth="1"/>
    <col min="3" max="3" style="1390" width="10.57421875" hidden="1"/>
    <col min="4" max="4" style="1390" width="12.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2.00390625" hidden="1" customWidth="1"/>
    <col min="10" max="10" style="1390" width="9.8515625" hidden="1" customWidth="1"/>
    <col min="11" max="11" style="1390" width="11.421875" hidden="1" customWidth="1"/>
    <col min="12" max="12" style="2631" width="19.140625" hidden="1" customWidth="1"/>
    <col min="13" max="14" style="1800" width="12.28125" hidden="1" customWidth="1"/>
    <col min="15" max="15" style="1800" width="23.421875" hidden="1" customWidth="1"/>
    <col min="16" max="16" style="1800" width="3.7109375" hidden="1" customWidth="1"/>
    <col min="17" max="17" style="1395" width="3.7109375" hidden="1" customWidth="1"/>
    <col min="18" max="18" style="368" width="3.00390625" customWidth="1"/>
    <col min="19" max="19" style="2431" width="12.00390625" customWidth="1"/>
    <col min="20" max="20" style="1659" width="31.00390625" customWidth="1"/>
    <col min="21" max="21" style="1659" width="0.140625" customWidth="1"/>
    <col min="22" max="25" style="1659" width="21.7109375" hidden="1" customWidth="1"/>
    <col min="26" max="26" style="1659" width="11.7109375" hidden="1" customWidth="1"/>
    <col min="27" max="27" style="1659" width="3.7109375" hidden="1" customWidth="1"/>
    <col min="28" max="28" style="1659" width="11.7109375" hidden="1" customWidth="1"/>
    <col min="29" max="29" style="1659" width="8.57421875" hidden="1" customWidth="1"/>
    <col min="30" max="30" style="1659" width="3.7109375" customWidth="1"/>
    <col min="31" max="32" style="1659" width="3.00390625" customWidth="1"/>
    <col min="33" max="33" style="1659" width="24.00390625" customWidth="1"/>
    <col min="34" max="34" style="1659" width="3.7109375" customWidth="1"/>
    <col min="35" max="36" style="1659" width="3.00390625" customWidth="1"/>
    <col min="37" max="37" style="1659" width="24.00390625" customWidth="1"/>
    <col min="38" max="38" style="1659" width="3.7109375" customWidth="1"/>
    <col min="39" max="40" style="1659" width="3.00390625" customWidth="1"/>
    <col min="41" max="41" style="1659" width="18.00390625" customWidth="1"/>
    <col min="42" max="42" style="1659" width="3.7109375" customWidth="1"/>
    <col min="43" max="44" style="1659" width="3.00390625" customWidth="1"/>
    <col min="45" max="45" style="1659" width="18.00390625" customWidth="1"/>
    <col min="46" max="49" style="1659" width="21.00390625" customWidth="1"/>
    <col min="50" max="50" style="1659" width="11.00390625" customWidth="1"/>
    <col min="51" max="51" style="1659" width="3.7109375" customWidth="1"/>
    <col min="52" max="52" style="1659" width="11.00390625" customWidth="1"/>
    <col min="53" max="53" style="1659" width="8.57421875" hidden="1" customWidth="1"/>
    <col min="54" max="54" style="1659" width="4.00390625" customWidth="1"/>
    <col min="55" max="55" style="1659" width="115.00390625" customWidth="1"/>
    <col min="56" max="60" style="1666" width="10.00390625" customWidth="1"/>
    <col min="61" max="61" style="1659" width="10.57421875" hidden="1"/>
  </cols>
  <sheetData>
    <row customHeight="1" ht="22.5" hidden="1">
      <c r="W1" s="351"/>
      <c r="Y1" s="351"/>
      <c r="Z1" s="351"/>
      <c r="AW1" s="351"/>
      <c r="AX1" s="351"/>
      <c r="BI1" s="1179" t="s">
        <v>14</v>
      </c>
    </row>
    <row customHeight="1" ht="21" hidden="1">
      <c r="A2" s="1387"/>
      <c r="B2" s="1387"/>
      <c r="C2" s="1387"/>
      <c r="D2" s="1387"/>
      <c r="E2" s="2282">
        <v>1</v>
      </c>
      <c r="F2" s="1387"/>
      <c r="G2" s="1387"/>
      <c r="H2" s="1387"/>
      <c r="I2" s="1387"/>
      <c r="J2" s="1387"/>
      <c r="K2" s="1387"/>
      <c r="L2" s="1388"/>
      <c r="M2" s="1389"/>
      <c r="N2" s="1389"/>
      <c r="O2" s="1389"/>
      <c r="P2" s="1433"/>
      <c r="Q2" s="897"/>
      <c r="R2" s="379"/>
      <c r="S2" s="1489">
        <f>INDEX(PT_DIFFERENTIATION_NUM_NTAR,MATCH(A2,PT_DIFFERENTIATION_NTAR_ID,0))</f>
      </c>
      <c r="T2" s="322" t="s">
        <v>211</v>
      </c>
      <c r="U2" s="324"/>
      <c r="V2" s="2267"/>
      <c r="W2" s="2267"/>
      <c r="X2" s="2267"/>
      <c r="Y2" s="2267"/>
      <c r="Z2" s="2267"/>
      <c r="AA2" s="2267"/>
      <c r="AB2" s="2267"/>
      <c r="AC2" s="2268"/>
      <c r="AD2" s="2266">
        <f>INDEX(PT_DIFFERENTIATION_NTAR,MATCH(A2,PT_DIFFERENTIATION_NTAR_ID,0))</f>
      </c>
      <c r="AE2" s="2267"/>
      <c r="AF2" s="2267"/>
      <c r="AG2" s="2267"/>
      <c r="AH2" s="2267"/>
      <c r="AI2" s="2267"/>
      <c r="AJ2" s="2267"/>
      <c r="AK2" s="2267"/>
      <c r="AL2" s="2267"/>
      <c r="AM2" s="2267"/>
      <c r="AN2" s="2267"/>
      <c r="AO2" s="2267"/>
      <c r="AP2" s="2267"/>
      <c r="AQ2" s="2267"/>
      <c r="AR2" s="2267"/>
      <c r="AS2" s="2267"/>
      <c r="AT2" s="2267"/>
      <c r="AU2" s="2267"/>
      <c r="AV2" s="2267"/>
      <c r="AW2" s="2267"/>
      <c r="AX2" s="2267"/>
      <c r="AY2" s="2267"/>
      <c r="AZ2" s="2267"/>
      <c r="BA2" s="2267"/>
      <c r="BB2" s="2268"/>
      <c r="BC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24"/>
      <c r="BF2" s="524" t="str">
        <f>IF(T2="","",T2)</f>
        <v>Наименование тарифа</v>
      </c>
      <c r="BG2" s="524"/>
      <c r="BH2" s="524"/>
      <c r="BI2" s="1179">
        <v>0</v>
      </c>
    </row>
    <row customHeight="1" ht="21" hidden="1">
      <c r="A3" s="1387"/>
      <c r="B3" s="1387"/>
      <c r="C3" s="1387"/>
      <c r="D3" s="1387"/>
      <c r="E3" s="2283"/>
      <c r="F3" s="2282">
        <v>1</v>
      </c>
      <c r="G3" s="1387"/>
      <c r="H3" s="1387"/>
      <c r="I3" s="1387"/>
      <c r="J3" s="1387"/>
      <c r="K3" s="1387"/>
      <c r="L3" s="1388"/>
      <c r="M3" s="1389"/>
      <c r="N3" s="1389"/>
      <c r="O3" s="1389"/>
      <c r="P3" s="1434"/>
      <c r="Q3" s="1435"/>
      <c r="R3" s="377"/>
      <c r="S3" s="1489">
        <f>INDEX(PT_DIFFERENTIATION_NUM_TER,MATCH(B3,PT_DIFFERENTIATION_TER_ID,0))</f>
      </c>
      <c r="T3" s="332" t="s">
        <v>481</v>
      </c>
      <c r="U3" s="324"/>
      <c r="V3" s="2267"/>
      <c r="W3" s="2267"/>
      <c r="X3" s="2267"/>
      <c r="Y3" s="2267"/>
      <c r="Z3" s="2267"/>
      <c r="AA3" s="2267"/>
      <c r="AB3" s="2267"/>
      <c r="AC3" s="2268"/>
      <c r="AD3" s="2266">
        <f>INDEX(PT_DIFFERENTIATION_TER,MATCH(B3,PT_DIFFERENTIATION_TER_ID,0))</f>
      </c>
      <c r="AE3" s="2267"/>
      <c r="AF3" s="2267"/>
      <c r="AG3" s="2267"/>
      <c r="AH3" s="2267"/>
      <c r="AI3" s="2267"/>
      <c r="AJ3" s="2267"/>
      <c r="AK3" s="2267"/>
      <c r="AL3" s="2267"/>
      <c r="AM3" s="2267"/>
      <c r="AN3" s="2267"/>
      <c r="AO3" s="2267"/>
      <c r="AP3" s="2267"/>
      <c r="AQ3" s="2267"/>
      <c r="AR3" s="2267"/>
      <c r="AS3" s="2267"/>
      <c r="AT3" s="2267"/>
      <c r="AU3" s="2267"/>
      <c r="AV3" s="2267"/>
      <c r="AW3" s="2267"/>
      <c r="AX3" s="2267"/>
      <c r="AY3" s="2267"/>
      <c r="AZ3" s="2267"/>
      <c r="BA3" s="2267"/>
      <c r="BB3" s="2268"/>
      <c r="BC3" s="1282" t="s">
        <v>482</v>
      </c>
      <c r="BE3" s="524"/>
      <c r="BF3" s="524" t="str">
        <f>IF(T3="","",T3)</f>
        <v>Территория действия тарифа</v>
      </c>
      <c r="BG3" s="524"/>
      <c r="BH3" s="524"/>
      <c r="BI3" s="1179">
        <v>0</v>
      </c>
    </row>
    <row customHeight="1" ht="42" hidden="1">
      <c r="A4" s="1387"/>
      <c r="B4" s="1387"/>
      <c r="C4" s="1387"/>
      <c r="D4" s="1387"/>
      <c r="E4" s="2283"/>
      <c r="F4" s="2283"/>
      <c r="G4" s="2282">
        <v>1</v>
      </c>
      <c r="H4" s="1387"/>
      <c r="I4" s="1387"/>
      <c r="J4" s="1387"/>
      <c r="K4" s="1387"/>
      <c r="L4" s="1388"/>
      <c r="M4" s="1389"/>
      <c r="N4" s="1389"/>
      <c r="O4" s="1389"/>
      <c r="P4" s="1436"/>
      <c r="Q4" s="1435"/>
      <c r="R4" s="377"/>
      <c r="S4" s="1489">
        <f>INDEX(PT_DIFFERENTIATION_NUM_CS,MATCH(C4,PT_DIFFERENTIATION_CS_ID,0))</f>
      </c>
      <c r="T4" s="333" t="s">
        <v>565</v>
      </c>
      <c r="U4" s="324"/>
      <c r="V4" s="2267"/>
      <c r="W4" s="2267"/>
      <c r="X4" s="2267"/>
      <c r="Y4" s="2267"/>
      <c r="Z4" s="2267"/>
      <c r="AA4" s="2267"/>
      <c r="AB4" s="2267"/>
      <c r="AC4" s="2268"/>
      <c r="AD4" s="2266">
        <f>INDEX(PT_DIFFERENTIATION_CS,MATCH(C4,PT_DIFFERENTIATION_CS_ID,0))</f>
      </c>
      <c r="AE4" s="2267"/>
      <c r="AF4" s="2267"/>
      <c r="AG4" s="2267"/>
      <c r="AH4" s="2267"/>
      <c r="AI4" s="2267"/>
      <c r="AJ4" s="2267"/>
      <c r="AK4" s="2267"/>
      <c r="AL4" s="2267"/>
      <c r="AM4" s="2267"/>
      <c r="AN4" s="2267"/>
      <c r="AO4" s="2267"/>
      <c r="AP4" s="2267"/>
      <c r="AQ4" s="2267"/>
      <c r="AR4" s="2267"/>
      <c r="AS4" s="2267"/>
      <c r="AT4" s="2267"/>
      <c r="AU4" s="2267"/>
      <c r="AV4" s="2267"/>
      <c r="AW4" s="2267"/>
      <c r="AX4" s="2267"/>
      <c r="AY4" s="2267"/>
      <c r="AZ4" s="2267"/>
      <c r="BA4" s="2267"/>
      <c r="BB4" s="2268"/>
      <c r="BC4" s="1282" t="s">
        <v>566</v>
      </c>
      <c r="BE4" s="524"/>
      <c r="BF4" s="524" t="str">
        <f>IF(T4="","",T4)</f>
        <v>Наименование централизованной системы холодного водоснабжения</v>
      </c>
      <c r="BG4" s="524"/>
      <c r="BH4" s="524"/>
      <c r="BI4" s="1179">
        <v>0</v>
      </c>
    </row>
    <row s="1666" customFormat="1" customHeight="1" ht="14.25" hidden="1">
      <c r="A5" s="1367"/>
      <c r="B5" s="1367"/>
      <c r="C5" s="1367"/>
      <c r="D5" s="1367"/>
      <c r="E5" s="2283"/>
      <c r="F5" s="2283"/>
      <c r="G5" s="2283"/>
      <c r="H5" s="2282">
        <v>1</v>
      </c>
      <c r="I5" s="1367"/>
      <c r="J5" s="1367"/>
      <c r="K5" s="1367"/>
      <c r="L5" s="1370"/>
      <c r="M5" s="1339"/>
      <c r="N5" s="1339"/>
      <c r="O5" s="1339"/>
      <c r="P5" s="1521"/>
      <c r="Q5" s="1522"/>
      <c r="R5" s="381"/>
      <c r="S5" s="1066"/>
      <c r="T5" s="1523"/>
      <c r="U5" s="1408"/>
      <c r="V5" s="2321"/>
      <c r="W5" s="2321"/>
      <c r="X5" s="2321"/>
      <c r="Y5" s="2321"/>
      <c r="Z5" s="2321"/>
      <c r="AA5" s="2321"/>
      <c r="AB5" s="2321"/>
      <c r="AC5" s="2322"/>
      <c r="AD5" s="2320"/>
      <c r="AE5" s="2321"/>
      <c r="AF5" s="2321"/>
      <c r="AG5" s="2321"/>
      <c r="AH5" s="2321"/>
      <c r="AI5" s="2321"/>
      <c r="AJ5" s="2321"/>
      <c r="AK5" s="2321"/>
      <c r="AL5" s="2321"/>
      <c r="AM5" s="2321"/>
      <c r="AN5" s="2321"/>
      <c r="AO5" s="2321"/>
      <c r="AP5" s="2321"/>
      <c r="AQ5" s="2321"/>
      <c r="AR5" s="2321"/>
      <c r="AS5" s="2321"/>
      <c r="AT5" s="2321"/>
      <c r="AU5" s="2321"/>
      <c r="AV5" s="2321"/>
      <c r="AW5" s="2321"/>
      <c r="AX5" s="2321"/>
      <c r="AY5" s="2321"/>
      <c r="AZ5" s="2321"/>
      <c r="BA5" s="2321"/>
      <c r="BB5" s="2322"/>
      <c r="BC5" s="1409" t="s">
        <v>486</v>
      </c>
      <c r="BE5" s="524"/>
      <c r="BF5" s="524" t="str">
        <f>IF(T5="","",T5)</f>
        <v/>
      </c>
      <c r="BG5" s="524"/>
      <c r="BH5" s="524"/>
      <c r="BI5" s="535">
        <v>0</v>
      </c>
    </row>
    <row s="1666" customFormat="1" customHeight="1" ht="14.25" hidden="1">
      <c r="A6" s="1367"/>
      <c r="B6" s="1367"/>
      <c r="C6" s="1367"/>
      <c r="D6" s="1367"/>
      <c r="E6" s="2283"/>
      <c r="F6" s="2283"/>
      <c r="G6" s="2283"/>
      <c r="H6" s="2283"/>
      <c r="I6" s="2280" t="str">
        <f>S5&amp;".1"</f>
        <v>.1</v>
      </c>
      <c r="J6" s="1367"/>
      <c r="K6" s="1367"/>
      <c r="L6" s="1370" t="s">
        <v>487</v>
      </c>
      <c r="M6" s="534"/>
      <c r="N6" s="534"/>
      <c r="O6" s="534"/>
      <c r="P6" s="2281">
        <v>1</v>
      </c>
      <c r="Q6" s="1486"/>
      <c r="R6" s="380"/>
      <c r="S6" s="1066"/>
      <c r="T6" s="1407"/>
      <c r="U6" s="1408"/>
      <c r="V6" s="2321"/>
      <c r="W6" s="2321"/>
      <c r="X6" s="2321"/>
      <c r="Y6" s="2321"/>
      <c r="Z6" s="2321"/>
      <c r="AA6" s="2321"/>
      <c r="AB6" s="2321"/>
      <c r="AC6" s="2322"/>
      <c r="AD6" s="2320"/>
      <c r="AE6" s="2321"/>
      <c r="AF6" s="2321"/>
      <c r="AG6" s="2321"/>
      <c r="AH6" s="2321"/>
      <c r="AI6" s="2321"/>
      <c r="AJ6" s="2321"/>
      <c r="AK6" s="2321"/>
      <c r="AL6" s="2321"/>
      <c r="AM6" s="2321"/>
      <c r="AN6" s="2321"/>
      <c r="AO6" s="2321"/>
      <c r="AP6" s="2321"/>
      <c r="AQ6" s="2321"/>
      <c r="AR6" s="2321"/>
      <c r="AS6" s="2321"/>
      <c r="AT6" s="2321"/>
      <c r="AU6" s="2321"/>
      <c r="AV6" s="2321"/>
      <c r="AW6" s="2321"/>
      <c r="AX6" s="2321"/>
      <c r="AY6" s="2321"/>
      <c r="AZ6" s="2321"/>
      <c r="BA6" s="2321"/>
      <c r="BB6" s="2322"/>
      <c r="BC6" s="1409"/>
      <c r="BE6" s="524"/>
      <c r="BF6" s="524" t="str">
        <f>IF(T6="","",T6)</f>
        <v/>
      </c>
      <c r="BG6" s="524"/>
      <c r="BH6" s="524"/>
      <c r="BI6" s="535">
        <v>0</v>
      </c>
    </row>
    <row s="1666" customFormat="1" customHeight="1" ht="14.25" hidden="1">
      <c r="A7" s="1367"/>
      <c r="B7" s="1367"/>
      <c r="C7" s="1367"/>
      <c r="D7" s="1367"/>
      <c r="E7" s="2283"/>
      <c r="F7" s="2283"/>
      <c r="G7" s="2283"/>
      <c r="H7" s="2283"/>
      <c r="I7" s="2310"/>
      <c r="J7" s="2280" t="str">
        <f>S5&amp;".1"</f>
        <v>.1</v>
      </c>
      <c r="K7" s="1367"/>
      <c r="L7" s="1370"/>
      <c r="M7" s="534"/>
      <c r="N7" s="534"/>
      <c r="O7" s="534"/>
      <c r="P7" s="2281"/>
      <c r="Q7" s="2281">
        <v>1</v>
      </c>
      <c r="R7" s="381"/>
      <c r="S7" s="1066"/>
      <c r="T7" s="1423"/>
      <c r="U7" s="1408"/>
      <c r="V7" s="2321"/>
      <c r="W7" s="2321"/>
      <c r="X7" s="2321"/>
      <c r="Y7" s="2321"/>
      <c r="Z7" s="2321"/>
      <c r="AA7" s="2321"/>
      <c r="AB7" s="2321"/>
      <c r="AC7" s="2322"/>
      <c r="AD7" s="2320"/>
      <c r="AE7" s="2321"/>
      <c r="AF7" s="2321"/>
      <c r="AG7" s="2321"/>
      <c r="AH7" s="2321"/>
      <c r="AI7" s="2321"/>
      <c r="AJ7" s="2321"/>
      <c r="AK7" s="2321"/>
      <c r="AL7" s="2321"/>
      <c r="AM7" s="2321"/>
      <c r="AN7" s="2321"/>
      <c r="AO7" s="2321"/>
      <c r="AP7" s="2321"/>
      <c r="AQ7" s="2321"/>
      <c r="AR7" s="2321"/>
      <c r="AS7" s="2321"/>
      <c r="AT7" s="2321"/>
      <c r="AU7" s="2321"/>
      <c r="AV7" s="2321"/>
      <c r="AW7" s="2321"/>
      <c r="AX7" s="2321"/>
      <c r="AY7" s="2321"/>
      <c r="AZ7" s="2321"/>
      <c r="BA7" s="2321"/>
      <c r="BB7" s="2322"/>
      <c r="BC7" s="1409"/>
      <c r="BE7" s="524"/>
      <c r="BF7" s="524" t="str">
        <f>IF(T7="","",T7)</f>
        <v/>
      </c>
      <c r="BG7" s="524"/>
      <c r="BH7" s="524"/>
      <c r="BI7" s="535">
        <v>0</v>
      </c>
    </row>
    <row customHeight="1" ht="11.25" hidden="1">
      <c r="A8" s="1387"/>
      <c r="B8" s="1387"/>
      <c r="C8" s="1387"/>
      <c r="D8" s="1387"/>
      <c r="E8" s="2283"/>
      <c r="F8" s="2283"/>
      <c r="G8" s="2283"/>
      <c r="H8" s="2283"/>
      <c r="I8" s="2310"/>
      <c r="J8" s="2310"/>
      <c r="K8" s="2280">
        <f>S4&amp;".1"</f>
      </c>
      <c r="L8" s="1388"/>
      <c r="P8" s="2281"/>
      <c r="Q8" s="2281"/>
      <c r="R8" s="2371">
        <v>1</v>
      </c>
      <c r="S8" s="2365">
        <f>$K8</f>
      </c>
      <c r="T8" s="2384"/>
      <c r="U8" s="324"/>
      <c r="V8" s="775"/>
      <c r="W8" s="1281"/>
      <c r="X8" s="775"/>
      <c r="Y8" s="1281"/>
      <c r="Z8" s="1758"/>
      <c r="AA8" s="1483" t="s">
        <v>66</v>
      </c>
      <c r="AB8" s="1758"/>
      <c r="AC8" s="1483" t="s">
        <v>66</v>
      </c>
      <c r="AD8" s="2209" t="s">
        <v>66</v>
      </c>
      <c r="AE8" s="2350"/>
      <c r="AF8" s="2229">
        <v>1</v>
      </c>
      <c r="AG8" s="2387"/>
      <c r="AH8" s="2131" t="s">
        <v>66</v>
      </c>
      <c r="AI8" s="2350"/>
      <c r="AJ8" s="2229">
        <v>1</v>
      </c>
      <c r="AK8" s="2351" t="s">
        <v>22</v>
      </c>
      <c r="AL8" s="2131" t="s">
        <v>66</v>
      </c>
      <c r="AM8" s="2216"/>
      <c r="AN8" s="2229">
        <v>1</v>
      </c>
      <c r="AO8" s="2381"/>
      <c r="AP8" s="2382" t="s">
        <v>66</v>
      </c>
      <c r="AQ8" s="335"/>
      <c r="AR8" s="1487">
        <v>1</v>
      </c>
      <c r="AS8" s="1490" t="s">
        <v>22</v>
      </c>
      <c r="AT8" s="775"/>
      <c r="AU8" s="1281"/>
      <c r="AV8" s="775"/>
      <c r="AW8" s="1281"/>
      <c r="AX8" s="1758"/>
      <c r="AY8" s="1483" t="s">
        <v>66</v>
      </c>
      <c r="AZ8" s="1758"/>
      <c r="BA8" s="1483" t="s">
        <v>66</v>
      </c>
      <c r="BB8" s="1372"/>
      <c r="BC8" s="2277" t="s">
        <v>585</v>
      </c>
      <c r="BE8" s="524"/>
      <c r="BF8" s="524" t="str">
        <f>IF(T8="","",T8)</f>
        <v/>
      </c>
      <c r="BG8" s="524"/>
      <c r="BH8" s="524"/>
      <c r="BI8" s="1179">
        <v>0</v>
      </c>
    </row>
    <row customHeight="1" ht="11.25" hidden="1">
      <c r="A9" s="1387"/>
      <c r="B9" s="1387"/>
      <c r="C9" s="1387"/>
      <c r="D9" s="1387"/>
      <c r="E9" s="2283"/>
      <c r="F9" s="2283"/>
      <c r="G9" s="2283"/>
      <c r="H9" s="2283"/>
      <c r="I9" s="2310"/>
      <c r="J9" s="2310"/>
      <c r="K9" s="2280"/>
      <c r="L9" s="1388"/>
      <c r="P9" s="2281"/>
      <c r="Q9" s="2281"/>
      <c r="R9" s="2371"/>
      <c r="S9" s="2366"/>
      <c r="T9" s="2385"/>
      <c r="U9" s="324"/>
      <c r="V9" s="1417"/>
      <c r="W9" s="1520"/>
      <c r="X9" s="1417"/>
      <c r="Y9" s="1520"/>
      <c r="Z9" s="1417"/>
      <c r="AA9" s="1417"/>
      <c r="AB9" s="1417"/>
      <c r="AC9" s="1417"/>
      <c r="AD9" s="2210"/>
      <c r="AE9" s="2350"/>
      <c r="AF9" s="2229"/>
      <c r="AG9" s="2387"/>
      <c r="AH9" s="2131"/>
      <c r="AI9" s="2350"/>
      <c r="AJ9" s="2229"/>
      <c r="AK9" s="2351"/>
      <c r="AL9" s="2131"/>
      <c r="AM9" s="2224"/>
      <c r="AN9" s="2229"/>
      <c r="AO9" s="2381"/>
      <c r="AP9" s="2383"/>
      <c r="AQ9" s="340"/>
      <c r="AR9" s="440"/>
      <c r="AS9" s="440" t="s">
        <v>586</v>
      </c>
      <c r="AT9" s="1417"/>
      <c r="AU9" s="1520"/>
      <c r="AV9" s="1417"/>
      <c r="AW9" s="1520"/>
      <c r="AX9" s="1417"/>
      <c r="AY9" s="1417"/>
      <c r="AZ9" s="1417"/>
      <c r="BA9" s="1417"/>
      <c r="BB9" s="1421"/>
      <c r="BC9" s="2278"/>
      <c r="BE9" s="524"/>
      <c r="BF9" s="524"/>
      <c r="BG9" s="524"/>
      <c r="BH9" s="524"/>
      <c r="BI9" s="1179">
        <v>0</v>
      </c>
    </row>
    <row customHeight="1" ht="11.25" hidden="1">
      <c r="A10" s="1387"/>
      <c r="B10" s="1387"/>
      <c r="C10" s="1387"/>
      <c r="D10" s="1387"/>
      <c r="E10" s="2283"/>
      <c r="F10" s="2283"/>
      <c r="G10" s="2283"/>
      <c r="H10" s="2283"/>
      <c r="I10" s="2310"/>
      <c r="J10" s="2310"/>
      <c r="K10" s="2280"/>
      <c r="L10" s="1388"/>
      <c r="P10" s="2281"/>
      <c r="Q10" s="2281"/>
      <c r="R10" s="2371"/>
      <c r="S10" s="2366"/>
      <c r="T10" s="2385"/>
      <c r="U10" s="324"/>
      <c r="V10" s="1417"/>
      <c r="W10" s="1520"/>
      <c r="X10" s="1417"/>
      <c r="Y10" s="1520"/>
      <c r="Z10" s="1417"/>
      <c r="AA10" s="1417"/>
      <c r="AB10" s="1417"/>
      <c r="AC10" s="1417"/>
      <c r="AD10" s="2210"/>
      <c r="AE10" s="2350"/>
      <c r="AF10" s="2229"/>
      <c r="AG10" s="2387"/>
      <c r="AH10" s="2131"/>
      <c r="AI10" s="2350"/>
      <c r="AJ10" s="2229"/>
      <c r="AK10" s="2351"/>
      <c r="AL10" s="2131"/>
      <c r="AM10" s="340"/>
      <c r="AN10" s="1524"/>
      <c r="AO10" s="1524" t="s">
        <v>587</v>
      </c>
      <c r="AP10" s="440"/>
      <c r="AQ10" s="440"/>
      <c r="AR10" s="440"/>
      <c r="AS10" s="1417"/>
      <c r="AT10" s="1417"/>
      <c r="AU10" s="1520"/>
      <c r="AV10" s="1417"/>
      <c r="AW10" s="1520"/>
      <c r="AX10" s="1417"/>
      <c r="AY10" s="1417"/>
      <c r="AZ10" s="1417"/>
      <c r="BA10" s="1417"/>
      <c r="BB10" s="1421"/>
      <c r="BC10" s="2278"/>
      <c r="BE10" s="524"/>
      <c r="BF10" s="524"/>
      <c r="BG10" s="524"/>
      <c r="BH10" s="524"/>
      <c r="BI10" s="1179">
        <v>0</v>
      </c>
    </row>
    <row customHeight="1" ht="11.25" hidden="1">
      <c r="A11" s="1387"/>
      <c r="B11" s="1387"/>
      <c r="C11" s="1387"/>
      <c r="D11" s="1387"/>
      <c r="E11" s="2283"/>
      <c r="F11" s="2283"/>
      <c r="G11" s="2283"/>
      <c r="H11" s="2283"/>
      <c r="I11" s="2310"/>
      <c r="J11" s="2310"/>
      <c r="K11" s="2280"/>
      <c r="L11" s="1388"/>
      <c r="P11" s="2281"/>
      <c r="Q11" s="2281"/>
      <c r="R11" s="2371"/>
      <c r="S11" s="2366"/>
      <c r="T11" s="2385"/>
      <c r="U11" s="324"/>
      <c r="V11" s="1417"/>
      <c r="W11" s="1520"/>
      <c r="X11" s="1417"/>
      <c r="Y11" s="1520"/>
      <c r="Z11" s="1417"/>
      <c r="AA11" s="1417"/>
      <c r="AB11" s="1417"/>
      <c r="AC11" s="1417"/>
      <c r="AD11" s="2210"/>
      <c r="AE11" s="2350"/>
      <c r="AF11" s="2229"/>
      <c r="AG11" s="2387"/>
      <c r="AH11" s="2131"/>
      <c r="AI11" s="318"/>
      <c r="AJ11" s="439"/>
      <c r="AK11" s="337" t="s">
        <v>588</v>
      </c>
      <c r="AL11" s="1417"/>
      <c r="AM11" s="1417"/>
      <c r="AN11" s="1417"/>
      <c r="AO11" s="1417"/>
      <c r="AP11" s="1417"/>
      <c r="AQ11" s="1417"/>
      <c r="AR11" s="1417"/>
      <c r="AS11" s="1417"/>
      <c r="AT11" s="1417"/>
      <c r="AU11" s="1520"/>
      <c r="AV11" s="1417"/>
      <c r="AW11" s="1520"/>
      <c r="AX11" s="1417"/>
      <c r="AY11" s="1417"/>
      <c r="AZ11" s="1417"/>
      <c r="BA11" s="1417"/>
      <c r="BB11" s="1421"/>
      <c r="BC11" s="2278"/>
      <c r="BE11" s="524"/>
      <c r="BF11" s="524"/>
      <c r="BG11" s="524"/>
      <c r="BH11" s="524"/>
      <c r="BI11" s="1179">
        <v>0</v>
      </c>
    </row>
    <row customHeight="1" ht="11.25" hidden="1">
      <c r="A12" s="1387"/>
      <c r="B12" s="1387"/>
      <c r="C12" s="1387"/>
      <c r="D12" s="1387"/>
      <c r="E12" s="2283"/>
      <c r="F12" s="2283"/>
      <c r="G12" s="2283"/>
      <c r="H12" s="2283"/>
      <c r="I12" s="2310"/>
      <c r="J12" s="2310"/>
      <c r="K12" s="2280"/>
      <c r="L12" s="1388"/>
      <c r="P12" s="2281"/>
      <c r="Q12" s="2281"/>
      <c r="R12" s="2371"/>
      <c r="S12" s="2367"/>
      <c r="T12" s="2386"/>
      <c r="U12" s="324"/>
      <c r="V12" s="1417"/>
      <c r="W12" s="1418" t="str">
        <f>Z8&amp;"-"&amp;AB8</f>
        <v>-</v>
      </c>
      <c r="X12" s="1417"/>
      <c r="Y12" s="1418" t="str">
        <f>AB8&amp;"-"&amp;AD8</f>
        <v>-да</v>
      </c>
      <c r="Z12" s="1417"/>
      <c r="AA12" s="1417"/>
      <c r="AB12" s="1417"/>
      <c r="AC12" s="1417"/>
      <c r="AD12" s="2136"/>
      <c r="AE12" s="336"/>
      <c r="AF12" s="338"/>
      <c r="AG12" s="440" t="s">
        <v>589</v>
      </c>
      <c r="AH12" s="1417"/>
      <c r="AI12" s="1417"/>
      <c r="AJ12" s="1417"/>
      <c r="AK12" s="1417"/>
      <c r="AL12" s="1417"/>
      <c r="AM12" s="1417"/>
      <c r="AN12" s="1417"/>
      <c r="AO12" s="1417"/>
      <c r="AP12" s="1417"/>
      <c r="AQ12" s="1417"/>
      <c r="AR12" s="1417"/>
      <c r="AS12" s="1417"/>
      <c r="AT12" s="1417"/>
      <c r="AU12" s="1418" t="str">
        <f>AX8&amp;"-"&amp;AZ8</f>
        <v>-</v>
      </c>
      <c r="AV12" s="1417"/>
      <c r="AW12" s="1418" t="str">
        <f>AZ8&amp;"-"&amp;BB8</f>
        <v>-</v>
      </c>
      <c r="AX12" s="1417"/>
      <c r="AY12" s="1417"/>
      <c r="AZ12" s="1417"/>
      <c r="BA12" s="1417"/>
      <c r="BB12" s="1420" t="str">
        <f>BE8&amp;"-"&amp;BG8</f>
        <v>-</v>
      </c>
      <c r="BC12" s="2278"/>
      <c r="BE12" s="524"/>
      <c r="BF12" s="524" t="str">
        <f>IF(T12="","",T12)</f>
        <v/>
      </c>
      <c r="BG12" s="524"/>
      <c r="BH12" s="524"/>
      <c r="BI12" s="1179">
        <v>0</v>
      </c>
    </row>
    <row customHeight="1" ht="11.25" hidden="1">
      <c r="A13" s="1387"/>
      <c r="B13" s="1387"/>
      <c r="C13" s="1387"/>
      <c r="D13" s="1387"/>
      <c r="E13" s="2283"/>
      <c r="F13" s="2283"/>
      <c r="G13" s="2283"/>
      <c r="H13" s="2283"/>
      <c r="I13" s="2310"/>
      <c r="J13" s="2280"/>
      <c r="K13" s="1387"/>
      <c r="L13" s="1388"/>
      <c r="P13" s="2281"/>
      <c r="Q13" s="2281"/>
      <c r="R13" s="380"/>
      <c r="S13" s="1302"/>
      <c r="T13" s="311" t="s">
        <v>552</v>
      </c>
      <c r="U13" s="391"/>
      <c r="V13" s="391"/>
      <c r="W13" s="391"/>
      <c r="X13" s="391"/>
      <c r="Y13" s="391"/>
      <c r="Z13" s="391"/>
      <c r="AA13" s="391"/>
      <c r="AB13" s="391"/>
      <c r="AC13" s="391"/>
      <c r="AD13" s="1529"/>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48"/>
      <c r="BC13" s="2279"/>
      <c r="BE13" s="524"/>
      <c r="BF13" s="524" t="str">
        <f>IF(T13="","",T13)</f>
        <v>Добавить строку</v>
      </c>
      <c r="BG13" s="524"/>
      <c r="BH13" s="524"/>
      <c r="BI13" s="1179">
        <v>0</v>
      </c>
    </row>
    <row s="1666" customFormat="1" customHeight="1" ht="14.25" hidden="1">
      <c r="A14" s="1367"/>
      <c r="B14" s="1367"/>
      <c r="C14" s="1367"/>
      <c r="D14" s="1367"/>
      <c r="E14" s="2283"/>
      <c r="F14" s="2283"/>
      <c r="G14" s="2283"/>
      <c r="H14" s="2283"/>
      <c r="I14" s="2280"/>
      <c r="J14" s="1367"/>
      <c r="K14" s="1367"/>
      <c r="L14" s="1370"/>
      <c r="M14" s="534"/>
      <c r="N14" s="534"/>
      <c r="O14" s="534"/>
      <c r="P14" s="2281"/>
      <c r="Q14" s="1486"/>
      <c r="R14" s="380"/>
      <c r="S14" s="1410"/>
      <c r="T14" s="1411"/>
      <c r="U14" s="1412"/>
      <c r="V14" s="1412"/>
      <c r="W14" s="1412"/>
      <c r="X14" s="1412"/>
      <c r="Y14" s="1412"/>
      <c r="Z14" s="1412"/>
      <c r="AA14" s="1412"/>
      <c r="AB14" s="1412"/>
      <c r="AC14" s="1412"/>
      <c r="AD14" s="1412"/>
      <c r="AE14" s="1412"/>
      <c r="AF14" s="1412"/>
      <c r="AG14" s="1412"/>
      <c r="AH14" s="1412"/>
      <c r="AI14" s="1412"/>
      <c r="AJ14" s="1412"/>
      <c r="AK14" s="1412"/>
      <c r="AL14" s="1412"/>
      <c r="AM14" s="1412"/>
      <c r="AN14" s="1412"/>
      <c r="AO14" s="1412"/>
      <c r="AP14" s="1412"/>
      <c r="AQ14" s="1412"/>
      <c r="AR14" s="1412"/>
      <c r="AS14" s="1412"/>
      <c r="AT14" s="1412"/>
      <c r="AU14" s="1412"/>
      <c r="AV14" s="1412"/>
      <c r="AW14" s="1412"/>
      <c r="AX14" s="1412"/>
      <c r="AY14" s="1412"/>
      <c r="AZ14" s="1412"/>
      <c r="BA14" s="1412"/>
      <c r="BB14" s="1412"/>
      <c r="BC14" s="1413"/>
      <c r="BE14" s="524"/>
      <c r="BF14" s="524" t="str">
        <f>IF(T14="","",T14)</f>
        <v/>
      </c>
      <c r="BG14" s="524"/>
      <c r="BH14" s="524"/>
      <c r="BI14" s="535">
        <v>0</v>
      </c>
    </row>
    <row s="1666" customFormat="1" customHeight="1" ht="14.25" hidden="1">
      <c r="A15" s="1367"/>
      <c r="B15" s="1367"/>
      <c r="C15" s="1367"/>
      <c r="D15" s="1367"/>
      <c r="E15" s="2283"/>
      <c r="F15" s="2283"/>
      <c r="G15" s="2283"/>
      <c r="H15" s="2282"/>
      <c r="I15" s="1367"/>
      <c r="J15" s="1367"/>
      <c r="K15" s="1367"/>
      <c r="L15" s="1370"/>
      <c r="M15" s="1339"/>
      <c r="N15" s="1339"/>
      <c r="O15" s="542"/>
      <c r="P15" s="404"/>
      <c r="Q15" s="1368"/>
      <c r="R15" s="1425"/>
      <c r="S15" s="1410"/>
      <c r="T15" s="1411"/>
      <c r="U15" s="1412"/>
      <c r="V15" s="1412"/>
      <c r="W15" s="1412"/>
      <c r="X15" s="1412"/>
      <c r="Y15" s="1412"/>
      <c r="Z15" s="1412"/>
      <c r="AA15" s="1412"/>
      <c r="AB15" s="1412"/>
      <c r="AC15" s="1412"/>
      <c r="AD15" s="1412"/>
      <c r="AE15" s="1412"/>
      <c r="AF15" s="1412"/>
      <c r="AG15" s="1412"/>
      <c r="AH15" s="1412"/>
      <c r="AI15" s="1412"/>
      <c r="AJ15" s="1412"/>
      <c r="AK15" s="1412"/>
      <c r="AL15" s="1412"/>
      <c r="AM15" s="1412"/>
      <c r="AN15" s="1412"/>
      <c r="AO15" s="1412"/>
      <c r="AP15" s="1412"/>
      <c r="AQ15" s="1412"/>
      <c r="AR15" s="1412"/>
      <c r="AS15" s="1412"/>
      <c r="AT15" s="1412"/>
      <c r="AU15" s="1412"/>
      <c r="AV15" s="1412"/>
      <c r="AW15" s="1412"/>
      <c r="AX15" s="1412"/>
      <c r="AY15" s="1412"/>
      <c r="AZ15" s="1412"/>
      <c r="BA15" s="1412"/>
      <c r="BB15" s="1412"/>
      <c r="BC15" s="1413"/>
      <c r="BE15" s="524"/>
      <c r="BF15" s="524" t="str">
        <f>IF(T15="","",T15)</f>
        <v/>
      </c>
      <c r="BG15" s="524"/>
      <c r="BH15" s="524"/>
      <c r="BI15" s="535">
        <v>0</v>
      </c>
    </row>
    <row s="1666" customFormat="1" customHeight="1" ht="14.25" hidden="1">
      <c r="A16" s="1367"/>
      <c r="B16" s="1367"/>
      <c r="C16" s="1367"/>
      <c r="D16" s="1338"/>
      <c r="E16" s="2283"/>
      <c r="F16" s="2283"/>
      <c r="G16" s="2282"/>
      <c r="H16" s="1338"/>
      <c r="I16" s="1338"/>
      <c r="J16" s="1338"/>
      <c r="K16" s="1338"/>
      <c r="L16" s="1488"/>
      <c r="M16" s="1339"/>
      <c r="N16" s="1339"/>
      <c r="P16" s="1340"/>
      <c r="Q16" s="1341"/>
      <c r="R16" s="1340"/>
      <c r="S16" s="1346"/>
      <c r="T16" s="1349"/>
      <c r="U16" s="1348"/>
      <c r="V16" s="1348"/>
      <c r="W16" s="1348"/>
      <c r="X16" s="1348"/>
      <c r="Y16" s="1348"/>
      <c r="Z16" s="1348"/>
      <c r="AA16" s="1348"/>
      <c r="AB16" s="1348"/>
      <c r="AC16" s="1348"/>
      <c r="AD16" s="1348"/>
      <c r="AE16" s="1348"/>
      <c r="AF16" s="1348"/>
      <c r="AG16" s="1348"/>
      <c r="AH16" s="1348"/>
      <c r="AI16" s="1348"/>
      <c r="AJ16" s="1348"/>
      <c r="AK16" s="1348"/>
      <c r="AL16" s="1348"/>
      <c r="AM16" s="1348"/>
      <c r="AN16" s="1348"/>
      <c r="AO16" s="1348"/>
      <c r="AP16" s="1348"/>
      <c r="AQ16" s="1348"/>
      <c r="AR16" s="1348"/>
      <c r="AS16" s="1348"/>
      <c r="AT16" s="1348"/>
      <c r="AU16" s="1348"/>
      <c r="AV16" s="1348"/>
      <c r="AW16" s="1348"/>
      <c r="AX16" s="1348"/>
      <c r="AY16" s="1348"/>
      <c r="AZ16" s="1348"/>
      <c r="BA16" s="1348"/>
      <c r="BB16" s="1348"/>
      <c r="BC16" s="1348"/>
      <c r="BE16" s="813"/>
      <c r="BF16" s="813" t="str">
        <f>IF(T16="","",T16)</f>
        <v/>
      </c>
      <c r="BG16" s="813"/>
      <c r="BH16" s="813"/>
      <c r="BI16" s="542">
        <v>0</v>
      </c>
    </row>
    <row s="1666" customFormat="1" customHeight="1" ht="14.25" hidden="1">
      <c r="A17" s="1367"/>
      <c r="B17" s="1367"/>
      <c r="C17" s="1338"/>
      <c r="D17" s="1338"/>
      <c r="E17" s="2283"/>
      <c r="F17" s="2282"/>
      <c r="G17" s="1338"/>
      <c r="H17" s="1338"/>
      <c r="I17" s="1338"/>
      <c r="J17" s="1338"/>
      <c r="K17" s="1338"/>
      <c r="L17" s="1488"/>
      <c r="M17" s="1345"/>
      <c r="N17" s="1345"/>
      <c r="P17" s="1340"/>
      <c r="Q17" s="1341"/>
      <c r="R17" s="1340"/>
      <c r="S17" s="1346"/>
      <c r="T17" s="1349" t="s">
        <v>499</v>
      </c>
      <c r="U17" s="1348"/>
      <c r="V17" s="1348"/>
      <c r="W17" s="1348"/>
      <c r="X17" s="1348"/>
      <c r="Y17" s="1348"/>
      <c r="Z17" s="1348"/>
      <c r="AA17" s="1348"/>
      <c r="AB17" s="1348"/>
      <c r="AC17" s="1348"/>
      <c r="AD17" s="1348"/>
      <c r="AE17" s="1348"/>
      <c r="AF17" s="1348"/>
      <c r="AG17" s="1348"/>
      <c r="AH17" s="1348"/>
      <c r="AI17" s="1348"/>
      <c r="AJ17" s="1348"/>
      <c r="AK17" s="1348"/>
      <c r="AL17" s="1348"/>
      <c r="AM17" s="1348"/>
      <c r="AN17" s="1348"/>
      <c r="AO17" s="1348"/>
      <c r="AP17" s="1348"/>
      <c r="AQ17" s="1348"/>
      <c r="AR17" s="1348"/>
      <c r="AS17" s="1348"/>
      <c r="AT17" s="1348"/>
      <c r="AU17" s="1348"/>
      <c r="AV17" s="1348"/>
      <c r="AW17" s="1348"/>
      <c r="AX17" s="1348"/>
      <c r="AY17" s="1348"/>
      <c r="AZ17" s="1348"/>
      <c r="BA17" s="1348"/>
      <c r="BB17" s="1348"/>
      <c r="BC17" s="1348"/>
      <c r="BE17" s="813"/>
      <c r="BF17" s="813" t="str">
        <f>IF(T17="","",T17)</f>
        <v>Добавить централизованную систему для дифференциации</v>
      </c>
      <c r="BG17" s="813"/>
      <c r="BH17" s="813"/>
      <c r="BI17" s="542">
        <v>0</v>
      </c>
    </row>
    <row s="1666" customFormat="1" customHeight="1" ht="14.25" hidden="1">
      <c r="A18" s="1367"/>
      <c r="B18" s="1367"/>
      <c r="C18" s="1367"/>
      <c r="D18" s="1367"/>
      <c r="E18" s="2282"/>
      <c r="F18" s="1367"/>
      <c r="G18" s="1367"/>
      <c r="H18" s="1367"/>
      <c r="I18" s="1367"/>
      <c r="J18" s="1367"/>
      <c r="K18" s="1367"/>
      <c r="L18" s="1370"/>
      <c r="M18" s="1345"/>
      <c r="N18" s="1345"/>
      <c r="O18" s="542"/>
      <c r="P18" s="404"/>
      <c r="Q18" s="1368"/>
      <c r="R18" s="404"/>
      <c r="S18" s="1346"/>
      <c r="T18" s="1349" t="s">
        <v>500</v>
      </c>
      <c r="U18" s="1348"/>
      <c r="V18" s="1348"/>
      <c r="W18" s="1348"/>
      <c r="X18" s="1348"/>
      <c r="Y18" s="1348"/>
      <c r="Z18" s="1348"/>
      <c r="AA18" s="1348"/>
      <c r="AB18" s="1348"/>
      <c r="AC18" s="1348"/>
      <c r="AD18" s="1348"/>
      <c r="AE18" s="1348"/>
      <c r="AF18" s="1348"/>
      <c r="AG18" s="1348"/>
      <c r="AH18" s="1348"/>
      <c r="AI18" s="1348"/>
      <c r="AJ18" s="1348"/>
      <c r="AK18" s="1348"/>
      <c r="AL18" s="1348"/>
      <c r="AM18" s="1348"/>
      <c r="AN18" s="1348"/>
      <c r="AO18" s="1348"/>
      <c r="AP18" s="1348"/>
      <c r="AQ18" s="1348"/>
      <c r="AR18" s="1348"/>
      <c r="AS18" s="1348"/>
      <c r="AT18" s="1348"/>
      <c r="AU18" s="1348"/>
      <c r="AV18" s="1348"/>
      <c r="AW18" s="1348"/>
      <c r="AX18" s="1348"/>
      <c r="AY18" s="1348"/>
      <c r="AZ18" s="1348"/>
      <c r="BA18" s="1348"/>
      <c r="BB18" s="1348"/>
      <c r="BC18" s="1348"/>
      <c r="BE18" s="524"/>
      <c r="BF18" s="524" t="str">
        <f>IF(T18="","",T18)</f>
        <v>Добавить территорию для дифференциации</v>
      </c>
      <c r="BG18" s="524"/>
      <c r="BH18" s="524"/>
      <c r="BI18" s="535">
        <v>0</v>
      </c>
    </row>
    <row customHeight="1" ht="14.25" hidden="1">
      <c r="AC19" s="351"/>
      <c r="BA19" s="351"/>
      <c r="BI19" s="1179">
        <v>0</v>
      </c>
    </row>
    <row customHeight="1" ht="14.25" hidden="1">
      <c r="AD20" s="1348" t="s">
        <v>19</v>
      </c>
      <c r="AE20" s="1525"/>
      <c r="AF20" s="572">
        <v>1</v>
      </c>
      <c r="AG20" s="1526"/>
      <c r="AH20" s="1348" t="s">
        <v>19</v>
      </c>
      <c r="AI20" s="1525"/>
      <c r="AJ20" s="572">
        <v>1</v>
      </c>
      <c r="AK20" s="1526"/>
      <c r="AL20" s="1348" t="s">
        <v>19</v>
      </c>
      <c r="AM20" s="1527"/>
      <c r="AN20" s="572">
        <v>1</v>
      </c>
      <c r="AO20" s="1528"/>
      <c r="AP20" s="1348" t="s">
        <v>19</v>
      </c>
      <c r="AQ20" s="1527"/>
      <c r="AR20" s="572">
        <v>1</v>
      </c>
      <c r="AS20" s="1528"/>
      <c r="AT20" s="349"/>
      <c r="AU20" s="408"/>
      <c r="AV20" s="349"/>
      <c r="AW20" s="408"/>
      <c r="AX20" s="1760"/>
      <c r="AY20" s="1484" t="s">
        <v>66</v>
      </c>
      <c r="AZ20" s="1760"/>
      <c r="BA20" s="1484" t="s">
        <v>66</v>
      </c>
      <c r="BI20" s="1179">
        <v>0</v>
      </c>
    </row>
    <row customHeight="1" ht="14.25" hidden="1">
      <c r="BD21" s="520"/>
      <c r="BE21" s="520"/>
      <c r="BF21" s="520"/>
      <c r="BG21" s="520"/>
      <c r="BH21" s="520"/>
      <c r="BI21" s="1179">
        <v>0</v>
      </c>
    </row>
    <row customHeight="1" ht="14.25" hidden="1">
      <c r="O22" s="1391" t="s">
        <v>501</v>
      </c>
      <c r="Z22" s="1369"/>
      <c r="AB22" s="1369"/>
      <c r="AC22" s="351"/>
      <c r="AX22" s="1369"/>
      <c r="AZ22" s="1369"/>
      <c r="BA22" s="351"/>
      <c r="BD22" s="520"/>
      <c r="BE22" s="520"/>
      <c r="BF22" s="520"/>
      <c r="BG22" s="520"/>
      <c r="BH22" s="520"/>
      <c r="BI22" s="1179">
        <v>0</v>
      </c>
    </row>
    <row customHeight="1" ht="14.25" hidden="1">
      <c r="AC23" s="351"/>
      <c r="BA23" s="351"/>
      <c r="BD23" s="520"/>
      <c r="BE23" s="520"/>
      <c r="BF23" s="520"/>
      <c r="BG23" s="520"/>
      <c r="BH23" s="520"/>
      <c r="BI23" s="1179">
        <v>0</v>
      </c>
    </row>
    <row s="1533" customFormat="1" customHeight="1" ht="14.25" hidden="1">
      <c r="M24" s="1532"/>
      <c r="N24" s="1532"/>
      <c r="O24" s="1533" t="s">
        <v>502</v>
      </c>
      <c r="P24" s="1532"/>
      <c r="Q24" s="1534"/>
      <c r="R24" s="1534"/>
      <c r="AA24" s="1531" t="s">
        <v>504</v>
      </c>
      <c r="AC24" s="1531" t="s">
        <v>505</v>
      </c>
      <c r="AD24" s="1531" t="s">
        <v>553</v>
      </c>
      <c r="AH24" s="1531" t="s">
        <v>553</v>
      </c>
      <c r="AK24" s="1531" t="s">
        <v>590</v>
      </c>
      <c r="AL24" s="1531" t="s">
        <v>553</v>
      </c>
      <c r="AP24" s="1531" t="s">
        <v>553</v>
      </c>
      <c r="AY24" s="1531" t="s">
        <v>504</v>
      </c>
      <c r="BA24" s="1531" t="s">
        <v>505</v>
      </c>
      <c r="BD24" s="1535"/>
      <c r="BE24" s="1535"/>
      <c r="BF24" s="1535"/>
      <c r="BG24" s="1535"/>
      <c r="BH24" s="1535"/>
      <c r="BI24" s="1531">
        <v>0</v>
      </c>
    </row>
    <row customHeight="1" ht="14.25" hidden="1">
      <c r="O25" s="1388"/>
      <c r="BD25" s="520"/>
      <c r="BE25" s="520"/>
      <c r="BF25" s="520"/>
      <c r="BG25" s="520"/>
      <c r="BH25" s="520"/>
      <c r="BI25" s="1179">
        <v>0</v>
      </c>
    </row>
    <row customHeight="1" ht="14.25" hidden="1">
      <c r="O26" s="1388"/>
      <c r="BD26" s="520"/>
      <c r="BE26" s="520"/>
      <c r="BF26" s="520"/>
      <c r="BG26" s="520"/>
      <c r="BH26" s="520"/>
      <c r="BI26" s="1179">
        <v>0</v>
      </c>
    </row>
    <row customHeight="1" ht="14.699999999999998">
      <c r="Q27" s="315"/>
      <c r="R27" s="400"/>
      <c r="S27" s="1299"/>
      <c r="T27" s="387"/>
      <c r="U27" s="387"/>
      <c r="V27" s="533"/>
      <c r="W27" s="533"/>
      <c r="X27" s="533"/>
      <c r="Y27" s="533"/>
      <c r="Z27" s="533"/>
      <c r="AA27" s="533"/>
      <c r="AB27" s="533"/>
      <c r="AC27" s="533"/>
      <c r="AD27" s="533"/>
      <c r="AE27" s="533"/>
      <c r="AF27" s="533"/>
      <c r="AG27" s="533"/>
      <c r="AH27" s="533"/>
      <c r="AI27" s="533"/>
      <c r="AJ27" s="533"/>
      <c r="AK27" s="533"/>
      <c r="AL27" s="533"/>
      <c r="AM27" s="533"/>
      <c r="AN27" s="533"/>
      <c r="AO27" s="533"/>
      <c r="AP27" s="533"/>
      <c r="AQ27" s="533"/>
      <c r="AR27" s="533"/>
      <c r="AS27" s="533"/>
      <c r="AT27" s="533"/>
      <c r="AU27" s="533"/>
      <c r="AV27" s="533"/>
      <c r="AW27" s="533"/>
      <c r="AX27" s="533"/>
      <c r="AY27" s="533"/>
      <c r="AZ27" s="533"/>
      <c r="BA27" s="533"/>
      <c r="BI27" s="1179">
        <v>14</v>
      </c>
    </row>
    <row customHeight="1" ht="14.699999999999998">
      <c r="Q28" s="315"/>
      <c r="R28" s="400"/>
      <c r="S28" s="227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72"/>
      <c r="U28" s="2272"/>
      <c r="V28" s="2272"/>
      <c r="W28" s="2272"/>
      <c r="X28" s="2272"/>
      <c r="Y28" s="2272"/>
      <c r="Z28" s="2272"/>
      <c r="AA28" s="2272"/>
      <c r="AB28" s="2272"/>
      <c r="AC28" s="2272"/>
      <c r="AD28" s="2272"/>
      <c r="AE28" s="2272"/>
      <c r="AF28" s="2272"/>
      <c r="AG28" s="2272"/>
      <c r="AH28" s="2272"/>
      <c r="AI28" s="2272"/>
      <c r="AJ28" s="2272"/>
      <c r="AK28" s="2272"/>
      <c r="AL28" s="2272"/>
      <c r="AM28" s="2272"/>
      <c r="AN28" s="2272"/>
      <c r="AO28" s="2272"/>
      <c r="AP28" s="2272"/>
      <c r="AQ28" s="2272"/>
      <c r="AR28" s="2272"/>
      <c r="AS28" s="2272"/>
      <c r="AT28" s="2272"/>
      <c r="AU28" s="2272"/>
      <c r="AV28" s="2272"/>
      <c r="AW28" s="2272"/>
      <c r="AX28" s="2272"/>
      <c r="AY28" s="2272"/>
      <c r="AZ28" s="2272"/>
      <c r="BA28" s="1267"/>
      <c r="BI28" s="1179">
        <v>14</v>
      </c>
    </row>
    <row customHeight="1" ht="14.699999999999998">
      <c r="Q29" s="315"/>
      <c r="R29" s="400"/>
      <c r="S29" s="2273" t="str">
        <f>IF(org=0,"Не определено",org)</f>
        <v>АО "ДГК"</v>
      </c>
      <c r="T29" s="2273"/>
      <c r="U29" s="2273"/>
      <c r="V29" s="2273"/>
      <c r="W29" s="2273"/>
      <c r="X29" s="2273"/>
      <c r="Y29" s="2273"/>
      <c r="Z29" s="2273"/>
      <c r="AA29" s="2273"/>
      <c r="AB29" s="2273"/>
      <c r="AC29" s="2273"/>
      <c r="AD29" s="2273"/>
      <c r="AE29" s="2273"/>
      <c r="AF29" s="2273"/>
      <c r="AG29" s="2273"/>
      <c r="AH29" s="2273"/>
      <c r="AI29" s="2273"/>
      <c r="AJ29" s="2273"/>
      <c r="AK29" s="2273"/>
      <c r="AL29" s="2273"/>
      <c r="AM29" s="2273"/>
      <c r="AN29" s="2273"/>
      <c r="AO29" s="2273"/>
      <c r="AP29" s="2273"/>
      <c r="AQ29" s="2273"/>
      <c r="AR29" s="2273"/>
      <c r="AS29" s="2273"/>
      <c r="AT29" s="2273"/>
      <c r="AU29" s="2273"/>
      <c r="AV29" s="2273"/>
      <c r="AW29" s="2273"/>
      <c r="AX29" s="2273"/>
      <c r="AY29" s="2273"/>
      <c r="AZ29" s="2273"/>
      <c r="BA29" s="1267"/>
      <c r="BI29" s="1179">
        <v>14</v>
      </c>
    </row>
    <row customHeight="1" ht="14.25" hidden="1">
      <c r="Q30" s="315"/>
      <c r="R30" s="400"/>
      <c r="S30" s="1299"/>
      <c r="T30" s="387"/>
      <c r="U30" s="387"/>
      <c r="V30" s="346"/>
      <c r="W30" s="346"/>
      <c r="X30" s="346"/>
      <c r="Y30" s="346"/>
      <c r="Z30" s="346"/>
      <c r="AA30" s="346"/>
      <c r="AB30" s="346"/>
      <c r="AC30" s="346"/>
      <c r="AD30" s="346"/>
      <c r="AE30" s="346"/>
      <c r="AF30" s="346"/>
      <c r="AG30" s="346"/>
      <c r="AH30" s="346"/>
      <c r="AI30" s="346"/>
      <c r="AJ30" s="346"/>
      <c r="AK30" s="346"/>
      <c r="AL30" s="346"/>
      <c r="AM30" s="346"/>
      <c r="AN30" s="346"/>
      <c r="AO30" s="346"/>
      <c r="AP30" s="346"/>
      <c r="AQ30" s="346"/>
      <c r="AR30" s="346"/>
      <c r="AS30" s="346"/>
      <c r="AT30" s="346"/>
      <c r="AU30" s="346"/>
      <c r="AV30" s="346"/>
      <c r="AW30" s="346"/>
      <c r="AX30" s="346"/>
      <c r="AY30" s="346"/>
      <c r="AZ30" s="346"/>
      <c r="BA30" s="346"/>
      <c r="BB30" s="533"/>
      <c r="BI30" s="1179">
        <v>0</v>
      </c>
    </row>
    <row s="1877" customFormat="1" customHeight="1" ht="25.5" hidden="1">
      <c r="A31" s="1392"/>
      <c r="B31" s="1392"/>
      <c r="C31" s="1392"/>
      <c r="D31" s="1392"/>
      <c r="E31" s="1392"/>
      <c r="F31" s="1392"/>
      <c r="G31" s="1392"/>
      <c r="H31" s="1392"/>
      <c r="I31" s="1392"/>
      <c r="J31" s="1392"/>
      <c r="K31" s="1392"/>
      <c r="L31" s="1393"/>
      <c r="M31" s="1392"/>
      <c r="N31" s="1392"/>
      <c r="O31" s="1392"/>
      <c r="P31" s="1392"/>
      <c r="Q31" s="1392"/>
      <c r="S31" s="2274" t="s">
        <v>42</v>
      </c>
      <c r="T31" s="2274"/>
      <c r="U31" s="1396"/>
      <c r="V31" s="2275" t="str">
        <f>IF(TITLE_NAME_OR_PR_CHANGE="",IF(TITLE_NAME_OR_PR="","",TITLE_NAME_OR_PR),TITLE_NAME_OR_PR_CHANGE)</f>
        <v/>
      </c>
      <c r="W31" s="2275"/>
      <c r="X31" s="2275"/>
      <c r="Y31" s="2275"/>
      <c r="Z31" s="2275"/>
      <c r="AA31" s="2275"/>
      <c r="AB31" s="2275"/>
      <c r="AC31" s="350"/>
      <c r="AD31" s="2275" t="str">
        <f>IF(TITLE_NAME_OR_PR_CHANGE="",IF(TITLE_NAME_OR_PR="","",TITLE_NAME_OR_PR),TITLE_NAME_OR_PR_CHANGE)</f>
        <v/>
      </c>
      <c r="AE31" s="2275"/>
      <c r="AF31" s="2275"/>
      <c r="AG31" s="2275"/>
      <c r="AH31" s="2275"/>
      <c r="AI31" s="2275"/>
      <c r="AJ31" s="2275"/>
      <c r="AK31" s="2275"/>
      <c r="AL31" s="2275"/>
      <c r="AM31" s="2275"/>
      <c r="AN31" s="2275"/>
      <c r="AO31" s="2275"/>
      <c r="AP31" s="2275"/>
      <c r="AQ31" s="2275"/>
      <c r="AR31" s="2275"/>
      <c r="AS31" s="2275"/>
      <c r="AT31" s="2275"/>
      <c r="AU31" s="2275"/>
      <c r="AV31" s="2275"/>
      <c r="AW31" s="2275"/>
      <c r="AX31" s="2275"/>
      <c r="AY31" s="2275"/>
      <c r="AZ31" s="2275"/>
      <c r="BA31" s="350"/>
      <c r="BB31" s="350"/>
      <c r="BC31" s="304"/>
      <c r="BD31" s="392"/>
      <c r="BE31" s="392"/>
      <c r="BF31" s="392"/>
      <c r="BG31" s="392"/>
      <c r="BH31" s="392"/>
      <c r="BI31" s="442">
        <v>0</v>
      </c>
    </row>
    <row s="1877" customFormat="1" customHeight="1" ht="18.75" hidden="1">
      <c r="A32" s="1392"/>
      <c r="B32" s="1392"/>
      <c r="C32" s="1392"/>
      <c r="D32" s="1392"/>
      <c r="E32" s="1392"/>
      <c r="F32" s="1392"/>
      <c r="G32" s="1392"/>
      <c r="H32" s="1392"/>
      <c r="I32" s="1392"/>
      <c r="J32" s="1392"/>
      <c r="K32" s="1392"/>
      <c r="L32" s="1393"/>
      <c r="M32" s="1392"/>
      <c r="N32" s="1392"/>
      <c r="O32" s="1392"/>
      <c r="P32" s="1392"/>
      <c r="Q32" s="1392"/>
      <c r="S32" s="2274" t="s">
        <v>507</v>
      </c>
      <c r="T32" s="2274"/>
      <c r="U32" s="1396"/>
      <c r="V32" s="2288" t="str">
        <f>IF(TITLE_DATE_PR_CHANGE="",IF(TITLE_DATE_PR="","",TITLE_DATE_PR),TITLE_DATE_PR_CHANGE)</f>
        <v/>
      </c>
      <c r="W32" s="2288"/>
      <c r="X32" s="2288"/>
      <c r="Y32" s="2288"/>
      <c r="Z32" s="2288"/>
      <c r="AA32" s="2288"/>
      <c r="AB32" s="2288"/>
      <c r="AC32" s="350"/>
      <c r="AD32" s="2288" t="str">
        <f>IF(TITLE_DATE_PR_CHANGE="",IF(TITLE_DATE_PR="","",TITLE_DATE_PR),TITLE_DATE_PR_CHANGE)</f>
        <v/>
      </c>
      <c r="AE32" s="2288"/>
      <c r="AF32" s="2288"/>
      <c r="AG32" s="2288"/>
      <c r="AH32" s="2288"/>
      <c r="AI32" s="2288"/>
      <c r="AJ32" s="2288"/>
      <c r="AK32" s="2288"/>
      <c r="AL32" s="2288"/>
      <c r="AM32" s="2288"/>
      <c r="AN32" s="2288"/>
      <c r="AO32" s="2288"/>
      <c r="AP32" s="2288"/>
      <c r="AQ32" s="2288"/>
      <c r="AR32" s="2288"/>
      <c r="AS32" s="2288"/>
      <c r="AT32" s="2288"/>
      <c r="AU32" s="2288"/>
      <c r="AV32" s="2288"/>
      <c r="AW32" s="2288"/>
      <c r="AX32" s="2288"/>
      <c r="AY32" s="2288"/>
      <c r="AZ32" s="2288"/>
      <c r="BA32" s="350"/>
      <c r="BB32" s="350"/>
      <c r="BC32" s="304"/>
      <c r="BD32" s="392"/>
      <c r="BE32" s="392"/>
      <c r="BF32" s="392"/>
      <c r="BG32" s="392"/>
      <c r="BH32" s="392"/>
      <c r="BI32" s="442">
        <v>0</v>
      </c>
    </row>
    <row s="1877" customFormat="1" customHeight="1" ht="18.75" hidden="1">
      <c r="A33" s="1392"/>
      <c r="B33" s="1392"/>
      <c r="C33" s="1392"/>
      <c r="D33" s="1392"/>
      <c r="E33" s="1392"/>
      <c r="F33" s="1392"/>
      <c r="G33" s="1392"/>
      <c r="H33" s="1392"/>
      <c r="I33" s="1392"/>
      <c r="J33" s="1392"/>
      <c r="K33" s="1392"/>
      <c r="L33" s="1393"/>
      <c r="M33" s="1392"/>
      <c r="N33" s="1392"/>
      <c r="O33" s="1392"/>
      <c r="P33" s="1392"/>
      <c r="Q33" s="1392"/>
      <c r="S33" s="2274" t="s">
        <v>508</v>
      </c>
      <c r="T33" s="2274"/>
      <c r="U33" s="1396"/>
      <c r="V33" s="2275" t="str">
        <f>IF(TITLE_NUMBER_PR_CHANGE="",IF(TITLE_NUMBER_PR="","",TITLE_NUMBER_PR),TITLE_NUMBER_PR_CHANGE)</f>
        <v/>
      </c>
      <c r="W33" s="2275"/>
      <c r="X33" s="2275"/>
      <c r="Y33" s="2275"/>
      <c r="Z33" s="2275"/>
      <c r="AA33" s="2275"/>
      <c r="AB33" s="2275"/>
      <c r="AC33" s="350"/>
      <c r="AD33" s="2275" t="str">
        <f>IF(TITLE_NUMBER_PR_CHANGE="",IF(TITLE_NUMBER_PR="","",TITLE_NUMBER_PR),TITLE_NUMBER_PR_CHANGE)</f>
        <v/>
      </c>
      <c r="AE33" s="2275"/>
      <c r="AF33" s="2275"/>
      <c r="AG33" s="2275"/>
      <c r="AH33" s="2275"/>
      <c r="AI33" s="2275"/>
      <c r="AJ33" s="2275"/>
      <c r="AK33" s="2275"/>
      <c r="AL33" s="2275"/>
      <c r="AM33" s="2275"/>
      <c r="AN33" s="2275"/>
      <c r="AO33" s="2275"/>
      <c r="AP33" s="2275"/>
      <c r="AQ33" s="2275"/>
      <c r="AR33" s="2275"/>
      <c r="AS33" s="2275"/>
      <c r="AT33" s="2275"/>
      <c r="AU33" s="2275"/>
      <c r="AV33" s="2275"/>
      <c r="AW33" s="2275"/>
      <c r="AX33" s="2275"/>
      <c r="AY33" s="2275"/>
      <c r="AZ33" s="2275"/>
      <c r="BA33" s="350"/>
      <c r="BB33" s="350"/>
      <c r="BC33" s="304"/>
      <c r="BD33" s="392"/>
      <c r="BE33" s="392"/>
      <c r="BF33" s="392"/>
      <c r="BG33" s="392"/>
      <c r="BH33" s="392"/>
      <c r="BI33" s="442">
        <v>0</v>
      </c>
    </row>
    <row s="1877" customFormat="1" customHeight="1" ht="18.75" hidden="1">
      <c r="A34" s="1392"/>
      <c r="B34" s="1392"/>
      <c r="C34" s="1392"/>
      <c r="D34" s="1392"/>
      <c r="E34" s="1392"/>
      <c r="F34" s="1392"/>
      <c r="G34" s="1392"/>
      <c r="H34" s="1392"/>
      <c r="I34" s="1392"/>
      <c r="J34" s="1392"/>
      <c r="K34" s="1392"/>
      <c r="L34" s="1393"/>
      <c r="M34" s="1392"/>
      <c r="N34" s="1392"/>
      <c r="O34" s="1392"/>
      <c r="P34" s="1392"/>
      <c r="Q34" s="1392"/>
      <c r="S34" s="2274" t="s">
        <v>43</v>
      </c>
      <c r="T34" s="2274"/>
      <c r="U34" s="1396"/>
      <c r="V34" s="2275" t="str">
        <f>IF(TITLE_IST_PUB_CHANGE="",IF(TITLE_IST_PUB="","",TITLE_IST_PUB),TITLE_IST_PUB_CHANGE)</f>
        <v/>
      </c>
      <c r="W34" s="2275"/>
      <c r="X34" s="2275"/>
      <c r="Y34" s="2275"/>
      <c r="Z34" s="2275"/>
      <c r="AA34" s="2275"/>
      <c r="AB34" s="2275"/>
      <c r="AC34" s="350"/>
      <c r="AD34" s="2275" t="str">
        <f>IF(TITLE_IST_PUB_CHANGE="",IF(TITLE_IST_PUB="","",TITLE_IST_PUB),TITLE_IST_PUB_CHANGE)</f>
        <v/>
      </c>
      <c r="AE34" s="2275"/>
      <c r="AF34" s="2275"/>
      <c r="AG34" s="2275"/>
      <c r="AH34" s="2275"/>
      <c r="AI34" s="2275"/>
      <c r="AJ34" s="2275"/>
      <c r="AK34" s="2275"/>
      <c r="AL34" s="2275"/>
      <c r="AM34" s="2275"/>
      <c r="AN34" s="2275"/>
      <c r="AO34" s="2275"/>
      <c r="AP34" s="2275"/>
      <c r="AQ34" s="2275"/>
      <c r="AR34" s="2275"/>
      <c r="AS34" s="2275"/>
      <c r="AT34" s="2275"/>
      <c r="AU34" s="2275"/>
      <c r="AV34" s="2275"/>
      <c r="AW34" s="2275"/>
      <c r="AX34" s="2275"/>
      <c r="AY34" s="2275"/>
      <c r="AZ34" s="2275"/>
      <c r="BA34" s="350"/>
      <c r="BB34" s="350"/>
      <c r="BC34" s="304"/>
      <c r="BD34" s="392"/>
      <c r="BE34" s="392"/>
      <c r="BF34" s="392"/>
      <c r="BG34" s="392"/>
      <c r="BH34" s="392"/>
      <c r="BI34" s="442">
        <v>0</v>
      </c>
    </row>
    <row customHeight="1" ht="14.25" hidden="1">
      <c r="Q35" s="315"/>
      <c r="R35" s="400"/>
      <c r="S35" s="1299"/>
      <c r="T35" s="387"/>
      <c r="U35" s="387"/>
      <c r="V35" s="346"/>
      <c r="W35" s="346"/>
      <c r="X35" s="346"/>
      <c r="Y35" s="346"/>
      <c r="Z35" s="346"/>
      <c r="AA35" s="346"/>
      <c r="AB35" s="346"/>
      <c r="AC35" s="346"/>
      <c r="AD35" s="346"/>
      <c r="AE35" s="346"/>
      <c r="AF35" s="346"/>
      <c r="AG35" s="346"/>
      <c r="AH35" s="346"/>
      <c r="AI35" s="346"/>
      <c r="AJ35" s="346"/>
      <c r="AK35" s="346"/>
      <c r="AL35" s="346"/>
      <c r="AM35" s="346"/>
      <c r="AN35" s="346"/>
      <c r="AO35" s="346"/>
      <c r="AP35" s="346"/>
      <c r="AQ35" s="346"/>
      <c r="AR35" s="346"/>
      <c r="AS35" s="346"/>
      <c r="AT35" s="346"/>
      <c r="AU35" s="346"/>
      <c r="AV35" s="346"/>
      <c r="AW35" s="346"/>
      <c r="AX35" s="346"/>
      <c r="AY35" s="346"/>
      <c r="AZ35" s="346"/>
      <c r="BA35" s="346"/>
      <c r="BB35" s="533"/>
      <c r="BI35" s="1179">
        <v>0</v>
      </c>
    </row>
    <row s="1877" customFormat="1" customHeight="1" ht="18.75" hidden="1">
      <c r="A36" s="1392"/>
      <c r="B36" s="1392"/>
      <c r="C36" s="1392"/>
      <c r="D36" s="1392"/>
      <c r="E36" s="1392"/>
      <c r="F36" s="1392"/>
      <c r="G36" s="1392"/>
      <c r="H36" s="1392"/>
      <c r="I36" s="1392"/>
      <c r="J36" s="1392"/>
      <c r="K36" s="1392"/>
      <c r="L36" s="1393"/>
      <c r="M36" s="1392"/>
      <c r="N36" s="1392"/>
      <c r="O36" s="1392"/>
      <c r="P36" s="1392"/>
      <c r="Q36" s="1392"/>
      <c r="S36" s="2274" t="s">
        <v>507</v>
      </c>
      <c r="T36" s="2274"/>
      <c r="U36" s="1396"/>
      <c r="V36" s="2288" t="str">
        <f>IF(TITLE_DATE_PR_CHANGE="",IF(TITLE_DATE_PR="","",TITLE_DATE_PR),TITLE_DATE_PR_CHANGE)</f>
        <v/>
      </c>
      <c r="W36" s="2288"/>
      <c r="X36" s="2288"/>
      <c r="Y36" s="2288"/>
      <c r="Z36" s="2288"/>
      <c r="AA36" s="2288"/>
      <c r="AB36" s="2288"/>
      <c r="AC36" s="350"/>
      <c r="AD36" s="2288" t="str">
        <f>IF(TITLE_DATE_PR_CHANGE="",IF(TITLE_DATE_PR="","",TITLE_DATE_PR),TITLE_DATE_PR_CHANGE)</f>
        <v/>
      </c>
      <c r="AE36" s="2288"/>
      <c r="AF36" s="2288"/>
      <c r="AG36" s="2288"/>
      <c r="AH36" s="2288"/>
      <c r="AI36" s="2288"/>
      <c r="AJ36" s="2288"/>
      <c r="AK36" s="2288"/>
      <c r="AL36" s="2288"/>
      <c r="AM36" s="2288"/>
      <c r="AN36" s="2288"/>
      <c r="AO36" s="2288"/>
      <c r="AP36" s="2288"/>
      <c r="AQ36" s="2288"/>
      <c r="AR36" s="2288"/>
      <c r="AS36" s="2288"/>
      <c r="AT36" s="2288"/>
      <c r="AU36" s="2288"/>
      <c r="AV36" s="2288"/>
      <c r="AW36" s="2288"/>
      <c r="AX36" s="2288"/>
      <c r="AY36" s="2288"/>
      <c r="AZ36" s="2288"/>
      <c r="BA36" s="350"/>
      <c r="BB36" s="350"/>
      <c r="BC36" s="304"/>
      <c r="BD36" s="392"/>
      <c r="BE36" s="392"/>
      <c r="BF36" s="392"/>
      <c r="BG36" s="392"/>
      <c r="BH36" s="392"/>
      <c r="BI36" s="442">
        <v>0</v>
      </c>
    </row>
    <row s="1877" customFormat="1" customHeight="1" ht="18.75" hidden="1">
      <c r="A37" s="1392"/>
      <c r="B37" s="1392"/>
      <c r="C37" s="1392"/>
      <c r="D37" s="1392"/>
      <c r="E37" s="1392"/>
      <c r="F37" s="1392"/>
      <c r="G37" s="1392"/>
      <c r="H37" s="1392"/>
      <c r="I37" s="1392"/>
      <c r="J37" s="1392"/>
      <c r="K37" s="1392"/>
      <c r="L37" s="1393"/>
      <c r="M37" s="1392"/>
      <c r="N37" s="1392"/>
      <c r="O37" s="1392"/>
      <c r="P37" s="1392"/>
      <c r="Q37" s="1392"/>
      <c r="S37" s="2274" t="s">
        <v>508</v>
      </c>
      <c r="T37" s="2274"/>
      <c r="U37" s="1396"/>
      <c r="V37" s="2275" t="str">
        <f>IF(TITLE_NUMBER_PR_CHANGE="",IF(TITLE_NUMBER_PR="","",TITLE_NUMBER_PR),TITLE_NUMBER_PR_CHANGE)</f>
        <v/>
      </c>
      <c r="W37" s="2275"/>
      <c r="X37" s="2275"/>
      <c r="Y37" s="2275"/>
      <c r="Z37" s="2275"/>
      <c r="AA37" s="2275"/>
      <c r="AB37" s="2275"/>
      <c r="AC37" s="350"/>
      <c r="AD37" s="2275" t="str">
        <f>IF(TITLE_NUMBER_PR_CHANGE="",IF(TITLE_NUMBER_PR="","",TITLE_NUMBER_PR),TITLE_NUMBER_PR_CHANGE)</f>
        <v/>
      </c>
      <c r="AE37" s="2275"/>
      <c r="AF37" s="2275"/>
      <c r="AG37" s="2275"/>
      <c r="AH37" s="2275"/>
      <c r="AI37" s="2275"/>
      <c r="AJ37" s="2275"/>
      <c r="AK37" s="2275"/>
      <c r="AL37" s="2275"/>
      <c r="AM37" s="2275"/>
      <c r="AN37" s="2275"/>
      <c r="AO37" s="2275"/>
      <c r="AP37" s="2275"/>
      <c r="AQ37" s="2275"/>
      <c r="AR37" s="2275"/>
      <c r="AS37" s="2275"/>
      <c r="AT37" s="2275"/>
      <c r="AU37" s="2275"/>
      <c r="AV37" s="2275"/>
      <c r="AW37" s="2275"/>
      <c r="AX37" s="2275"/>
      <c r="AY37" s="2275"/>
      <c r="AZ37" s="2275"/>
      <c r="BA37" s="350"/>
      <c r="BB37" s="350"/>
      <c r="BC37" s="304"/>
      <c r="BD37" s="392"/>
      <c r="BE37" s="392"/>
      <c r="BF37" s="392"/>
      <c r="BG37" s="392"/>
      <c r="BH37" s="392"/>
      <c r="BI37" s="442">
        <v>0</v>
      </c>
    </row>
    <row s="1877" customFormat="1" customHeight="1" ht="0">
      <c r="A38" s="1392"/>
      <c r="B38" s="1392"/>
      <c r="C38" s="1392"/>
      <c r="D38" s="1392"/>
      <c r="E38" s="1392"/>
      <c r="F38" s="1392"/>
      <c r="G38" s="1392"/>
      <c r="H38" s="1392"/>
      <c r="I38" s="1392"/>
      <c r="J38" s="1392"/>
      <c r="K38" s="1392"/>
      <c r="L38" s="1393"/>
      <c r="M38" s="1392"/>
      <c r="N38" s="1392"/>
      <c r="O38" s="1392"/>
      <c r="P38" s="1392"/>
      <c r="Q38" s="1392"/>
      <c r="S38" s="347"/>
      <c r="T38" s="347"/>
      <c r="U38" s="1478"/>
      <c r="V38" s="350"/>
      <c r="W38" s="350"/>
      <c r="X38" s="350"/>
      <c r="Y38" s="350"/>
      <c r="Z38" s="350"/>
      <c r="AA38" s="350"/>
      <c r="AB38" s="350"/>
      <c r="AC38" s="302" t="s">
        <v>511</v>
      </c>
      <c r="AD38" s="350"/>
      <c r="AE38" s="350"/>
      <c r="AF38" s="350"/>
      <c r="AG38" s="350"/>
      <c r="AH38" s="350"/>
      <c r="AI38" s="350"/>
      <c r="AJ38" s="350"/>
      <c r="AK38" s="350"/>
      <c r="AL38" s="350"/>
      <c r="AM38" s="350"/>
      <c r="AN38" s="350"/>
      <c r="AO38" s="350"/>
      <c r="AP38" s="350"/>
      <c r="AQ38" s="350"/>
      <c r="AR38" s="350"/>
      <c r="AS38" s="350"/>
      <c r="AT38" s="350"/>
      <c r="AU38" s="350"/>
      <c r="AV38" s="350"/>
      <c r="AW38" s="350"/>
      <c r="AX38" s="350"/>
      <c r="AY38" s="350"/>
      <c r="AZ38" s="350"/>
      <c r="BA38" s="302" t="s">
        <v>511</v>
      </c>
      <c r="BD38" s="392"/>
      <c r="BE38" s="392"/>
      <c r="BF38" s="392"/>
      <c r="BG38" s="392"/>
      <c r="BH38" s="392"/>
      <c r="BI38" s="442">
        <v>0</v>
      </c>
    </row>
    <row customHeight="1" ht="14.699999999999998">
      <c r="Q39" s="315"/>
      <c r="R39" s="400"/>
      <c r="S39" s="1299"/>
      <c r="T39" s="387"/>
      <c r="U39" s="1268"/>
      <c r="V39" s="2276"/>
      <c r="W39" s="2276"/>
      <c r="X39" s="2276"/>
      <c r="Y39" s="2276"/>
      <c r="Z39" s="2276"/>
      <c r="AA39" s="2276"/>
      <c r="AB39" s="2276"/>
      <c r="AC39" s="2276"/>
      <c r="AD39" s="2276"/>
      <c r="AE39" s="2276"/>
      <c r="AF39" s="2276"/>
      <c r="AG39" s="2276"/>
      <c r="AH39" s="2276"/>
      <c r="AI39" s="2276"/>
      <c r="AJ39" s="2276"/>
      <c r="AK39" s="2276"/>
      <c r="AL39" s="2276"/>
      <c r="AM39" s="2276"/>
      <c r="AN39" s="2276"/>
      <c r="AO39" s="2276"/>
      <c r="AP39" s="2276"/>
      <c r="AQ39" s="2276"/>
      <c r="AR39" s="2276"/>
      <c r="AS39" s="2276"/>
      <c r="AT39" s="2276"/>
      <c r="AU39" s="2276"/>
      <c r="AV39" s="2276"/>
      <c r="AW39" s="2276"/>
      <c r="AX39" s="2276"/>
      <c r="AY39" s="2276"/>
      <c r="AZ39" s="2276"/>
      <c r="BA39" s="2276"/>
      <c r="BI39" s="1179">
        <v>14</v>
      </c>
    </row>
    <row customHeight="1" ht="14.699999999999998">
      <c r="Q40" s="315"/>
      <c r="R40" s="400"/>
      <c r="S40" s="2151" t="s">
        <v>384</v>
      </c>
      <c r="T40" s="2151"/>
      <c r="U40" s="2151"/>
      <c r="V40" s="2151"/>
      <c r="W40" s="2151"/>
      <c r="X40" s="2151"/>
      <c r="Y40" s="2151"/>
      <c r="Z40" s="2151"/>
      <c r="AA40" s="2151"/>
      <c r="AB40" s="2151"/>
      <c r="AC40" s="2151"/>
      <c r="AD40" s="2151"/>
      <c r="AE40" s="2151"/>
      <c r="AF40" s="2151"/>
      <c r="AG40" s="2151"/>
      <c r="AH40" s="2151"/>
      <c r="AI40" s="2151"/>
      <c r="AJ40" s="2151"/>
      <c r="AK40" s="2151"/>
      <c r="AL40" s="2151"/>
      <c r="AM40" s="2151"/>
      <c r="AN40" s="2151"/>
      <c r="AO40" s="2151"/>
      <c r="AP40" s="2151"/>
      <c r="AQ40" s="2151"/>
      <c r="AR40" s="2151"/>
      <c r="AS40" s="2151"/>
      <c r="AT40" s="2151"/>
      <c r="AU40" s="2151"/>
      <c r="AV40" s="2151"/>
      <c r="AW40" s="2151"/>
      <c r="AX40" s="2151"/>
      <c r="AY40" s="2151"/>
      <c r="AZ40" s="2151"/>
      <c r="BA40" s="2151"/>
      <c r="BB40" s="2151"/>
      <c r="BC40" s="2151" t="s">
        <v>385</v>
      </c>
      <c r="BI40" s="1179">
        <v>14</v>
      </c>
    </row>
    <row customHeight="1" ht="14.699999999999998">
      <c r="Q41" s="315"/>
      <c r="R41" s="400"/>
      <c r="S41" s="2297" t="s">
        <v>88</v>
      </c>
      <c r="T41" s="2233" t="s">
        <v>591</v>
      </c>
      <c r="U41" s="325"/>
      <c r="V41" s="2298" t="s">
        <v>513</v>
      </c>
      <c r="W41" s="2299"/>
      <c r="X41" s="2299"/>
      <c r="Y41" s="2299"/>
      <c r="Z41" s="2299"/>
      <c r="AA41" s="2299"/>
      <c r="AB41" s="2300"/>
      <c r="AC41" s="2301" t="s">
        <v>514</v>
      </c>
      <c r="AD41" s="2352" t="s">
        <v>592</v>
      </c>
      <c r="AE41" s="2315"/>
      <c r="AF41" s="2315"/>
      <c r="AG41" s="2353"/>
      <c r="AH41" s="2352" t="s">
        <v>593</v>
      </c>
      <c r="AI41" s="2315"/>
      <c r="AJ41" s="2315"/>
      <c r="AK41" s="2353"/>
      <c r="AL41" s="2352" t="s">
        <v>594</v>
      </c>
      <c r="AM41" s="2315"/>
      <c r="AN41" s="2315"/>
      <c r="AO41" s="2353"/>
      <c r="AP41" s="2352" t="s">
        <v>595</v>
      </c>
      <c r="AQ41" s="2315"/>
      <c r="AR41" s="2315"/>
      <c r="AS41" s="2353"/>
      <c r="AT41" s="2298" t="s">
        <v>513</v>
      </c>
      <c r="AU41" s="2299"/>
      <c r="AV41" s="2299"/>
      <c r="AW41" s="2299"/>
      <c r="AX41" s="2299"/>
      <c r="AY41" s="2299"/>
      <c r="AZ41" s="2300"/>
      <c r="BA41" s="2301" t="s">
        <v>514</v>
      </c>
      <c r="BB41" s="2304" t="s">
        <v>516</v>
      </c>
      <c r="BC41" s="2151"/>
      <c r="BI41" s="1179">
        <v>14</v>
      </c>
    </row>
    <row customHeight="1" ht="35.699999999999996">
      <c r="Q42" s="315"/>
      <c r="R42" s="400"/>
      <c r="S42" s="2297"/>
      <c r="T42" s="2233"/>
      <c r="U42" s="1055"/>
      <c r="V42" s="2216" t="s">
        <v>596</v>
      </c>
      <c r="W42" s="2217"/>
      <c r="X42" s="2216" t="s">
        <v>597</v>
      </c>
      <c r="Y42" s="2217"/>
      <c r="Z42" s="2318" t="s">
        <v>598</v>
      </c>
      <c r="AA42" s="2337"/>
      <c r="AB42" s="2338"/>
      <c r="AC42" s="2302"/>
      <c r="AD42" s="2354"/>
      <c r="AE42" s="2355"/>
      <c r="AF42" s="2355"/>
      <c r="AG42" s="2356"/>
      <c r="AH42" s="2354"/>
      <c r="AI42" s="2355"/>
      <c r="AJ42" s="2355"/>
      <c r="AK42" s="2356"/>
      <c r="AL42" s="2354"/>
      <c r="AM42" s="2355"/>
      <c r="AN42" s="2355"/>
      <c r="AO42" s="2356"/>
      <c r="AP42" s="2354"/>
      <c r="AQ42" s="2355"/>
      <c r="AR42" s="2355"/>
      <c r="AS42" s="2356"/>
      <c r="AT42" s="2216" t="s">
        <v>596</v>
      </c>
      <c r="AU42" s="2217"/>
      <c r="AV42" s="2216" t="s">
        <v>597</v>
      </c>
      <c r="AW42" s="2217"/>
      <c r="AX42" s="2318" t="s">
        <v>598</v>
      </c>
      <c r="AY42" s="2337"/>
      <c r="AZ42" s="2338"/>
      <c r="BA42" s="2302"/>
      <c r="BB42" s="2305"/>
      <c r="BC42" s="2151"/>
      <c r="BI42" s="1179">
        <v>34</v>
      </c>
    </row>
    <row customHeight="1" ht="14.699999999999998">
      <c r="Q43" s="315"/>
      <c r="R43" s="400"/>
      <c r="S43" s="2297"/>
      <c r="T43" s="2233"/>
      <c r="U43" s="1055"/>
      <c r="V43" s="2224"/>
      <c r="W43" s="2225"/>
      <c r="X43" s="2224"/>
      <c r="Y43" s="2225"/>
      <c r="Z43" s="2319"/>
      <c r="AA43" s="2339"/>
      <c r="AB43" s="2340"/>
      <c r="AC43" s="2302"/>
      <c r="AD43" s="2354"/>
      <c r="AE43" s="2355"/>
      <c r="AF43" s="2355"/>
      <c r="AG43" s="2356"/>
      <c r="AH43" s="2354"/>
      <c r="AI43" s="2355"/>
      <c r="AJ43" s="2355"/>
      <c r="AK43" s="2356"/>
      <c r="AL43" s="2354"/>
      <c r="AM43" s="2355"/>
      <c r="AN43" s="2355"/>
      <c r="AO43" s="2356"/>
      <c r="AP43" s="2354"/>
      <c r="AQ43" s="2355"/>
      <c r="AR43" s="2355"/>
      <c r="AS43" s="2356"/>
      <c r="AT43" s="2224"/>
      <c r="AU43" s="2225"/>
      <c r="AV43" s="2224"/>
      <c r="AW43" s="2225"/>
      <c r="AX43" s="2319"/>
      <c r="AY43" s="2339"/>
      <c r="AZ43" s="2340"/>
      <c r="BA43" s="2302"/>
      <c r="BB43" s="2305"/>
      <c r="BC43" s="2151"/>
      <c r="BI43" s="1179">
        <v>14</v>
      </c>
    </row>
    <row customHeight="1" ht="14.699999999999998">
      <c r="A44" s="1394"/>
      <c r="B44" s="1394" t="s">
        <v>223</v>
      </c>
      <c r="C44" s="1394" t="s">
        <v>224</v>
      </c>
      <c r="D44" s="1394" t="s">
        <v>225</v>
      </c>
      <c r="E44" s="1388" t="s">
        <v>521</v>
      </c>
      <c r="F44" s="1388" t="s">
        <v>522</v>
      </c>
      <c r="G44" s="1388" t="s">
        <v>523</v>
      </c>
      <c r="H44" s="1388" t="s">
        <v>524</v>
      </c>
      <c r="I44" s="1388" t="s">
        <v>525</v>
      </c>
      <c r="J44" s="1388" t="s">
        <v>526</v>
      </c>
      <c r="K44" s="1388" t="s">
        <v>527</v>
      </c>
      <c r="L44" s="1388" t="s">
        <v>502</v>
      </c>
      <c r="Q44" s="315"/>
      <c r="R44" s="400"/>
      <c r="S44" s="2297"/>
      <c r="T44" s="2233"/>
      <c r="U44" s="326"/>
      <c r="V44" s="1472" t="s">
        <v>562</v>
      </c>
      <c r="W44" s="1472" t="s">
        <v>563</v>
      </c>
      <c r="X44" s="1472" t="s">
        <v>562</v>
      </c>
      <c r="Y44" s="1472" t="s">
        <v>563</v>
      </c>
      <c r="Z44" s="1479" t="s">
        <v>530</v>
      </c>
      <c r="AA44" s="2294" t="s">
        <v>531</v>
      </c>
      <c r="AB44" s="2295"/>
      <c r="AC44" s="2303"/>
      <c r="AD44" s="2357"/>
      <c r="AE44" s="2358"/>
      <c r="AF44" s="2358"/>
      <c r="AG44" s="2359"/>
      <c r="AH44" s="2357"/>
      <c r="AI44" s="2358"/>
      <c r="AJ44" s="2358"/>
      <c r="AK44" s="2359"/>
      <c r="AL44" s="2357"/>
      <c r="AM44" s="2358"/>
      <c r="AN44" s="2358"/>
      <c r="AO44" s="2359"/>
      <c r="AP44" s="2357"/>
      <c r="AQ44" s="2358"/>
      <c r="AR44" s="2358"/>
      <c r="AS44" s="2359"/>
      <c r="AT44" s="1472" t="s">
        <v>562</v>
      </c>
      <c r="AU44" s="1472" t="s">
        <v>563</v>
      </c>
      <c r="AV44" s="1472" t="s">
        <v>562</v>
      </c>
      <c r="AW44" s="1472" t="s">
        <v>563</v>
      </c>
      <c r="AX44" s="1479" t="s">
        <v>530</v>
      </c>
      <c r="AY44" s="2294" t="s">
        <v>531</v>
      </c>
      <c r="AZ44" s="2295"/>
      <c r="BA44" s="2303"/>
      <c r="BB44" s="2306"/>
      <c r="BC44" s="2151"/>
      <c r="BI44" s="1179">
        <v>14</v>
      </c>
    </row>
    <row s="1665" customFormat="1" customHeight="1" ht="11.25" hidden="1">
      <c r="A45" s="1394"/>
      <c r="B45" s="1394"/>
      <c r="C45" s="1394"/>
      <c r="D45" s="1394"/>
      <c r="E45" s="1394"/>
      <c r="F45" s="1394"/>
      <c r="G45" s="1394"/>
      <c r="H45" s="1394"/>
      <c r="I45" s="1394"/>
      <c r="J45" s="1394"/>
      <c r="K45" s="1394"/>
      <c r="L45" s="1388"/>
      <c r="M45" s="1386"/>
      <c r="N45" s="1386"/>
      <c r="O45" s="1386"/>
      <c r="P45" s="534"/>
      <c r="Q45" s="1278"/>
      <c r="R45" s="1278">
        <v>1</v>
      </c>
      <c r="S45" s="1301" t="s">
        <v>170</v>
      </c>
      <c r="T45" s="1279" t="s">
        <v>103</v>
      </c>
      <c r="U45" s="1269" t="str">
        <f>OFFSET(U45,0,-1)</f>
        <v>2</v>
      </c>
      <c r="V45" s="1475">
        <f>OFFSET(V45,0,-1)+1</f>
        <v>3</v>
      </c>
      <c r="W45" s="1475">
        <f>OFFSET(W45,0,-1)+1</f>
        <v>4</v>
      </c>
      <c r="X45" s="1475">
        <f>OFFSET(X45,0,-1)+1</f>
        <v>5</v>
      </c>
      <c r="Y45" s="1475">
        <f>OFFSET(Y45,0,-1)+1</f>
        <v>6</v>
      </c>
      <c r="Z45" s="1475">
        <f>OFFSET(Z45,0,-1)+1</f>
        <v>7</v>
      </c>
      <c r="AA45" s="2296">
        <f>OFFSET(AA45,0,-1)+1</f>
        <v>8</v>
      </c>
      <c r="AB45" s="2296"/>
      <c r="AC45" s="1475">
        <f>OFFSET(AC45,0,-2)+1</f>
        <v>9</v>
      </c>
      <c r="AD45" s="1475">
        <f>OFFSET(AD45,0,-1)+1</f>
        <v>10</v>
      </c>
      <c r="AE45" s="1475"/>
      <c r="AF45" s="1475"/>
      <c r="AG45" s="1475"/>
      <c r="AH45" s="1475"/>
      <c r="AI45" s="1475"/>
      <c r="AJ45" s="1475"/>
      <c r="AK45" s="1475"/>
      <c r="AL45" s="1475"/>
      <c r="AM45" s="1475"/>
      <c r="AN45" s="1475"/>
      <c r="AO45" s="1475"/>
      <c r="AP45" s="1475"/>
      <c r="AQ45" s="1475"/>
      <c r="AR45" s="1475"/>
      <c r="AS45" s="1475"/>
      <c r="AT45" s="1475"/>
      <c r="AU45" s="1475"/>
      <c r="AV45" s="1475"/>
      <c r="AW45" s="1475">
        <f>OFFSET(AW45,0,-1)+1</f>
        <v>1</v>
      </c>
      <c r="AX45" s="1475">
        <f>OFFSET(AX45,0,-1)+1</f>
        <v>2</v>
      </c>
      <c r="AY45" s="2296">
        <f>OFFSET(AY45,0,-1)+1</f>
        <v>3</v>
      </c>
      <c r="AZ45" s="2296"/>
      <c r="BA45" s="1475">
        <f>OFFSET(BA45,0,-2)+1</f>
        <v>4</v>
      </c>
      <c r="BB45" s="1269">
        <f>OFFSET(BB45,0,-1)</f>
        <v>4</v>
      </c>
      <c r="BC45" s="1475">
        <f>OFFSET(BC45,0,-1)+1</f>
        <v>5</v>
      </c>
      <c r="BD45" s="535"/>
      <c r="BE45" s="535"/>
      <c r="BF45" s="535"/>
      <c r="BG45" s="535"/>
      <c r="BH45" s="535"/>
      <c r="BI45" s="520">
        <v>0</v>
      </c>
    </row>
    <row customHeight="1" ht="22.049999999999997">
      <c r="A46" s="1387" t="s">
        <v>330</v>
      </c>
      <c r="B46" s="1387"/>
      <c r="C46" s="1387"/>
      <c r="D46" s="1387"/>
      <c r="E46" s="2282">
        <v>1</v>
      </c>
      <c r="F46" s="1387"/>
      <c r="G46" s="1387"/>
      <c r="H46" s="1387"/>
      <c r="I46" s="1387"/>
      <c r="J46" s="1387"/>
      <c r="K46" s="1387"/>
      <c r="L46" s="1388"/>
      <c r="M46" s="1389"/>
      <c r="N46" s="1389"/>
      <c r="O46" s="1389"/>
      <c r="P46" s="1433"/>
      <c r="Q46" s="897"/>
      <c r="R46" s="379"/>
      <c r="S46" s="1481">
        <f>INDEX(PT_DIFFERENTIATION_NUM_NTAR,MATCH(A46,PT_DIFFERENTIATION_NTAR_ID,0))</f>
        <v>0</v>
      </c>
      <c r="T46" s="322" t="s">
        <v>211</v>
      </c>
      <c r="U46" s="324"/>
      <c r="V46" s="2267"/>
      <c r="W46" s="2267"/>
      <c r="X46" s="2267"/>
      <c r="Y46" s="2267"/>
      <c r="Z46" s="2267"/>
      <c r="AA46" s="2267"/>
      <c r="AB46" s="2267"/>
      <c r="AC46" s="2268"/>
      <c r="AD46" s="2266" t="str">
        <f>INDEX(PT_DIFFERENTIATION_NTAR,MATCH(A46,PT_DIFFERENTIATION_NTAR_ID,0))</f>
        <v/>
      </c>
      <c r="AE46" s="2267"/>
      <c r="AF46" s="2267"/>
      <c r="AG46" s="2267"/>
      <c r="AH46" s="2267"/>
      <c r="AI46" s="2267"/>
      <c r="AJ46" s="2267"/>
      <c r="AK46" s="2267"/>
      <c r="AL46" s="2267"/>
      <c r="AM46" s="2267"/>
      <c r="AN46" s="2267"/>
      <c r="AO46" s="2267"/>
      <c r="AP46" s="2267"/>
      <c r="AQ46" s="2267"/>
      <c r="AR46" s="2267"/>
      <c r="AS46" s="2267"/>
      <c r="AT46" s="2267"/>
      <c r="AU46" s="2267"/>
      <c r="AV46" s="2267"/>
      <c r="AW46" s="2267"/>
      <c r="AX46" s="2267"/>
      <c r="AY46" s="2267"/>
      <c r="AZ46" s="2267"/>
      <c r="BA46" s="2267"/>
      <c r="BB46" s="2268"/>
      <c r="BC46"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24"/>
      <c r="BF46" s="524" t="str">
        <f>IF(T46="","",T46)</f>
        <v>Наименование тарифа</v>
      </c>
      <c r="BG46" s="524"/>
      <c r="BH46" s="524"/>
      <c r="BI46" s="1179">
        <v>21</v>
      </c>
    </row>
    <row customHeight="1" ht="22.049999999999997">
      <c r="A47" s="1387" t="s">
        <v>330</v>
      </c>
      <c r="B47" s="1387" t="s">
        <v>331</v>
      </c>
      <c r="C47" s="1387"/>
      <c r="D47" s="1387"/>
      <c r="E47" s="2283"/>
      <c r="F47" s="2282">
        <v>1</v>
      </c>
      <c r="G47" s="1387"/>
      <c r="H47" s="1387"/>
      <c r="I47" s="1387"/>
      <c r="J47" s="1387"/>
      <c r="K47" s="1387"/>
      <c r="L47" s="1388"/>
      <c r="M47" s="1389"/>
      <c r="N47" s="1389"/>
      <c r="O47" s="1389"/>
      <c r="P47" s="1434"/>
      <c r="Q47" s="1435"/>
      <c r="R47" s="377"/>
      <c r="S47" s="1481" t="str">
        <f>INDEX(PT_DIFFERENTIATION_NUM_TER,MATCH(B47,PT_DIFFERENTIATION_TER_ID,0))</f>
        <v>.</v>
      </c>
      <c r="T47" s="332" t="s">
        <v>481</v>
      </c>
      <c r="U47" s="324"/>
      <c r="V47" s="2267"/>
      <c r="W47" s="2267"/>
      <c r="X47" s="2267"/>
      <c r="Y47" s="2267"/>
      <c r="Z47" s="2267"/>
      <c r="AA47" s="2267"/>
      <c r="AB47" s="2267"/>
      <c r="AC47" s="2268"/>
      <c r="AD47" s="2266" t="str">
        <f>INDEX(PT_DIFFERENTIATION_TER,MATCH(B47,PT_DIFFERENTIATION_TER_ID,0))</f>
        <v/>
      </c>
      <c r="AE47" s="2267"/>
      <c r="AF47" s="2267"/>
      <c r="AG47" s="2267"/>
      <c r="AH47" s="2267"/>
      <c r="AI47" s="2267"/>
      <c r="AJ47" s="2267"/>
      <c r="AK47" s="2267"/>
      <c r="AL47" s="2267"/>
      <c r="AM47" s="2267"/>
      <c r="AN47" s="2267"/>
      <c r="AO47" s="2267"/>
      <c r="AP47" s="2267"/>
      <c r="AQ47" s="2267"/>
      <c r="AR47" s="2267"/>
      <c r="AS47" s="2267"/>
      <c r="AT47" s="2267"/>
      <c r="AU47" s="2267"/>
      <c r="AV47" s="2267"/>
      <c r="AW47" s="2267"/>
      <c r="AX47" s="2267"/>
      <c r="AY47" s="2267"/>
      <c r="AZ47" s="2267"/>
      <c r="BA47" s="2267"/>
      <c r="BB47" s="2268"/>
      <c r="BC47" s="1282" t="s">
        <v>482</v>
      </c>
      <c r="BE47" s="524"/>
      <c r="BF47" s="524" t="str">
        <f>IF(T47="","",T47)</f>
        <v>Территория действия тарифа</v>
      </c>
      <c r="BG47" s="524"/>
      <c r="BH47" s="524"/>
      <c r="BI47" s="1179">
        <v>21</v>
      </c>
    </row>
    <row customHeight="1" ht="43.050000000000004">
      <c r="A48" s="1387" t="s">
        <v>330</v>
      </c>
      <c r="B48" s="1387" t="s">
        <v>331</v>
      </c>
      <c r="C48" s="1387" t="s">
        <v>332</v>
      </c>
      <c r="D48" s="1387"/>
      <c r="E48" s="2283"/>
      <c r="F48" s="2283"/>
      <c r="G48" s="2282">
        <v>1</v>
      </c>
      <c r="H48" s="1387"/>
      <c r="I48" s="1387"/>
      <c r="J48" s="1387"/>
      <c r="K48" s="1387"/>
      <c r="L48" s="1388"/>
      <c r="M48" s="1389"/>
      <c r="N48" s="1389"/>
      <c r="O48" s="1389"/>
      <c r="P48" s="1436"/>
      <c r="Q48" s="1435"/>
      <c r="R48" s="377"/>
      <c r="S48" s="1481" t="str">
        <f>INDEX(PT_DIFFERENTIATION_NUM_CS,MATCH(C48,PT_DIFFERENTIATION_CS_ID,0))</f>
        <v>..</v>
      </c>
      <c r="T48" s="333" t="s">
        <v>565</v>
      </c>
      <c r="U48" s="324"/>
      <c r="V48" s="2267"/>
      <c r="W48" s="2267"/>
      <c r="X48" s="2267"/>
      <c r="Y48" s="2267"/>
      <c r="Z48" s="2267"/>
      <c r="AA48" s="2267"/>
      <c r="AB48" s="2267"/>
      <c r="AC48" s="2268"/>
      <c r="AD48" s="2266" t="str">
        <f>INDEX(PT_DIFFERENTIATION_CS,MATCH(C48,PT_DIFFERENTIATION_CS_ID,0))</f>
        <v/>
      </c>
      <c r="AE48" s="2267"/>
      <c r="AF48" s="2267"/>
      <c r="AG48" s="2267"/>
      <c r="AH48" s="2267"/>
      <c r="AI48" s="2267"/>
      <c r="AJ48" s="2267"/>
      <c r="AK48" s="2267"/>
      <c r="AL48" s="2267"/>
      <c r="AM48" s="2267"/>
      <c r="AN48" s="2267"/>
      <c r="AO48" s="2267"/>
      <c r="AP48" s="2267"/>
      <c r="AQ48" s="2267"/>
      <c r="AR48" s="2267"/>
      <c r="AS48" s="2267"/>
      <c r="AT48" s="2267"/>
      <c r="AU48" s="2267"/>
      <c r="AV48" s="2267"/>
      <c r="AW48" s="2267"/>
      <c r="AX48" s="2267"/>
      <c r="AY48" s="2267"/>
      <c r="AZ48" s="2267"/>
      <c r="BA48" s="2267"/>
      <c r="BB48" s="2268"/>
      <c r="BC48" s="1282" t="s">
        <v>566</v>
      </c>
      <c r="BE48" s="524"/>
      <c r="BF48" s="524" t="str">
        <f>IF(T48="","",T48)</f>
        <v>Наименование централизованной системы холодного водоснабжения</v>
      </c>
      <c r="BG48" s="524"/>
      <c r="BH48" s="524"/>
      <c r="BI48" s="1179">
        <v>41</v>
      </c>
    </row>
    <row s="1666" customFormat="1" customHeight="1" ht="0">
      <c r="A49" s="1367" t="s">
        <v>330</v>
      </c>
      <c r="B49" s="1367" t="s">
        <v>331</v>
      </c>
      <c r="C49" s="1367" t="s">
        <v>332</v>
      </c>
      <c r="D49" s="1367" t="s">
        <v>599</v>
      </c>
      <c r="E49" s="2283"/>
      <c r="F49" s="2283"/>
      <c r="G49" s="2283"/>
      <c r="H49" s="2282">
        <v>1</v>
      </c>
      <c r="I49" s="1367"/>
      <c r="J49" s="1367"/>
      <c r="K49" s="1367"/>
      <c r="L49" s="1370"/>
      <c r="M49" s="1339"/>
      <c r="N49" s="1339"/>
      <c r="O49" s="1339"/>
      <c r="P49" s="1521"/>
      <c r="Q49" s="1522"/>
      <c r="R49" s="381"/>
      <c r="S49" s="1066"/>
      <c r="T49" s="1523"/>
      <c r="U49" s="1408"/>
      <c r="V49" s="2321"/>
      <c r="W49" s="2321"/>
      <c r="X49" s="2321"/>
      <c r="Y49" s="2321"/>
      <c r="Z49" s="2321"/>
      <c r="AA49" s="2321"/>
      <c r="AB49" s="2321"/>
      <c r="AC49" s="2322"/>
      <c r="AD49" s="2320"/>
      <c r="AE49" s="2321"/>
      <c r="AF49" s="2321"/>
      <c r="AG49" s="2321"/>
      <c r="AH49" s="2321"/>
      <c r="AI49" s="2321"/>
      <c r="AJ49" s="2321"/>
      <c r="AK49" s="2321"/>
      <c r="AL49" s="2321"/>
      <c r="AM49" s="2321"/>
      <c r="AN49" s="2321"/>
      <c r="AO49" s="2321"/>
      <c r="AP49" s="2321"/>
      <c r="AQ49" s="2321"/>
      <c r="AR49" s="2321"/>
      <c r="AS49" s="2321"/>
      <c r="AT49" s="2321"/>
      <c r="AU49" s="2321"/>
      <c r="AV49" s="2321"/>
      <c r="AW49" s="2321"/>
      <c r="AX49" s="2321"/>
      <c r="AY49" s="2321"/>
      <c r="AZ49" s="2321"/>
      <c r="BA49" s="2321"/>
      <c r="BB49" s="2322"/>
      <c r="BC49" s="1409" t="s">
        <v>486</v>
      </c>
      <c r="BE49" s="524"/>
      <c r="BF49" s="524" t="str">
        <f>IF(T49="","",T49)</f>
        <v/>
      </c>
      <c r="BG49" s="524"/>
      <c r="BH49" s="524"/>
      <c r="BI49" s="535">
        <v>0</v>
      </c>
    </row>
    <row s="1666" customFormat="1" customHeight="1" ht="0">
      <c r="A50" s="1367" t="s">
        <v>330</v>
      </c>
      <c r="B50" s="1367" t="s">
        <v>331</v>
      </c>
      <c r="C50" s="1367" t="s">
        <v>332</v>
      </c>
      <c r="D50" s="1367" t="s">
        <v>599</v>
      </c>
      <c r="E50" s="2283"/>
      <c r="F50" s="2283"/>
      <c r="G50" s="2283"/>
      <c r="H50" s="2283"/>
      <c r="I50" s="2280" t="str">
        <f>S49&amp;".1"</f>
        <v>.1</v>
      </c>
      <c r="J50" s="1367"/>
      <c r="K50" s="1367"/>
      <c r="L50" s="1370" t="s">
        <v>487</v>
      </c>
      <c r="M50" s="534"/>
      <c r="N50" s="534"/>
      <c r="O50" s="534"/>
      <c r="P50" s="2281">
        <v>1</v>
      </c>
      <c r="Q50" s="1486"/>
      <c r="R50" s="380"/>
      <c r="S50" s="1066"/>
      <c r="T50" s="1407"/>
      <c r="U50" s="1408"/>
      <c r="V50" s="2321"/>
      <c r="W50" s="2321"/>
      <c r="X50" s="2321"/>
      <c r="Y50" s="2321"/>
      <c r="Z50" s="2321"/>
      <c r="AA50" s="2321"/>
      <c r="AB50" s="2321"/>
      <c r="AC50" s="2322"/>
      <c r="AD50" s="2320"/>
      <c r="AE50" s="2321"/>
      <c r="AF50" s="2321"/>
      <c r="AG50" s="2321"/>
      <c r="AH50" s="2321"/>
      <c r="AI50" s="2321"/>
      <c r="AJ50" s="2321"/>
      <c r="AK50" s="2321"/>
      <c r="AL50" s="2321"/>
      <c r="AM50" s="2321"/>
      <c r="AN50" s="2321"/>
      <c r="AO50" s="2321"/>
      <c r="AP50" s="2321"/>
      <c r="AQ50" s="2321"/>
      <c r="AR50" s="2321"/>
      <c r="AS50" s="2321"/>
      <c r="AT50" s="2321"/>
      <c r="AU50" s="2321"/>
      <c r="AV50" s="2321"/>
      <c r="AW50" s="2321"/>
      <c r="AX50" s="2321"/>
      <c r="AY50" s="2321"/>
      <c r="AZ50" s="2321"/>
      <c r="BA50" s="2321"/>
      <c r="BB50" s="2322"/>
      <c r="BC50" s="1409"/>
      <c r="BE50" s="524"/>
      <c r="BF50" s="524" t="str">
        <f>IF(T50="","",T50)</f>
        <v/>
      </c>
      <c r="BG50" s="524"/>
      <c r="BH50" s="524"/>
      <c r="BI50" s="535">
        <v>0</v>
      </c>
    </row>
    <row s="1666" customFormat="1" customHeight="1" ht="0">
      <c r="A51" s="1367" t="s">
        <v>330</v>
      </c>
      <c r="B51" s="1367" t="s">
        <v>331</v>
      </c>
      <c r="C51" s="1367" t="s">
        <v>332</v>
      </c>
      <c r="D51" s="1367" t="s">
        <v>599</v>
      </c>
      <c r="E51" s="2283"/>
      <c r="F51" s="2283"/>
      <c r="G51" s="2283"/>
      <c r="H51" s="2283"/>
      <c r="I51" s="2310"/>
      <c r="J51" s="2280" t="str">
        <f>S49&amp;".1"</f>
        <v>.1</v>
      </c>
      <c r="K51" s="1367"/>
      <c r="L51" s="1370"/>
      <c r="M51" s="534"/>
      <c r="N51" s="534"/>
      <c r="O51" s="534"/>
      <c r="P51" s="2281"/>
      <c r="Q51" s="2281">
        <v>1</v>
      </c>
      <c r="R51" s="381"/>
      <c r="S51" s="1066"/>
      <c r="T51" s="1423"/>
      <c r="U51" s="1408"/>
      <c r="V51" s="2321"/>
      <c r="W51" s="2321"/>
      <c r="X51" s="2321"/>
      <c r="Y51" s="2321"/>
      <c r="Z51" s="2321"/>
      <c r="AA51" s="2321"/>
      <c r="AB51" s="2321"/>
      <c r="AC51" s="2322"/>
      <c r="AD51" s="2320"/>
      <c r="AE51" s="2321"/>
      <c r="AF51" s="2321"/>
      <c r="AG51" s="2321"/>
      <c r="AH51" s="2321"/>
      <c r="AI51" s="2321"/>
      <c r="AJ51" s="2321"/>
      <c r="AK51" s="2321"/>
      <c r="AL51" s="2321"/>
      <c r="AM51" s="2321"/>
      <c r="AN51" s="2388"/>
      <c r="AO51" s="2388"/>
      <c r="AP51" s="2321"/>
      <c r="AQ51" s="2321"/>
      <c r="AR51" s="2321"/>
      <c r="AS51" s="2321"/>
      <c r="AT51" s="2321"/>
      <c r="AU51" s="2321"/>
      <c r="AV51" s="2321"/>
      <c r="AW51" s="2321"/>
      <c r="AX51" s="2321"/>
      <c r="AY51" s="2321"/>
      <c r="AZ51" s="2321"/>
      <c r="BA51" s="2321"/>
      <c r="BB51" s="2322"/>
      <c r="BC51" s="1409"/>
      <c r="BE51" s="524"/>
      <c r="BF51" s="524" t="str">
        <f>IF(T51="","",T51)</f>
        <v/>
      </c>
      <c r="BG51" s="524"/>
      <c r="BH51" s="524"/>
      <c r="BI51" s="535">
        <v>0</v>
      </c>
    </row>
    <row customHeight="1" ht="11.549999999999999">
      <c r="A52" s="1387" t="s">
        <v>330</v>
      </c>
      <c r="B52" s="1387" t="s">
        <v>331</v>
      </c>
      <c r="C52" s="1387" t="s">
        <v>332</v>
      </c>
      <c r="D52" s="1387" t="s">
        <v>599</v>
      </c>
      <c r="E52" s="2283"/>
      <c r="F52" s="2283"/>
      <c r="G52" s="2283"/>
      <c r="H52" s="2283"/>
      <c r="I52" s="2310"/>
      <c r="J52" s="2310"/>
      <c r="K52" s="2280" t="str">
        <f>S48&amp;".1"</f>
        <v>...1</v>
      </c>
      <c r="L52" s="1388"/>
      <c r="P52" s="2281"/>
      <c r="Q52" s="2281"/>
      <c r="R52" s="381">
        <v>1</v>
      </c>
      <c r="S52" s="2365" t="str">
        <f>$K52</f>
        <v>...1</v>
      </c>
      <c r="T52" s="2384"/>
      <c r="U52" s="324"/>
      <c r="V52" s="775"/>
      <c r="W52" s="1281"/>
      <c r="X52" s="775"/>
      <c r="Y52" s="1281"/>
      <c r="Z52" s="1758"/>
      <c r="AA52" s="1483" t="s">
        <v>66</v>
      </c>
      <c r="AB52" s="1758"/>
      <c r="AC52" s="1483" t="s">
        <v>66</v>
      </c>
      <c r="AD52" s="2209" t="s">
        <v>66</v>
      </c>
      <c r="AE52" s="2350"/>
      <c r="AF52" s="2229">
        <v>1</v>
      </c>
      <c r="AG52" s="2387"/>
      <c r="AH52" s="2131" t="s">
        <v>66</v>
      </c>
      <c r="AI52" s="2350"/>
      <c r="AJ52" s="2229">
        <v>1</v>
      </c>
      <c r="AK52" s="2351" t="s">
        <v>22</v>
      </c>
      <c r="AL52" s="2131" t="s">
        <v>66</v>
      </c>
      <c r="AM52" s="2216"/>
      <c r="AN52" s="2229">
        <v>1</v>
      </c>
      <c r="AO52" s="2381"/>
      <c r="AP52" s="2382" t="s">
        <v>66</v>
      </c>
      <c r="AQ52" s="335"/>
      <c r="AR52" s="1487">
        <v>1</v>
      </c>
      <c r="AS52" s="1490" t="s">
        <v>22</v>
      </c>
      <c r="AT52" s="775"/>
      <c r="AU52" s="1281"/>
      <c r="AV52" s="775"/>
      <c r="AW52" s="1281"/>
      <c r="AX52" s="1758"/>
      <c r="AY52" s="1483" t="s">
        <v>66</v>
      </c>
      <c r="AZ52" s="1758"/>
      <c r="BA52" s="1483" t="s">
        <v>66</v>
      </c>
      <c r="BB52" s="1372"/>
      <c r="BC52" s="2277" t="s">
        <v>585</v>
      </c>
      <c r="BE52" s="524"/>
      <c r="BF52" s="524" t="str">
        <f>IF(T52="","",T52)</f>
        <v/>
      </c>
      <c r="BG52" s="524"/>
      <c r="BH52" s="524"/>
      <c r="BI52" s="1179">
        <v>11</v>
      </c>
    </row>
    <row customHeight="1" ht="11.549999999999999">
      <c r="A53" s="1387"/>
      <c r="B53" s="1387"/>
      <c r="C53" s="1387"/>
      <c r="D53" s="1387"/>
      <c r="E53" s="2283"/>
      <c r="F53" s="2283"/>
      <c r="G53" s="2283"/>
      <c r="H53" s="2283"/>
      <c r="I53" s="2310"/>
      <c r="J53" s="2310"/>
      <c r="K53" s="2280"/>
      <c r="L53" s="1388"/>
      <c r="P53" s="2281"/>
      <c r="Q53" s="2281"/>
      <c r="R53" s="381"/>
      <c r="S53" s="2366"/>
      <c r="T53" s="2385"/>
      <c r="U53" s="324"/>
      <c r="V53" s="1417"/>
      <c r="W53" s="1520"/>
      <c r="X53" s="1417"/>
      <c r="Y53" s="1520"/>
      <c r="Z53" s="1417"/>
      <c r="AA53" s="1417"/>
      <c r="AB53" s="1417"/>
      <c r="AC53" s="1417"/>
      <c r="AD53" s="2210"/>
      <c r="AE53" s="2350"/>
      <c r="AF53" s="2229"/>
      <c r="AG53" s="2387"/>
      <c r="AH53" s="2131"/>
      <c r="AI53" s="2350"/>
      <c r="AJ53" s="2229"/>
      <c r="AK53" s="2351"/>
      <c r="AL53" s="2131"/>
      <c r="AM53" s="2224"/>
      <c r="AN53" s="2229"/>
      <c r="AO53" s="2381"/>
      <c r="AP53" s="2383"/>
      <c r="AQ53" s="340"/>
      <c r="AR53" s="440"/>
      <c r="AS53" s="440" t="s">
        <v>586</v>
      </c>
      <c r="AT53" s="1417"/>
      <c r="AU53" s="1520"/>
      <c r="AV53" s="1417"/>
      <c r="AW53" s="1520"/>
      <c r="AX53" s="1417"/>
      <c r="AY53" s="1417"/>
      <c r="AZ53" s="1417"/>
      <c r="BA53" s="1417"/>
      <c r="BB53" s="1421"/>
      <c r="BC53" s="2278"/>
      <c r="BE53" s="524"/>
      <c r="BF53" s="524"/>
      <c r="BG53" s="524"/>
      <c r="BH53" s="524"/>
      <c r="BI53" s="1179">
        <v>11</v>
      </c>
    </row>
    <row customHeight="1" ht="11.549999999999999">
      <c r="A54" s="1387" t="s">
        <v>330</v>
      </c>
      <c r="B54" s="1387"/>
      <c r="C54" s="1387"/>
      <c r="D54" s="1387"/>
      <c r="E54" s="2283"/>
      <c r="F54" s="2283"/>
      <c r="G54" s="2283"/>
      <c r="H54" s="2283"/>
      <c r="I54" s="2310"/>
      <c r="J54" s="2310"/>
      <c r="K54" s="2280"/>
      <c r="L54" s="1388"/>
      <c r="P54" s="2281"/>
      <c r="Q54" s="2281"/>
      <c r="R54" s="381"/>
      <c r="S54" s="2366"/>
      <c r="T54" s="2385"/>
      <c r="U54" s="324"/>
      <c r="V54" s="1417"/>
      <c r="W54" s="1520"/>
      <c r="X54" s="1417"/>
      <c r="Y54" s="1520"/>
      <c r="Z54" s="1417"/>
      <c r="AA54" s="1417"/>
      <c r="AB54" s="1417"/>
      <c r="AC54" s="1417"/>
      <c r="AD54" s="2210"/>
      <c r="AE54" s="2350"/>
      <c r="AF54" s="2229"/>
      <c r="AG54" s="2387"/>
      <c r="AH54" s="2131"/>
      <c r="AI54" s="2350"/>
      <c r="AJ54" s="2229"/>
      <c r="AK54" s="2351"/>
      <c r="AL54" s="2131"/>
      <c r="AM54" s="340"/>
      <c r="AN54" s="1524"/>
      <c r="AO54" s="1524" t="s">
        <v>587</v>
      </c>
      <c r="AP54" s="440"/>
      <c r="AQ54" s="440"/>
      <c r="AR54" s="440"/>
      <c r="AS54" s="1417"/>
      <c r="AT54" s="1417"/>
      <c r="AU54" s="1520"/>
      <c r="AV54" s="1417"/>
      <c r="AW54" s="1520"/>
      <c r="AX54" s="1417"/>
      <c r="AY54" s="1417"/>
      <c r="AZ54" s="1417"/>
      <c r="BA54" s="1417"/>
      <c r="BB54" s="1421"/>
      <c r="BC54" s="2278"/>
      <c r="BE54" s="524"/>
      <c r="BF54" s="524"/>
      <c r="BG54" s="524"/>
      <c r="BH54" s="524"/>
      <c r="BI54" s="1179">
        <v>11</v>
      </c>
    </row>
    <row customHeight="1" ht="11.549999999999999">
      <c r="A55" s="1387" t="s">
        <v>330</v>
      </c>
      <c r="B55" s="1387"/>
      <c r="C55" s="1387"/>
      <c r="D55" s="1387"/>
      <c r="E55" s="2283"/>
      <c r="F55" s="2283"/>
      <c r="G55" s="2283"/>
      <c r="H55" s="2283"/>
      <c r="I55" s="2310"/>
      <c r="J55" s="2310"/>
      <c r="K55" s="2280"/>
      <c r="L55" s="1388"/>
      <c r="P55" s="2281"/>
      <c r="Q55" s="2281"/>
      <c r="R55" s="381"/>
      <c r="S55" s="2366"/>
      <c r="T55" s="2385"/>
      <c r="U55" s="324"/>
      <c r="V55" s="1417"/>
      <c r="W55" s="1520"/>
      <c r="X55" s="1417"/>
      <c r="Y55" s="1520"/>
      <c r="Z55" s="1417"/>
      <c r="AA55" s="1417"/>
      <c r="AB55" s="1417"/>
      <c r="AC55" s="1417"/>
      <c r="AD55" s="2210"/>
      <c r="AE55" s="2350"/>
      <c r="AF55" s="2229"/>
      <c r="AG55" s="2387"/>
      <c r="AH55" s="2131"/>
      <c r="AI55" s="318"/>
      <c r="AJ55" s="439"/>
      <c r="AK55" s="337" t="s">
        <v>588</v>
      </c>
      <c r="AL55" s="1417"/>
      <c r="AM55" s="1417"/>
      <c r="AN55" s="1417"/>
      <c r="AO55" s="1417"/>
      <c r="AP55" s="1417"/>
      <c r="AQ55" s="1417"/>
      <c r="AR55" s="1417"/>
      <c r="AS55" s="1417"/>
      <c r="AT55" s="1417"/>
      <c r="AU55" s="1520"/>
      <c r="AV55" s="1417"/>
      <c r="AW55" s="1520"/>
      <c r="AX55" s="1417"/>
      <c r="AY55" s="1417"/>
      <c r="AZ55" s="1417"/>
      <c r="BA55" s="1417"/>
      <c r="BB55" s="1421"/>
      <c r="BC55" s="2278"/>
      <c r="BE55" s="524"/>
      <c r="BF55" s="524"/>
      <c r="BG55" s="524"/>
      <c r="BH55" s="524"/>
      <c r="BI55" s="1179">
        <v>11</v>
      </c>
    </row>
    <row customHeight="1" ht="11.549999999999999">
      <c r="A56" s="1387" t="s">
        <v>330</v>
      </c>
      <c r="B56" s="1387" t="s">
        <v>331</v>
      </c>
      <c r="C56" s="1387" t="s">
        <v>332</v>
      </c>
      <c r="D56" s="1387" t="s">
        <v>599</v>
      </c>
      <c r="E56" s="2283"/>
      <c r="F56" s="2283"/>
      <c r="G56" s="2283"/>
      <c r="H56" s="2283"/>
      <c r="I56" s="2310"/>
      <c r="J56" s="2310"/>
      <c r="K56" s="2280"/>
      <c r="L56" s="1388"/>
      <c r="P56" s="2281"/>
      <c r="Q56" s="2281"/>
      <c r="R56" s="381"/>
      <c r="S56" s="2367"/>
      <c r="T56" s="2386"/>
      <c r="U56" s="324"/>
      <c r="V56" s="1417"/>
      <c r="W56" s="1418" t="str">
        <f>Z52&amp;"-"&amp;AB52</f>
        <v>-</v>
      </c>
      <c r="X56" s="1417"/>
      <c r="Y56" s="1418" t="str">
        <f>AB52&amp;"-"&amp;AD52</f>
        <v>-да</v>
      </c>
      <c r="Z56" s="1417"/>
      <c r="AA56" s="1417"/>
      <c r="AB56" s="1417"/>
      <c r="AC56" s="1417"/>
      <c r="AD56" s="2136"/>
      <c r="AE56" s="336"/>
      <c r="AF56" s="338"/>
      <c r="AG56" s="440" t="s">
        <v>589</v>
      </c>
      <c r="AH56" s="1417"/>
      <c r="AI56" s="1417"/>
      <c r="AJ56" s="1417"/>
      <c r="AK56" s="1417"/>
      <c r="AL56" s="1417"/>
      <c r="AM56" s="1417"/>
      <c r="AN56" s="1417"/>
      <c r="AO56" s="1417"/>
      <c r="AP56" s="1417"/>
      <c r="AQ56" s="1417"/>
      <c r="AR56" s="1417"/>
      <c r="AS56" s="1417"/>
      <c r="AT56" s="1417"/>
      <c r="AU56" s="1418" t="str">
        <f>AX52&amp;"-"&amp;AZ52</f>
        <v>-</v>
      </c>
      <c r="AV56" s="1417"/>
      <c r="AW56" s="1418" t="str">
        <f>AZ52&amp;"-"&amp;BB52</f>
        <v>-</v>
      </c>
      <c r="AX56" s="1417"/>
      <c r="AY56" s="1417"/>
      <c r="AZ56" s="1417"/>
      <c r="BA56" s="1417"/>
      <c r="BB56" s="1420" t="str">
        <f>BE52&amp;"-"&amp;BG52</f>
        <v>-</v>
      </c>
      <c r="BC56" s="2278"/>
      <c r="BE56" s="524"/>
      <c r="BF56" s="524" t="str">
        <f>IF(T56="","",T56)</f>
        <v/>
      </c>
      <c r="BG56" s="524"/>
      <c r="BH56" s="524"/>
      <c r="BI56" s="1179">
        <v>11</v>
      </c>
    </row>
    <row customHeight="1" ht="11.549999999999999">
      <c r="A57" s="1387" t="s">
        <v>330</v>
      </c>
      <c r="B57" s="1387" t="s">
        <v>331</v>
      </c>
      <c r="C57" s="1387" t="s">
        <v>332</v>
      </c>
      <c r="D57" s="1387" t="s">
        <v>599</v>
      </c>
      <c r="E57" s="2283"/>
      <c r="F57" s="2283"/>
      <c r="G57" s="2283"/>
      <c r="H57" s="2283"/>
      <c r="I57" s="2310"/>
      <c r="J57" s="2280"/>
      <c r="K57" s="1387"/>
      <c r="L57" s="1388"/>
      <c r="P57" s="2281"/>
      <c r="Q57" s="2281"/>
      <c r="R57" s="380"/>
      <c r="S57" s="1302"/>
      <c r="T57" s="311" t="s">
        <v>552</v>
      </c>
      <c r="U57" s="391"/>
      <c r="V57" s="391"/>
      <c r="W57" s="391"/>
      <c r="X57" s="391"/>
      <c r="Y57" s="391"/>
      <c r="Z57" s="391"/>
      <c r="AA57" s="391"/>
      <c r="AB57" s="391"/>
      <c r="AC57" s="348"/>
      <c r="AD57" s="1529"/>
      <c r="AE57" s="391"/>
      <c r="AF57" s="391"/>
      <c r="AG57" s="391"/>
      <c r="AH57" s="391"/>
      <c r="AI57" s="391"/>
      <c r="AJ57" s="391"/>
      <c r="AK57" s="391"/>
      <c r="AL57" s="391"/>
      <c r="AM57" s="391"/>
      <c r="AN57" s="391"/>
      <c r="AO57" s="391"/>
      <c r="AP57" s="391"/>
      <c r="AQ57" s="391"/>
      <c r="AR57" s="391"/>
      <c r="AS57" s="391"/>
      <c r="AT57" s="391"/>
      <c r="AU57" s="391"/>
      <c r="AV57" s="391"/>
      <c r="AW57" s="391"/>
      <c r="AX57" s="391"/>
      <c r="AY57" s="391"/>
      <c r="AZ57" s="391"/>
      <c r="BA57" s="391"/>
      <c r="BB57" s="348"/>
      <c r="BC57" s="2279"/>
      <c r="BE57" s="524"/>
      <c r="BF57" s="524" t="str">
        <f>IF(T57="","",T57)</f>
        <v>Добавить строку</v>
      </c>
      <c r="BG57" s="524"/>
      <c r="BH57" s="524"/>
      <c r="BI57" s="1179">
        <v>11</v>
      </c>
    </row>
    <row s="1666" customFormat="1" customHeight="1" ht="0">
      <c r="A58" s="1367" t="s">
        <v>330</v>
      </c>
      <c r="B58" s="1367" t="s">
        <v>331</v>
      </c>
      <c r="C58" s="1367" t="s">
        <v>332</v>
      </c>
      <c r="D58" s="1367" t="s">
        <v>599</v>
      </c>
      <c r="E58" s="2283"/>
      <c r="F58" s="2283"/>
      <c r="G58" s="2283"/>
      <c r="H58" s="2283"/>
      <c r="I58" s="2280"/>
      <c r="J58" s="1367"/>
      <c r="K58" s="1367"/>
      <c r="L58" s="1370"/>
      <c r="M58" s="534"/>
      <c r="N58" s="534"/>
      <c r="O58" s="534"/>
      <c r="P58" s="2281"/>
      <c r="Q58" s="1486"/>
      <c r="R58" s="380"/>
      <c r="S58" s="1410"/>
      <c r="T58" s="1411"/>
      <c r="U58" s="1412"/>
      <c r="V58" s="1412"/>
      <c r="W58" s="1412"/>
      <c r="X58" s="1412"/>
      <c r="Y58" s="1412"/>
      <c r="Z58" s="1412"/>
      <c r="AA58" s="1412"/>
      <c r="AB58" s="1412"/>
      <c r="AC58" s="1412"/>
      <c r="AD58" s="1412"/>
      <c r="AE58" s="1412"/>
      <c r="AF58" s="1412"/>
      <c r="AG58" s="1412"/>
      <c r="AH58" s="1412"/>
      <c r="AI58" s="1412"/>
      <c r="AJ58" s="1412"/>
      <c r="AK58" s="1412"/>
      <c r="AL58" s="1412"/>
      <c r="AM58" s="1412"/>
      <c r="AN58" s="1412"/>
      <c r="AO58" s="1412"/>
      <c r="AP58" s="1412"/>
      <c r="AQ58" s="1412"/>
      <c r="AR58" s="1412"/>
      <c r="AS58" s="1412"/>
      <c r="AT58" s="1412"/>
      <c r="AU58" s="1412"/>
      <c r="AV58" s="1412"/>
      <c r="AW58" s="1412"/>
      <c r="AX58" s="1412"/>
      <c r="AY58" s="1412"/>
      <c r="AZ58" s="1412"/>
      <c r="BA58" s="1412"/>
      <c r="BB58" s="1412"/>
      <c r="BC58" s="1413"/>
      <c r="BE58" s="524"/>
      <c r="BF58" s="524" t="str">
        <f>IF(T58="","",T58)</f>
        <v/>
      </c>
      <c r="BG58" s="524"/>
      <c r="BH58" s="524"/>
      <c r="BI58" s="535">
        <v>0</v>
      </c>
    </row>
    <row s="1666" customFormat="1" customHeight="1" ht="0">
      <c r="A59" s="1367" t="s">
        <v>330</v>
      </c>
      <c r="B59" s="1367" t="s">
        <v>331</v>
      </c>
      <c r="C59" s="1367" t="s">
        <v>332</v>
      </c>
      <c r="D59" s="1367" t="s">
        <v>599</v>
      </c>
      <c r="E59" s="2283"/>
      <c r="F59" s="2283"/>
      <c r="G59" s="2283"/>
      <c r="H59" s="2282"/>
      <c r="I59" s="1367"/>
      <c r="J59" s="1367"/>
      <c r="K59" s="1367"/>
      <c r="L59" s="1370"/>
      <c r="M59" s="1339"/>
      <c r="N59" s="1339"/>
      <c r="O59" s="542"/>
      <c r="P59" s="404"/>
      <c r="Q59" s="1368"/>
      <c r="R59" s="1425"/>
      <c r="S59" s="1410"/>
      <c r="T59" s="1411"/>
      <c r="U59" s="1412"/>
      <c r="V59" s="1412"/>
      <c r="W59" s="1412"/>
      <c r="X59" s="1412"/>
      <c r="Y59" s="1412"/>
      <c r="Z59" s="1412"/>
      <c r="AA59" s="1412"/>
      <c r="AB59" s="1412"/>
      <c r="AC59" s="1412"/>
      <c r="AD59" s="1412"/>
      <c r="AE59" s="1412"/>
      <c r="AF59" s="1412"/>
      <c r="AG59" s="1412"/>
      <c r="AH59" s="1412"/>
      <c r="AI59" s="1412"/>
      <c r="AJ59" s="1412"/>
      <c r="AK59" s="1412"/>
      <c r="AL59" s="1412"/>
      <c r="AM59" s="1412"/>
      <c r="AN59" s="1412"/>
      <c r="AO59" s="1412"/>
      <c r="AP59" s="1412"/>
      <c r="AQ59" s="1412"/>
      <c r="AR59" s="1412"/>
      <c r="AS59" s="1412"/>
      <c r="AT59" s="1412"/>
      <c r="AU59" s="1412"/>
      <c r="AV59" s="1412"/>
      <c r="AW59" s="1412"/>
      <c r="AX59" s="1412"/>
      <c r="AY59" s="1412"/>
      <c r="AZ59" s="1412"/>
      <c r="BA59" s="1412"/>
      <c r="BB59" s="1412"/>
      <c r="BC59" s="1413"/>
      <c r="BE59" s="524"/>
      <c r="BF59" s="524" t="str">
        <f>IF(T59="","",T59)</f>
        <v/>
      </c>
      <c r="BG59" s="524"/>
      <c r="BH59" s="524"/>
      <c r="BI59" s="535">
        <v>0</v>
      </c>
    </row>
    <row s="1666" customFormat="1" customHeight="1" ht="0">
      <c r="A60" s="1367" t="s">
        <v>330</v>
      </c>
      <c r="B60" s="1367" t="s">
        <v>331</v>
      </c>
      <c r="C60" s="1367" t="s">
        <v>332</v>
      </c>
      <c r="D60" s="1338"/>
      <c r="E60" s="2283"/>
      <c r="F60" s="2283"/>
      <c r="G60" s="2282"/>
      <c r="H60" s="1338"/>
      <c r="I60" s="1338"/>
      <c r="J60" s="1338"/>
      <c r="K60" s="1338"/>
      <c r="L60" s="1488"/>
      <c r="M60" s="1339"/>
      <c r="N60" s="1339"/>
      <c r="P60" s="1340"/>
      <c r="Q60" s="1341"/>
      <c r="R60" s="1340"/>
      <c r="S60" s="1346"/>
      <c r="T60" s="1349"/>
      <c r="U60" s="1348"/>
      <c r="V60" s="1348"/>
      <c r="W60" s="1348"/>
      <c r="X60" s="1348"/>
      <c r="Y60" s="1348"/>
      <c r="Z60" s="1348"/>
      <c r="AA60" s="1348"/>
      <c r="AB60" s="1348"/>
      <c r="AC60" s="1348"/>
      <c r="AD60" s="1348"/>
      <c r="AE60" s="1348"/>
      <c r="AF60" s="1348"/>
      <c r="AG60" s="1348"/>
      <c r="AH60" s="1348"/>
      <c r="AI60" s="1348"/>
      <c r="AJ60" s="1348"/>
      <c r="AK60" s="1348"/>
      <c r="AL60" s="1348"/>
      <c r="AM60" s="1348"/>
      <c r="AN60" s="1348"/>
      <c r="AO60" s="1348"/>
      <c r="AP60" s="1348"/>
      <c r="AQ60" s="1348"/>
      <c r="AR60" s="1348"/>
      <c r="AS60" s="1348"/>
      <c r="AT60" s="1348"/>
      <c r="AU60" s="1348"/>
      <c r="AV60" s="1348"/>
      <c r="AW60" s="1348"/>
      <c r="AX60" s="1348"/>
      <c r="AY60" s="1348"/>
      <c r="AZ60" s="1348"/>
      <c r="BA60" s="1348"/>
      <c r="BB60" s="1348"/>
      <c r="BC60" s="1348"/>
      <c r="BE60" s="813"/>
      <c r="BF60" s="813" t="str">
        <f>IF(T60="","",T60)</f>
        <v/>
      </c>
      <c r="BG60" s="813"/>
      <c r="BH60" s="813"/>
      <c r="BI60" s="542">
        <v>0</v>
      </c>
    </row>
    <row s="1666" customFormat="1" customHeight="1" ht="0">
      <c r="A61" s="1367" t="s">
        <v>330</v>
      </c>
      <c r="B61" s="1367" t="s">
        <v>331</v>
      </c>
      <c r="C61" s="1338"/>
      <c r="D61" s="1338"/>
      <c r="E61" s="2283"/>
      <c r="F61" s="2282"/>
      <c r="G61" s="1338"/>
      <c r="H61" s="1338"/>
      <c r="I61" s="1338"/>
      <c r="J61" s="1338"/>
      <c r="K61" s="1338"/>
      <c r="L61" s="1488"/>
      <c r="M61" s="1345"/>
      <c r="N61" s="1345"/>
      <c r="P61" s="1340"/>
      <c r="Q61" s="1341"/>
      <c r="R61" s="1340"/>
      <c r="S61" s="1346"/>
      <c r="T61" s="1349" t="s">
        <v>499</v>
      </c>
      <c r="U61" s="1348"/>
      <c r="V61" s="1348"/>
      <c r="W61" s="1348"/>
      <c r="X61" s="1348"/>
      <c r="Y61" s="1348"/>
      <c r="Z61" s="1348"/>
      <c r="AA61" s="1348"/>
      <c r="AB61" s="1348"/>
      <c r="AC61" s="1348"/>
      <c r="AD61" s="1348"/>
      <c r="AE61" s="1348"/>
      <c r="AF61" s="1348"/>
      <c r="AG61" s="1348"/>
      <c r="AH61" s="1348"/>
      <c r="AI61" s="1348"/>
      <c r="AJ61" s="1348"/>
      <c r="AK61" s="1348"/>
      <c r="AL61" s="1348"/>
      <c r="AM61" s="1348"/>
      <c r="AN61" s="1348"/>
      <c r="AO61" s="1348"/>
      <c r="AP61" s="1348"/>
      <c r="AQ61" s="1348"/>
      <c r="AR61" s="1348"/>
      <c r="AS61" s="1348"/>
      <c r="AT61" s="1348"/>
      <c r="AU61" s="1348"/>
      <c r="AV61" s="1348"/>
      <c r="AW61" s="1348"/>
      <c r="AX61" s="1348"/>
      <c r="AY61" s="1348"/>
      <c r="AZ61" s="1348"/>
      <c r="BA61" s="1348"/>
      <c r="BB61" s="1348"/>
      <c r="BC61" s="1348"/>
      <c r="BE61" s="813"/>
      <c r="BF61" s="813" t="str">
        <f>IF(T61="","",T61)</f>
        <v>Добавить централизованную систему для дифференциации</v>
      </c>
      <c r="BG61" s="813"/>
      <c r="BH61" s="813"/>
      <c r="BI61" s="542">
        <v>0</v>
      </c>
    </row>
    <row s="1666" customFormat="1" customHeight="1" ht="0">
      <c r="A62" s="1367" t="s">
        <v>330</v>
      </c>
      <c r="B62" s="1367"/>
      <c r="C62" s="1367"/>
      <c r="D62" s="1367"/>
      <c r="E62" s="2282"/>
      <c r="F62" s="1367"/>
      <c r="G62" s="1367"/>
      <c r="H62" s="1367"/>
      <c r="I62" s="1367"/>
      <c r="J62" s="1367"/>
      <c r="K62" s="1367"/>
      <c r="L62" s="1370"/>
      <c r="M62" s="1345"/>
      <c r="N62" s="1345"/>
      <c r="O62" s="542"/>
      <c r="P62" s="404"/>
      <c r="Q62" s="1368"/>
      <c r="R62" s="404"/>
      <c r="S62" s="1346"/>
      <c r="T62" s="1349" t="s">
        <v>500</v>
      </c>
      <c r="U62" s="1348"/>
      <c r="V62" s="1348"/>
      <c r="W62" s="1348"/>
      <c r="X62" s="1348"/>
      <c r="Y62" s="1348"/>
      <c r="Z62" s="1348"/>
      <c r="AA62" s="1348"/>
      <c r="AB62" s="1348"/>
      <c r="AC62" s="1348"/>
      <c r="AD62" s="1348"/>
      <c r="AE62" s="1348"/>
      <c r="AF62" s="1348"/>
      <c r="AG62" s="1348"/>
      <c r="AH62" s="1348"/>
      <c r="AI62" s="1348"/>
      <c r="AJ62" s="1348"/>
      <c r="AK62" s="1348"/>
      <c r="AL62" s="1348"/>
      <c r="AM62" s="1348"/>
      <c r="AN62" s="1348"/>
      <c r="AO62" s="1348"/>
      <c r="AP62" s="1348"/>
      <c r="AQ62" s="1348"/>
      <c r="AR62" s="1348"/>
      <c r="AS62" s="1348"/>
      <c r="AT62" s="1348"/>
      <c r="AU62" s="1348"/>
      <c r="AV62" s="1348"/>
      <c r="AW62" s="1348"/>
      <c r="AX62" s="1348"/>
      <c r="AY62" s="1348"/>
      <c r="AZ62" s="1348"/>
      <c r="BA62" s="1348"/>
      <c r="BB62" s="1348"/>
      <c r="BC62" s="1348"/>
      <c r="BE62" s="524"/>
      <c r="BF62" s="524" t="str">
        <f>IF(T62="","",T62)</f>
        <v>Добавить территорию для дифференциации</v>
      </c>
      <c r="BG62" s="524"/>
      <c r="BH62" s="524"/>
      <c r="BI62" s="535">
        <v>0</v>
      </c>
    </row>
    <row s="1666" customFormat="1" customHeight="1" ht="0">
      <c r="A63" s="1338"/>
      <c r="B63" s="1338"/>
      <c r="C63" s="1338"/>
      <c r="D63" s="1338"/>
      <c r="E63" s="1367"/>
      <c r="F63" s="1338"/>
      <c r="G63" s="1338"/>
      <c r="H63" s="1338"/>
      <c r="I63" s="1338"/>
      <c r="J63" s="1338"/>
      <c r="K63" s="1338"/>
      <c r="L63" s="1488"/>
      <c r="M63" s="1345"/>
      <c r="N63" s="1345"/>
      <c r="P63" s="1340"/>
      <c r="Q63" s="1341"/>
      <c r="R63" s="1340"/>
      <c r="S63" s="1346"/>
      <c r="T63" s="1349" t="s">
        <v>532</v>
      </c>
      <c r="U63" s="1348"/>
      <c r="V63" s="1348"/>
      <c r="W63" s="1348"/>
      <c r="X63" s="1348"/>
      <c r="Y63" s="1348"/>
      <c r="Z63" s="1348"/>
      <c r="AA63" s="1348"/>
      <c r="AB63" s="1348"/>
      <c r="AC63" s="1348"/>
      <c r="AD63" s="1348"/>
      <c r="AE63" s="1348"/>
      <c r="AF63" s="1348"/>
      <c r="AG63" s="1348"/>
      <c r="AH63" s="1348"/>
      <c r="AI63" s="1348"/>
      <c r="AJ63" s="1348"/>
      <c r="AK63" s="1348"/>
      <c r="AL63" s="1348"/>
      <c r="AM63" s="1348"/>
      <c r="AN63" s="1348"/>
      <c r="AO63" s="1348"/>
      <c r="AP63" s="1348"/>
      <c r="AQ63" s="1348"/>
      <c r="AR63" s="1348"/>
      <c r="AS63" s="1348"/>
      <c r="AT63" s="1348"/>
      <c r="AU63" s="1348"/>
      <c r="AV63" s="1348"/>
      <c r="AW63" s="1348"/>
      <c r="AX63" s="1348"/>
      <c r="AY63" s="1348"/>
      <c r="AZ63" s="1348"/>
      <c r="BA63" s="1348"/>
      <c r="BB63" s="1348"/>
      <c r="BC63" s="1348"/>
      <c r="BE63" s="813"/>
      <c r="BF63" s="813" t="str">
        <f>IF(T63="","",T63)</f>
        <v>Добавить наименование тарифа</v>
      </c>
      <c r="BG63" s="813"/>
      <c r="BH63" s="813"/>
      <c r="BI63" s="542">
        <v>0</v>
      </c>
    </row>
    <row customHeight="1" ht="11.549999999999999">
      <c r="M64" s="1184"/>
      <c r="N64" s="1184"/>
      <c r="O64" s="561"/>
      <c r="P64" s="1184"/>
      <c r="Q64" s="1184"/>
      <c r="R64" s="1179"/>
      <c r="S64" s="1179"/>
      <c r="BD64" s="1179"/>
      <c r="BE64" s="1179"/>
      <c r="BF64" s="1179"/>
      <c r="BG64" s="1179"/>
      <c r="BH64" s="1179"/>
      <c r="BI64" s="1179">
        <v>11</v>
      </c>
    </row>
    <row customHeight="1" ht="19.95">
      <c r="O65" s="561"/>
      <c r="S65" s="1277"/>
      <c r="T65" s="2309"/>
      <c r="U65" s="2309"/>
      <c r="V65" s="2309"/>
      <c r="W65" s="2309"/>
      <c r="X65" s="2309"/>
      <c r="Y65" s="2309"/>
      <c r="Z65" s="2309"/>
      <c r="AA65" s="2309"/>
      <c r="AB65" s="2309"/>
      <c r="AC65" s="2309"/>
      <c r="AD65" s="2309"/>
      <c r="AE65" s="2309"/>
      <c r="AF65" s="2309"/>
      <c r="AG65" s="2309"/>
      <c r="AH65" s="2309"/>
      <c r="AI65" s="2309"/>
      <c r="AJ65" s="2309"/>
      <c r="AK65" s="2309"/>
      <c r="AL65" s="2309"/>
      <c r="AM65" s="2309"/>
      <c r="AN65" s="2309"/>
      <c r="AO65" s="2309"/>
      <c r="AP65" s="2309"/>
      <c r="AQ65" s="2309"/>
      <c r="AR65" s="2309"/>
      <c r="AS65" s="2309"/>
      <c r="AT65" s="2309"/>
      <c r="AU65" s="2309"/>
      <c r="AV65" s="2309"/>
      <c r="AW65" s="2309"/>
      <c r="AX65" s="2309"/>
      <c r="AY65" s="2309"/>
      <c r="AZ65" s="2309"/>
      <c r="BA65" s="2309"/>
      <c r="BB65" s="2309"/>
      <c r="BC65" s="2309"/>
      <c r="BI65" s="1179">
        <v>19</v>
      </c>
    </row>
    <row customHeight="1" ht="14.699999999999998">
      <c r="O66" s="561"/>
      <c r="T66" s="1473"/>
      <c r="U66" s="1473"/>
      <c r="V66" s="1473"/>
      <c r="W66" s="1473"/>
      <c r="X66" s="1473"/>
      <c r="Y66" s="1473"/>
      <c r="Z66" s="1473"/>
      <c r="AA66" s="1473"/>
      <c r="AB66" s="1473"/>
      <c r="AC66" s="1473"/>
      <c r="AD66" s="1473"/>
      <c r="AE66" s="1473"/>
      <c r="AF66" s="1473"/>
      <c r="AG66" s="1473"/>
      <c r="AH66" s="1473"/>
      <c r="AI66" s="1473"/>
      <c r="AJ66" s="1473"/>
      <c r="AK66" s="1473"/>
      <c r="AL66" s="1473"/>
      <c r="AM66" s="1473"/>
      <c r="AN66" s="1473"/>
      <c r="AO66" s="1473"/>
      <c r="AP66" s="1473"/>
      <c r="AQ66" s="1473"/>
      <c r="AR66" s="1473"/>
      <c r="AS66" s="1473"/>
      <c r="AT66" s="1473"/>
      <c r="AU66" s="1473"/>
      <c r="AV66" s="1473"/>
      <c r="AW66" s="1473"/>
      <c r="AX66" s="1473"/>
      <c r="AY66" s="1473"/>
      <c r="AZ66" s="1473"/>
      <c r="BA66" s="1473"/>
      <c r="BB66" s="1473"/>
      <c r="BC66" s="1473"/>
      <c r="BI66" s="1179">
        <v>14</v>
      </c>
    </row>
    <row customHeight="1" ht="19.95">
      <c r="O67" s="561"/>
      <c r="S67" s="1277"/>
      <c r="T67" s="2309"/>
      <c r="U67" s="2309"/>
      <c r="V67" s="2309"/>
      <c r="W67" s="2309"/>
      <c r="X67" s="2309"/>
      <c r="Y67" s="2309"/>
      <c r="Z67" s="2309"/>
      <c r="AA67" s="2309"/>
      <c r="AB67" s="2309"/>
      <c r="AC67" s="2309"/>
      <c r="AD67" s="2309"/>
      <c r="AE67" s="2309"/>
      <c r="AF67" s="2309"/>
      <c r="AG67" s="2309"/>
      <c r="AH67" s="2309"/>
      <c r="AI67" s="2309"/>
      <c r="AJ67" s="2309"/>
      <c r="AK67" s="2309"/>
      <c r="AL67" s="2309"/>
      <c r="AM67" s="2309"/>
      <c r="AN67" s="2309"/>
      <c r="AO67" s="2309"/>
      <c r="AP67" s="2309"/>
      <c r="AQ67" s="2309"/>
      <c r="AR67" s="2309"/>
      <c r="AS67" s="2309"/>
      <c r="AT67" s="2309"/>
      <c r="AU67" s="2309"/>
      <c r="AV67" s="2309"/>
      <c r="AW67" s="2309"/>
      <c r="AX67" s="2309"/>
      <c r="AY67" s="2309"/>
      <c r="AZ67" s="2309"/>
      <c r="BA67" s="2309"/>
      <c r="BB67" s="2309"/>
      <c r="BC67" s="2309"/>
      <c r="BI67" s="1179">
        <v>19</v>
      </c>
    </row>
    <row customHeight="1" ht="14.699999999999998">
      <c r="O68" s="561"/>
      <c r="BI68" s="1179">
        <v>14</v>
      </c>
    </row>
    <row customHeight="1" ht="14.25" hidden="1">
      <c r="A69" s="1184" t="s">
        <v>82</v>
      </c>
      <c r="B69" s="1184">
        <v>0</v>
      </c>
      <c r="C69" s="1184">
        <v>0</v>
      </c>
      <c r="D69" s="1184">
        <v>0</v>
      </c>
      <c r="E69" s="1184">
        <v>0</v>
      </c>
      <c r="F69" s="1184">
        <v>0</v>
      </c>
      <c r="G69" s="1184">
        <v>0</v>
      </c>
      <c r="H69" s="1184">
        <v>0</v>
      </c>
      <c r="I69" s="1184">
        <v>0</v>
      </c>
      <c r="J69" s="1184">
        <v>0</v>
      </c>
      <c r="K69" s="1184">
        <v>0</v>
      </c>
      <c r="L69" s="1485">
        <v>0</v>
      </c>
      <c r="M69" s="1386">
        <v>0</v>
      </c>
      <c r="N69" s="1386">
        <v>0</v>
      </c>
      <c r="O69" s="1386">
        <v>0</v>
      </c>
      <c r="P69" s="1386">
        <v>0</v>
      </c>
      <c r="Q69" s="1395">
        <v>0</v>
      </c>
      <c r="R69" s="368">
        <v>3</v>
      </c>
      <c r="S69" s="605">
        <v>12</v>
      </c>
      <c r="T69" s="1179">
        <v>31</v>
      </c>
      <c r="U69" s="1179">
        <v>0</v>
      </c>
      <c r="V69" s="1179">
        <v>0</v>
      </c>
      <c r="W69" s="1179">
        <v>0</v>
      </c>
      <c r="X69" s="1179">
        <v>0</v>
      </c>
      <c r="Y69" s="1179">
        <v>0</v>
      </c>
      <c r="Z69" s="1179">
        <v>0</v>
      </c>
      <c r="AA69" s="1179">
        <v>0</v>
      </c>
      <c r="AB69" s="1179">
        <v>0</v>
      </c>
      <c r="AC69" s="1179">
        <v>0</v>
      </c>
      <c r="AD69" s="1179">
        <v>3</v>
      </c>
      <c r="AE69" s="1179">
        <v>3</v>
      </c>
      <c r="AF69" s="1179">
        <v>3</v>
      </c>
      <c r="AG69" s="1179">
        <v>24</v>
      </c>
      <c r="AH69" s="1179">
        <v>3</v>
      </c>
      <c r="AI69" s="1179">
        <v>3</v>
      </c>
      <c r="AJ69" s="1179">
        <v>3</v>
      </c>
      <c r="AK69" s="1179">
        <v>24</v>
      </c>
      <c r="AL69" s="1179">
        <v>3</v>
      </c>
      <c r="AM69" s="1179">
        <v>3</v>
      </c>
      <c r="AN69" s="1179">
        <v>3</v>
      </c>
      <c r="AO69" s="1179">
        <v>18</v>
      </c>
      <c r="AP69" s="1179">
        <v>3</v>
      </c>
      <c r="AQ69" s="1179">
        <v>3</v>
      </c>
      <c r="AR69" s="1179">
        <v>3</v>
      </c>
      <c r="AS69" s="1179">
        <v>18</v>
      </c>
      <c r="AT69" s="1179">
        <v>21</v>
      </c>
      <c r="AU69" s="1179">
        <v>21</v>
      </c>
      <c r="AV69" s="1179">
        <v>21</v>
      </c>
      <c r="AW69" s="1179">
        <v>21</v>
      </c>
      <c r="AX69" s="1179">
        <v>11</v>
      </c>
      <c r="AY69" s="1179">
        <v>3</v>
      </c>
      <c r="AZ69" s="1179">
        <v>11</v>
      </c>
      <c r="BA69" s="1179">
        <v>0</v>
      </c>
      <c r="BB69" s="1179">
        <v>4</v>
      </c>
      <c r="BC69" s="1179">
        <v>115</v>
      </c>
      <c r="BD69" s="535">
        <v>10</v>
      </c>
      <c r="BE69" s="535">
        <v>10</v>
      </c>
      <c r="BF69" s="535">
        <v>10</v>
      </c>
      <c r="BG69" s="535">
        <v>10</v>
      </c>
      <c r="BH69" s="535">
        <v>10</v>
      </c>
      <c r="BI69" s="1179">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803958-FC66-0E59-E477-0.CDD4F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4.140625" hidden="1" customWidth="1"/>
    <col min="10" max="10" style="1390" width="9.8515625" hidden="1" customWidth="1"/>
    <col min="11" max="11" style="1390" width="14.7109375" hidden="1" customWidth="1"/>
    <col min="12" max="12" style="2631" width="19.140625" hidden="1" customWidth="1"/>
    <col min="13" max="14" style="1800" width="12.28125" hidden="1" customWidth="1"/>
    <col min="15" max="15" style="1800" width="23.421875" hidden="1" customWidth="1"/>
    <col min="16" max="16" style="2421" width="3.00390625" customWidth="1"/>
    <col min="17" max="18" style="368" width="3.00390625" customWidth="1"/>
    <col min="19" max="19" style="2431" width="12.00390625" customWidth="1"/>
    <col min="20" max="20" style="1659" width="35.00390625" customWidth="1"/>
    <col min="21" max="21" style="1659" width="0.140625" customWidth="1"/>
    <col min="22" max="24" style="1659" width="24.7109375" hidden="1" customWidth="1"/>
    <col min="25" max="25" style="1659" width="11.7109375" hidden="1" customWidth="1"/>
    <col min="26" max="26" style="1659" width="3.7109375" hidden="1" customWidth="1"/>
    <col min="27" max="27" style="1659" width="11.7109375" hidden="1" customWidth="1"/>
    <col min="28" max="28" style="1659" width="8.57421875" hidden="1" customWidth="1"/>
    <col min="29" max="29" style="1659" width="24.7109375" customWidth="1"/>
    <col min="30" max="31" style="1659" width="24.00390625" customWidth="1"/>
    <col min="32" max="32" style="1659" width="11.00390625" customWidth="1"/>
    <col min="33" max="33" style="1659" width="3.7109375" customWidth="1"/>
    <col min="34" max="34" style="1659" width="11.00390625" customWidth="1"/>
    <col min="35" max="35" style="1659" width="8.57421875" hidden="1" customWidth="1"/>
    <col min="36" max="36" style="1659" width="4.00390625" customWidth="1"/>
    <col min="37" max="37" style="1659" width="115.00390625" customWidth="1"/>
    <col min="38" max="42" style="1666" width="10.00390625" customWidth="1"/>
    <col min="43" max="43" style="1659" width="10.57421875" hidden="1"/>
  </cols>
  <sheetData>
    <row customHeight="1" ht="22.5" hidden="1">
      <c r="X1" s="351"/>
      <c r="Y1" s="351"/>
      <c r="AE1" s="351"/>
      <c r="AF1" s="351"/>
      <c r="AQ1" s="1179" t="s">
        <v>14</v>
      </c>
    </row>
    <row customHeight="1" ht="23.25" hidden="1">
      <c r="A2" s="1387"/>
      <c r="B2" s="1387"/>
      <c r="C2" s="1387"/>
      <c r="D2" s="1387"/>
      <c r="E2" s="2282">
        <v>1</v>
      </c>
      <c r="F2" s="1387"/>
      <c r="G2" s="1387"/>
      <c r="H2" s="1387"/>
      <c r="I2" s="1387"/>
      <c r="J2" s="1387"/>
      <c r="K2" s="1387"/>
      <c r="L2" s="1388"/>
      <c r="M2" s="1389"/>
      <c r="N2" s="1389"/>
      <c r="O2" s="1389"/>
      <c r="P2" s="385"/>
      <c r="Q2" s="384"/>
      <c r="R2" s="379"/>
      <c r="S2" s="1517">
        <f>INDEX(PT_DIFFERENTIATION_NUM_NTAR,MATCH(A2,PT_DIFFERENTIATION_NTAR_ID,0))</f>
      </c>
      <c r="T2" s="322" t="s">
        <v>211</v>
      </c>
      <c r="U2" s="324"/>
      <c r="V2" s="2266"/>
      <c r="W2" s="2267"/>
      <c r="X2" s="2267"/>
      <c r="Y2" s="2267"/>
      <c r="Z2" s="2267"/>
      <c r="AA2" s="2267"/>
      <c r="AB2" s="2268"/>
      <c r="AC2" s="2266">
        <f>INDEX(PT_DIFFERENTIATION_NTAR,MATCH(A2,PT_DIFFERENTIATION_NTAR_ID,0))</f>
      </c>
      <c r="AD2" s="2267"/>
      <c r="AE2" s="2267"/>
      <c r="AF2" s="2267"/>
      <c r="AG2" s="2267"/>
      <c r="AH2" s="2267"/>
      <c r="AI2" s="2267"/>
      <c r="AJ2" s="2268"/>
      <c r="AK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24"/>
      <c r="AN2" s="524" t="str">
        <f>IF(T2="","",T2)</f>
        <v>Наименование тарифа</v>
      </c>
      <c r="AO2" s="524"/>
      <c r="AP2" s="524"/>
      <c r="AQ2" s="1179">
        <v>0</v>
      </c>
    </row>
    <row customHeight="1" ht="23.25" hidden="1">
      <c r="A3" s="1387"/>
      <c r="B3" s="1387"/>
      <c r="C3" s="1387"/>
      <c r="D3" s="1387"/>
      <c r="E3" s="2283"/>
      <c r="F3" s="2282">
        <v>1</v>
      </c>
      <c r="G3" s="1387"/>
      <c r="H3" s="1387"/>
      <c r="I3" s="1387"/>
      <c r="J3" s="1387"/>
      <c r="K3" s="1387"/>
      <c r="L3" s="1388"/>
      <c r="M3" s="1389"/>
      <c r="N3" s="1389"/>
      <c r="O3" s="1389"/>
      <c r="P3" s="1511"/>
      <c r="Q3" s="376"/>
      <c r="R3" s="377"/>
      <c r="S3" s="1517">
        <f>INDEX(PT_DIFFERENTIATION_NUM_TER,MATCH(B3,PT_DIFFERENTIATION_TER_ID,0))</f>
      </c>
      <c r="T3" s="332" t="s">
        <v>481</v>
      </c>
      <c r="U3" s="324"/>
      <c r="V3" s="2266"/>
      <c r="W3" s="2267"/>
      <c r="X3" s="2267"/>
      <c r="Y3" s="2267"/>
      <c r="Z3" s="2267"/>
      <c r="AA3" s="2267"/>
      <c r="AB3" s="2268"/>
      <c r="AC3" s="2266">
        <f>INDEX(PT_DIFFERENTIATION_TER,MATCH(B3,PT_DIFFERENTIATION_TER_ID,0))</f>
      </c>
      <c r="AD3" s="2267"/>
      <c r="AE3" s="2267"/>
      <c r="AF3" s="2267"/>
      <c r="AG3" s="2267"/>
      <c r="AH3" s="2267"/>
      <c r="AI3" s="2267"/>
      <c r="AJ3" s="2268"/>
      <c r="AK3" s="1282" t="s">
        <v>482</v>
      </c>
      <c r="AM3" s="524"/>
      <c r="AN3" s="524" t="str">
        <f>IF(T3="","",T3)</f>
        <v>Территория действия тарифа</v>
      </c>
      <c r="AO3" s="524"/>
      <c r="AP3" s="524"/>
      <c r="AQ3" s="1179">
        <v>0</v>
      </c>
    </row>
    <row customHeight="1" ht="23.25" hidden="1">
      <c r="A4" s="1387"/>
      <c r="B4" s="1387"/>
      <c r="C4" s="1387"/>
      <c r="D4" s="1387"/>
      <c r="E4" s="2283"/>
      <c r="F4" s="2283"/>
      <c r="G4" s="2282">
        <v>1</v>
      </c>
      <c r="H4" s="1387"/>
      <c r="I4" s="1387"/>
      <c r="J4" s="1387"/>
      <c r="K4" s="1387"/>
      <c r="L4" s="1388"/>
      <c r="M4" s="1389"/>
      <c r="N4" s="1389"/>
      <c r="O4" s="1389"/>
      <c r="P4" s="378"/>
      <c r="Q4" s="376"/>
      <c r="R4" s="377"/>
      <c r="S4" s="1517">
        <f>INDEX(PT_DIFFERENTIATION_NUM_CS,MATCH(C4,PT_DIFFERENTIATION_CS_ID,0))</f>
      </c>
      <c r="T4" s="333" t="s">
        <v>600</v>
      </c>
      <c r="U4" s="324"/>
      <c r="V4" s="2266"/>
      <c r="W4" s="2267"/>
      <c r="X4" s="2267"/>
      <c r="Y4" s="2267"/>
      <c r="Z4" s="2267"/>
      <c r="AA4" s="2267"/>
      <c r="AB4" s="2268"/>
      <c r="AC4" s="2266">
        <f>INDEX(PT_DIFFERENTIATION_CS,MATCH(C4,PT_DIFFERENTIATION_CS_ID,0))</f>
      </c>
      <c r="AD4" s="2267"/>
      <c r="AE4" s="2267"/>
      <c r="AF4" s="2267"/>
      <c r="AG4" s="2267"/>
      <c r="AH4" s="2267"/>
      <c r="AI4" s="2267"/>
      <c r="AJ4" s="2268"/>
      <c r="AK4" s="1282" t="s">
        <v>601</v>
      </c>
      <c r="AM4" s="524"/>
      <c r="AN4" s="524" t="str">
        <f>IF(T4="","",T4)</f>
        <v>Наименование централизованной системы водоотведения</v>
      </c>
      <c r="AO4" s="524"/>
      <c r="AP4" s="524"/>
      <c r="AQ4" s="1179">
        <v>0</v>
      </c>
    </row>
    <row customHeight="1" ht="23.25" hidden="1">
      <c r="A5" s="1387"/>
      <c r="B5" s="1387"/>
      <c r="C5" s="1387"/>
      <c r="D5" s="1387"/>
      <c r="E5" s="2283"/>
      <c r="F5" s="2283"/>
      <c r="G5" s="2283"/>
      <c r="H5" s="2283"/>
      <c r="I5" s="2280">
        <f>S4&amp;".1"</f>
      </c>
      <c r="J5" s="1387"/>
      <c r="K5" s="1387"/>
      <c r="L5" s="1388"/>
      <c r="P5" s="2281">
        <v>1</v>
      </c>
      <c r="Q5" s="1505"/>
      <c r="R5" s="380"/>
      <c r="S5" s="1517">
        <f>$I5</f>
      </c>
      <c r="T5" s="309" t="s">
        <v>567</v>
      </c>
      <c r="U5" s="324"/>
      <c r="V5" s="2374"/>
      <c r="W5" s="2375"/>
      <c r="X5" s="2375"/>
      <c r="Y5" s="2375"/>
      <c r="Z5" s="2375"/>
      <c r="AA5" s="2375"/>
      <c r="AB5" s="2376"/>
      <c r="AC5" s="2377"/>
      <c r="AD5" s="2378"/>
      <c r="AE5" s="2378"/>
      <c r="AF5" s="2378"/>
      <c r="AG5" s="2378"/>
      <c r="AH5" s="2378"/>
      <c r="AI5" s="2378"/>
      <c r="AJ5" s="2379"/>
      <c r="AK5" s="1282" t="s">
        <v>568</v>
      </c>
      <c r="AM5" s="524"/>
      <c r="AN5" s="524" t="str">
        <f>IF(T5="","",T5)</f>
        <v>Наименование признака дифференциации</v>
      </c>
      <c r="AO5" s="524"/>
      <c r="AP5" s="524"/>
      <c r="AQ5" s="1179">
        <v>0</v>
      </c>
    </row>
    <row customHeight="1" ht="23.25" hidden="1">
      <c r="A6" s="1387"/>
      <c r="B6" s="1387"/>
      <c r="C6" s="1387"/>
      <c r="D6" s="1387"/>
      <c r="E6" s="2283"/>
      <c r="F6" s="2283"/>
      <c r="G6" s="2283"/>
      <c r="H6" s="2283"/>
      <c r="I6" s="2310"/>
      <c r="J6" s="2280">
        <f>I5&amp;".1"</f>
      </c>
      <c r="K6" s="1387"/>
      <c r="L6" s="1388" t="s">
        <v>490</v>
      </c>
      <c r="P6" s="2281"/>
      <c r="Q6" s="2281">
        <v>1</v>
      </c>
      <c r="R6" s="381"/>
      <c r="S6" s="1517">
        <f>$J6</f>
      </c>
      <c r="T6" s="310" t="s">
        <v>491</v>
      </c>
      <c r="U6" s="324"/>
      <c r="V6" s="2269"/>
      <c r="W6" s="2270"/>
      <c r="X6" s="2270"/>
      <c r="Y6" s="2270"/>
      <c r="Z6" s="2270"/>
      <c r="AA6" s="2270"/>
      <c r="AB6" s="2271"/>
      <c r="AC6" s="2269"/>
      <c r="AD6" s="2270"/>
      <c r="AE6" s="2270"/>
      <c r="AF6" s="2270"/>
      <c r="AG6" s="2270"/>
      <c r="AH6" s="2270"/>
      <c r="AI6" s="2270"/>
      <c r="AJ6" s="2271"/>
      <c r="AK6" s="1331" t="s">
        <v>569</v>
      </c>
      <c r="AM6" s="524"/>
      <c r="AN6" s="524" t="str">
        <f>IF(T6="","",T6)</f>
        <v>Группа потребителей</v>
      </c>
      <c r="AO6" s="524"/>
      <c r="AP6" s="524"/>
      <c r="AQ6" s="1179">
        <v>0</v>
      </c>
    </row>
    <row customHeight="1" ht="23.25" hidden="1">
      <c r="A7" s="1387"/>
      <c r="B7" s="1387"/>
      <c r="C7" s="1387"/>
      <c r="D7" s="1387"/>
      <c r="E7" s="2283"/>
      <c r="F7" s="2283"/>
      <c r="G7" s="2283"/>
      <c r="H7" s="2283"/>
      <c r="I7" s="2310"/>
      <c r="J7" s="2310"/>
      <c r="K7" s="2280">
        <f>J6&amp;".1"</f>
      </c>
      <c r="L7" s="1388"/>
      <c r="P7" s="2281"/>
      <c r="Q7" s="2281"/>
      <c r="R7" s="381">
        <v>1</v>
      </c>
      <c r="S7" s="1517">
        <f>$K7</f>
      </c>
      <c r="T7" s="1461"/>
      <c r="U7" s="324"/>
      <c r="V7" s="775"/>
      <c r="W7" s="775"/>
      <c r="X7" s="1281"/>
      <c r="Y7" s="2289"/>
      <c r="Z7" s="2131" t="s">
        <v>66</v>
      </c>
      <c r="AA7" s="2289"/>
      <c r="AB7" s="2131" t="s">
        <v>66</v>
      </c>
      <c r="AC7" s="775"/>
      <c r="AD7" s="775"/>
      <c r="AE7" s="1281"/>
      <c r="AF7" s="2289"/>
      <c r="AG7" s="2131" t="s">
        <v>66</v>
      </c>
      <c r="AH7" s="2311"/>
      <c r="AI7" s="2131" t="s">
        <v>66</v>
      </c>
      <c r="AJ7" s="1462"/>
      <c r="AK7"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35">
        <f>STRCHECKDATE(V8:AJ8)</f>
      </c>
      <c r="AM7" s="524"/>
      <c r="AN7" s="524" t="str">
        <f>IF(T7="","",T7)</f>
        <v/>
      </c>
      <c r="AO7" s="524"/>
      <c r="AP7" s="524"/>
      <c r="AQ7" s="1179">
        <v>0</v>
      </c>
    </row>
    <row customHeight="1" ht="14.25" hidden="1">
      <c r="A8" s="1387"/>
      <c r="B8" s="1387"/>
      <c r="C8" s="1387"/>
      <c r="D8" s="1387"/>
      <c r="E8" s="2283"/>
      <c r="F8" s="2283"/>
      <c r="G8" s="2283"/>
      <c r="H8" s="2283"/>
      <c r="I8" s="2310"/>
      <c r="J8" s="2310"/>
      <c r="K8" s="2280"/>
      <c r="L8" s="1388"/>
      <c r="P8" s="2281"/>
      <c r="Q8" s="2281"/>
      <c r="R8" s="381"/>
      <c r="S8" s="1514"/>
      <c r="T8" s="324"/>
      <c r="U8" s="324"/>
      <c r="V8" s="349"/>
      <c r="W8" s="349"/>
      <c r="X8" s="352" t="str">
        <f>Y7&amp;"-"&amp;AA7</f>
        <v>-</v>
      </c>
      <c r="Y8" s="2290"/>
      <c r="Z8" s="2131"/>
      <c r="AA8" s="2290"/>
      <c r="AB8" s="2131"/>
      <c r="AC8" s="349"/>
      <c r="AD8" s="349"/>
      <c r="AE8" s="352" t="str">
        <f>AF7&amp;"-"&amp;AH7</f>
        <v>-</v>
      </c>
      <c r="AF8" s="2290"/>
      <c r="AG8" s="2131"/>
      <c r="AH8" s="2312"/>
      <c r="AI8" s="2131"/>
      <c r="AJ8" s="1463"/>
      <c r="AK8" s="2373"/>
      <c r="AM8" s="524"/>
      <c r="AN8" s="524" t="str">
        <f>IF(T8="","",T8)</f>
        <v/>
      </c>
      <c r="AO8" s="524"/>
      <c r="AP8" s="524"/>
      <c r="AQ8" s="1179">
        <v>0</v>
      </c>
    </row>
    <row customHeight="1" ht="21" hidden="1">
      <c r="A9" s="1387"/>
      <c r="B9" s="1387"/>
      <c r="C9" s="1387"/>
      <c r="D9" s="1387"/>
      <c r="E9" s="2283"/>
      <c r="F9" s="2283"/>
      <c r="G9" s="2283"/>
      <c r="H9" s="2283"/>
      <c r="I9" s="2310"/>
      <c r="J9" s="2280"/>
      <c r="K9" s="1387"/>
      <c r="L9" s="1388"/>
      <c r="P9" s="2281"/>
      <c r="Q9" s="2281"/>
      <c r="R9" s="380"/>
      <c r="S9" s="1302"/>
      <c r="T9" s="311" t="s">
        <v>570</v>
      </c>
      <c r="U9" s="391"/>
      <c r="V9" s="391"/>
      <c r="W9" s="391"/>
      <c r="X9" s="391"/>
      <c r="Y9" s="391"/>
      <c r="Z9" s="391"/>
      <c r="AA9" s="391"/>
      <c r="AB9" s="391"/>
      <c r="AC9" s="391"/>
      <c r="AD9" s="391"/>
      <c r="AE9" s="391"/>
      <c r="AF9" s="391"/>
      <c r="AG9" s="391"/>
      <c r="AH9" s="391"/>
      <c r="AI9" s="391"/>
      <c r="AJ9" s="391"/>
      <c r="AK9" s="1282" t="s">
        <v>571</v>
      </c>
      <c r="AM9" s="524"/>
      <c r="AN9" s="524" t="str">
        <f>IF(T9="","",T9)</f>
        <v>Добавить значение признака дифференциации</v>
      </c>
      <c r="AO9" s="524"/>
      <c r="AP9" s="524"/>
      <c r="AQ9" s="1179">
        <v>0</v>
      </c>
    </row>
    <row customHeight="1" ht="21" hidden="1">
      <c r="A10" s="1387"/>
      <c r="B10" s="1387"/>
      <c r="C10" s="1387"/>
      <c r="D10" s="1387"/>
      <c r="E10" s="2283"/>
      <c r="F10" s="2283"/>
      <c r="G10" s="2283"/>
      <c r="H10" s="2283"/>
      <c r="I10" s="2280"/>
      <c r="J10" s="1387"/>
      <c r="K10" s="1387"/>
      <c r="L10" s="1388"/>
      <c r="P10" s="2281"/>
      <c r="Q10" s="1505"/>
      <c r="R10" s="380"/>
      <c r="S10" s="1302"/>
      <c r="T10" s="389" t="s">
        <v>496</v>
      </c>
      <c r="U10" s="391"/>
      <c r="V10" s="391"/>
      <c r="W10" s="391"/>
      <c r="X10" s="391"/>
      <c r="Y10" s="391"/>
      <c r="Z10" s="391"/>
      <c r="AA10" s="391"/>
      <c r="AB10" s="390"/>
      <c r="AC10" s="391"/>
      <c r="AD10" s="391"/>
      <c r="AE10" s="391"/>
      <c r="AF10" s="391"/>
      <c r="AG10" s="391"/>
      <c r="AH10" s="391"/>
      <c r="AI10" s="390"/>
      <c r="AJ10" s="391"/>
      <c r="AK10" s="1464"/>
      <c r="AM10" s="524"/>
      <c r="AN10" s="524" t="str">
        <f>IF(T10="","",T10)</f>
        <v>Добавить группу потребителей</v>
      </c>
      <c r="AO10" s="524"/>
      <c r="AP10" s="524"/>
      <c r="AQ10" s="1179">
        <v>0</v>
      </c>
    </row>
    <row customHeight="1" ht="21" hidden="1">
      <c r="A11" s="1387"/>
      <c r="B11" s="1387"/>
      <c r="C11" s="1387"/>
      <c r="D11" s="1387"/>
      <c r="E11" s="2283"/>
      <c r="F11" s="2283"/>
      <c r="G11" s="2283"/>
      <c r="H11" s="2282"/>
      <c r="I11" s="1387"/>
      <c r="J11" s="1387"/>
      <c r="K11" s="1387"/>
      <c r="L11" s="1388"/>
      <c r="M11" s="1389"/>
      <c r="N11" s="1389"/>
      <c r="O11" s="561"/>
      <c r="P11" s="384"/>
      <c r="Q11" s="399"/>
      <c r="R11" s="379"/>
      <c r="S11" s="1302"/>
      <c r="T11" s="396" t="s">
        <v>572</v>
      </c>
      <c r="U11" s="391"/>
      <c r="V11" s="391"/>
      <c r="W11" s="391"/>
      <c r="X11" s="391"/>
      <c r="Y11" s="391"/>
      <c r="Z11" s="391"/>
      <c r="AA11" s="391"/>
      <c r="AB11" s="390"/>
      <c r="AC11" s="391"/>
      <c r="AD11" s="391"/>
      <c r="AE11" s="391"/>
      <c r="AF11" s="391"/>
      <c r="AG11" s="391"/>
      <c r="AH11" s="391"/>
      <c r="AI11" s="390"/>
      <c r="AJ11" s="391"/>
      <c r="AK11" s="327"/>
      <c r="AM11" s="524"/>
      <c r="AN11" s="524" t="str">
        <f>IF(T11="","",T11)</f>
        <v>Добавить наименование признака дифференциации</v>
      </c>
      <c r="AO11" s="524"/>
      <c r="AP11" s="524"/>
      <c r="AQ11" s="1179">
        <v>0</v>
      </c>
    </row>
    <row s="1666" customFormat="1" customHeight="1" ht="14.25" hidden="1">
      <c r="A12" s="1367"/>
      <c r="B12" s="1367"/>
      <c r="C12" s="1338"/>
      <c r="D12" s="1338"/>
      <c r="E12" s="2283"/>
      <c r="F12" s="2282"/>
      <c r="G12" s="1338"/>
      <c r="H12" s="1338"/>
      <c r="I12" s="1338"/>
      <c r="J12" s="1338"/>
      <c r="K12" s="1338"/>
      <c r="L12" s="1518"/>
      <c r="M12" s="1345"/>
      <c r="N12" s="1345"/>
      <c r="P12" s="1340"/>
      <c r="Q12" s="1341"/>
      <c r="R12" s="1340"/>
      <c r="S12" s="1346"/>
      <c r="T12" s="1349" t="s">
        <v>499</v>
      </c>
      <c r="U12" s="1348"/>
      <c r="V12" s="1348"/>
      <c r="W12" s="1348"/>
      <c r="X12" s="1348"/>
      <c r="Y12" s="1348"/>
      <c r="Z12" s="1348"/>
      <c r="AA12" s="1348"/>
      <c r="AB12" s="1348"/>
      <c r="AC12" s="1348"/>
      <c r="AD12" s="1348"/>
      <c r="AE12" s="1348"/>
      <c r="AF12" s="1348"/>
      <c r="AG12" s="1348"/>
      <c r="AH12" s="1348"/>
      <c r="AI12" s="1348"/>
      <c r="AJ12" s="1348"/>
      <c r="AK12" s="1348"/>
      <c r="AM12" s="813"/>
      <c r="AN12" s="813" t="str">
        <f>IF(T12="","",T12)</f>
        <v>Добавить централизованную систему для дифференциации</v>
      </c>
      <c r="AO12" s="813"/>
      <c r="AP12" s="813"/>
      <c r="AQ12" s="542">
        <v>0</v>
      </c>
    </row>
    <row s="1666" customFormat="1" customHeight="1" ht="14.25" hidden="1">
      <c r="A13" s="1367"/>
      <c r="B13" s="1367"/>
      <c r="C13" s="1367"/>
      <c r="D13" s="1367"/>
      <c r="E13" s="2282"/>
      <c r="F13" s="1367"/>
      <c r="G13" s="1367"/>
      <c r="H13" s="1367"/>
      <c r="I13" s="1367"/>
      <c r="J13" s="1367"/>
      <c r="K13" s="1367"/>
      <c r="L13" s="1370"/>
      <c r="M13" s="1345"/>
      <c r="N13" s="1345"/>
      <c r="O13" s="542"/>
      <c r="P13" s="404"/>
      <c r="Q13" s="1368"/>
      <c r="R13" s="404"/>
      <c r="S13" s="1346"/>
      <c r="T13" s="1349" t="s">
        <v>500</v>
      </c>
      <c r="U13" s="1348"/>
      <c r="V13" s="1348"/>
      <c r="W13" s="1348"/>
      <c r="X13" s="1348"/>
      <c r="Y13" s="1348"/>
      <c r="Z13" s="1348"/>
      <c r="AA13" s="1348"/>
      <c r="AB13" s="1348"/>
      <c r="AC13" s="1348"/>
      <c r="AD13" s="1348"/>
      <c r="AE13" s="1348"/>
      <c r="AF13" s="1348"/>
      <c r="AG13" s="1348"/>
      <c r="AH13" s="1348"/>
      <c r="AI13" s="1348"/>
      <c r="AJ13" s="1348"/>
      <c r="AK13" s="1348"/>
      <c r="AM13" s="524"/>
      <c r="AN13" s="524" t="str">
        <f>IF(T13="","",T13)</f>
        <v>Добавить территорию для дифференциации</v>
      </c>
      <c r="AO13" s="524"/>
      <c r="AP13" s="524"/>
      <c r="AQ13" s="535">
        <v>0</v>
      </c>
    </row>
    <row customHeight="1" ht="14.25" hidden="1">
      <c r="AB14" s="351"/>
      <c r="AI14" s="351"/>
      <c r="AQ14" s="1179">
        <v>0</v>
      </c>
    </row>
    <row customHeight="1" ht="14.25" hidden="1">
      <c r="AC15" s="1384"/>
      <c r="AD15" s="1384"/>
      <c r="AE15" s="1385"/>
      <c r="AF15" s="2291"/>
      <c r="AG15" s="2292" t="s">
        <v>66</v>
      </c>
      <c r="AH15" s="2291"/>
      <c r="AI15" s="2292" t="s">
        <v>66</v>
      </c>
      <c r="AQ15" s="1179">
        <v>0</v>
      </c>
    </row>
    <row customHeight="1" ht="14.25" hidden="1">
      <c r="AC16" s="1384"/>
      <c r="AD16" s="1384"/>
      <c r="AE16" s="352" t="str">
        <f>AF15&amp;"-"&amp;AH15</f>
        <v>-</v>
      </c>
      <c r="AF16" s="2292"/>
      <c r="AG16" s="2292"/>
      <c r="AH16" s="2292"/>
      <c r="AI16" s="2292"/>
      <c r="AQ16" s="1179">
        <v>0</v>
      </c>
    </row>
    <row customHeight="1" ht="14.25" hidden="1">
      <c r="AI17" s="351"/>
      <c r="AQ17" s="1179">
        <v>0</v>
      </c>
    </row>
    <row s="1390" customFormat="1" customHeight="1" ht="22.5" hidden="1">
      <c r="L18" s="1502"/>
      <c r="M18" s="1386"/>
      <c r="N18" s="1386"/>
      <c r="O18" s="1391" t="s">
        <v>501</v>
      </c>
      <c r="P18" s="1386"/>
      <c r="Q18" s="1395"/>
      <c r="R18" s="1395"/>
      <c r="S18" s="753"/>
      <c r="Y18" s="1391"/>
      <c r="AA18" s="1391"/>
      <c r="AB18" s="1390"/>
      <c r="AF18" s="1391"/>
      <c r="AH18" s="1391"/>
      <c r="AI18" s="1390"/>
      <c r="AL18" s="535"/>
      <c r="AM18" s="535"/>
      <c r="AN18" s="535"/>
      <c r="AO18" s="535"/>
      <c r="AP18" s="535"/>
      <c r="AQ18" s="1184">
        <v>0</v>
      </c>
    </row>
    <row s="1390" customFormat="1" customHeight="1" ht="14.25" hidden="1">
      <c r="L19" s="1502"/>
      <c r="M19" s="1386"/>
      <c r="N19" s="1386"/>
      <c r="O19" s="1386"/>
      <c r="P19" s="1386"/>
      <c r="Q19" s="1395"/>
      <c r="R19" s="1395"/>
      <c r="S19" s="753"/>
      <c r="AB19" s="1390"/>
      <c r="AI19" s="1390"/>
      <c r="AL19" s="535"/>
      <c r="AM19" s="535"/>
      <c r="AN19" s="535"/>
      <c r="AO19" s="535"/>
      <c r="AP19" s="535"/>
      <c r="AQ19" s="1184">
        <v>0</v>
      </c>
    </row>
    <row s="1390" customFormat="1" customHeight="1" ht="12" hidden="1">
      <c r="L20" s="1502"/>
      <c r="M20" s="1386"/>
      <c r="N20" s="1386"/>
      <c r="O20" s="1388" t="s">
        <v>502</v>
      </c>
      <c r="P20" s="1386"/>
      <c r="Q20" s="1466"/>
      <c r="R20" s="1466"/>
      <c r="S20" s="753"/>
      <c r="T20" s="1184" t="s">
        <v>503</v>
      </c>
      <c r="Z20" s="210" t="s">
        <v>504</v>
      </c>
      <c r="AB20" s="210" t="s">
        <v>505</v>
      </c>
      <c r="AC20" s="1184" t="s">
        <v>503</v>
      </c>
      <c r="AG20" s="210" t="s">
        <v>506</v>
      </c>
      <c r="AI20" s="210" t="s">
        <v>505</v>
      </c>
      <c r="AQ20" s="1184">
        <v>0</v>
      </c>
    </row>
    <row customHeight="1" ht="14.25" hidden="1">
      <c r="O21" s="1388"/>
      <c r="AQ21" s="1179">
        <v>0</v>
      </c>
    </row>
    <row customHeight="1" ht="14.25" hidden="1">
      <c r="O22" s="1388"/>
      <c r="AQ22" s="1179">
        <v>0</v>
      </c>
    </row>
    <row customHeight="1" ht="14.699999999999998">
      <c r="Q23" s="400"/>
      <c r="R23" s="400"/>
      <c r="S23" s="1299"/>
      <c r="T23" s="387"/>
      <c r="U23" s="387"/>
      <c r="V23" s="533"/>
      <c r="W23" s="533"/>
      <c r="X23" s="533"/>
      <c r="Y23" s="533"/>
      <c r="Z23" s="533"/>
      <c r="AA23" s="533"/>
      <c r="AB23" s="533"/>
      <c r="AC23" s="533"/>
      <c r="AD23" s="533"/>
      <c r="AE23" s="533"/>
      <c r="AF23" s="533"/>
      <c r="AG23" s="533"/>
      <c r="AH23" s="533"/>
      <c r="AI23" s="533"/>
      <c r="AQ23" s="1179">
        <v>14</v>
      </c>
    </row>
    <row customHeight="1" ht="14.699999999999998">
      <c r="Q24" s="400"/>
      <c r="R24" s="400"/>
      <c r="S24" s="227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72"/>
      <c r="U24" s="2272"/>
      <c r="V24" s="2272"/>
      <c r="W24" s="2272"/>
      <c r="X24" s="2272"/>
      <c r="Y24" s="2272"/>
      <c r="Z24" s="2272"/>
      <c r="AA24" s="2272"/>
      <c r="AB24" s="2272"/>
      <c r="AC24" s="2272"/>
      <c r="AD24" s="2272"/>
      <c r="AE24" s="2272"/>
      <c r="AF24" s="2272"/>
      <c r="AG24" s="2272"/>
      <c r="AH24" s="2272"/>
      <c r="AI24" s="1267"/>
      <c r="AQ24" s="1179">
        <v>14</v>
      </c>
    </row>
    <row customHeight="1" ht="14.699999999999998">
      <c r="Q25" s="400"/>
      <c r="R25" s="400"/>
      <c r="S25" s="2273" t="str">
        <f>IF(org=0,"Не определено",org)</f>
        <v>АО "ДГК"</v>
      </c>
      <c r="T25" s="2273"/>
      <c r="U25" s="2273"/>
      <c r="V25" s="2273"/>
      <c r="W25" s="2273"/>
      <c r="X25" s="2273"/>
      <c r="Y25" s="2273"/>
      <c r="Z25" s="2273"/>
      <c r="AA25" s="2273"/>
      <c r="AB25" s="2273"/>
      <c r="AC25" s="2273"/>
      <c r="AD25" s="2273"/>
      <c r="AE25" s="2273"/>
      <c r="AF25" s="2273"/>
      <c r="AG25" s="2273"/>
      <c r="AH25" s="2273"/>
      <c r="AI25" s="1267"/>
      <c r="AQ25" s="1179">
        <v>14</v>
      </c>
    </row>
    <row customHeight="1" ht="14.25" hidden="1">
      <c r="Q26" s="400"/>
      <c r="R26" s="400"/>
      <c r="S26" s="1299"/>
      <c r="T26" s="387"/>
      <c r="U26" s="387"/>
      <c r="V26" s="346"/>
      <c r="W26" s="346"/>
      <c r="X26" s="346"/>
      <c r="Y26" s="346"/>
      <c r="Z26" s="346"/>
      <c r="AA26" s="346"/>
      <c r="AB26" s="346"/>
      <c r="AC26" s="346"/>
      <c r="AD26" s="346"/>
      <c r="AE26" s="346"/>
      <c r="AF26" s="346"/>
      <c r="AG26" s="346"/>
      <c r="AH26" s="346"/>
      <c r="AI26" s="346"/>
      <c r="AJ26" s="533"/>
      <c r="AQ26" s="1179">
        <v>0</v>
      </c>
    </row>
    <row s="1877" customFormat="1" customHeight="1" ht="25.5" hidden="1">
      <c r="A27" s="1392"/>
      <c r="B27" s="1392"/>
      <c r="C27" s="1392"/>
      <c r="D27" s="1392"/>
      <c r="E27" s="1392"/>
      <c r="F27" s="1392"/>
      <c r="G27" s="1392"/>
      <c r="H27" s="1392"/>
      <c r="I27" s="1392"/>
      <c r="J27" s="1392"/>
      <c r="K27" s="1392"/>
      <c r="L27" s="1393"/>
      <c r="M27" s="1392"/>
      <c r="N27" s="1392"/>
      <c r="O27" s="1392"/>
      <c r="S27" s="2274" t="s">
        <v>42</v>
      </c>
      <c r="T27" s="2274"/>
      <c r="U27" s="1396"/>
      <c r="V27" s="2275" t="str">
        <f>IF(TITLE_NAME_OR_PR_CHANGE="",IF(TITLE_NAME_OR_PR="","",TITLE_NAME_OR_PR),TITLE_NAME_OR_PR_CHANGE)</f>
        <v/>
      </c>
      <c r="W27" s="2275"/>
      <c r="X27" s="2275"/>
      <c r="Y27" s="2275"/>
      <c r="Z27" s="2275"/>
      <c r="AA27" s="2275"/>
      <c r="AB27" s="350"/>
      <c r="AC27" s="2275" t="str">
        <f>IF(TITLE_NAME_OR_PR_CHANGE="",IF(TITLE_NAME_OR_PR="","",TITLE_NAME_OR_PR),TITLE_NAME_OR_PR_CHANGE)</f>
        <v/>
      </c>
      <c r="AD27" s="2275"/>
      <c r="AE27" s="2275"/>
      <c r="AF27" s="2275"/>
      <c r="AG27" s="2275"/>
      <c r="AH27" s="2275"/>
      <c r="AI27" s="350"/>
      <c r="AJ27" s="350"/>
      <c r="AK27" s="304"/>
      <c r="AL27" s="392"/>
      <c r="AM27" s="392"/>
      <c r="AN27" s="392"/>
      <c r="AO27" s="392"/>
      <c r="AP27" s="392"/>
      <c r="AQ27" s="442">
        <v>0</v>
      </c>
    </row>
    <row s="1877" customFormat="1" customHeight="1" ht="18.75" hidden="1">
      <c r="A28" s="1392"/>
      <c r="B28" s="1392"/>
      <c r="C28" s="1392"/>
      <c r="D28" s="1392"/>
      <c r="E28" s="1392"/>
      <c r="F28" s="1392"/>
      <c r="G28" s="1392"/>
      <c r="H28" s="1392"/>
      <c r="I28" s="1392"/>
      <c r="J28" s="1392"/>
      <c r="K28" s="1392"/>
      <c r="L28" s="1393"/>
      <c r="M28" s="1392"/>
      <c r="N28" s="1392"/>
      <c r="O28" s="1392"/>
      <c r="S28" s="2274" t="s">
        <v>507</v>
      </c>
      <c r="T28" s="2274"/>
      <c r="U28" s="1396"/>
      <c r="V28" s="2288" t="str">
        <f>IF(TITLE_DATE_PR_CHANGE="",IF(TITLE_DATE_PR="","",TITLE_DATE_PR),TITLE_DATE_PR_CHANGE)</f>
        <v/>
      </c>
      <c r="W28" s="2288"/>
      <c r="X28" s="2288"/>
      <c r="Y28" s="2288"/>
      <c r="Z28" s="2288"/>
      <c r="AA28" s="2288"/>
      <c r="AB28" s="350"/>
      <c r="AC28" s="2288" t="str">
        <f>IF(TITLE_DATE_PR_CHANGE="",IF(TITLE_DATE_PR="","",TITLE_DATE_PR),TITLE_DATE_PR_CHANGE)</f>
        <v/>
      </c>
      <c r="AD28" s="2288"/>
      <c r="AE28" s="2288"/>
      <c r="AF28" s="2288"/>
      <c r="AG28" s="2288"/>
      <c r="AH28" s="2288"/>
      <c r="AI28" s="350"/>
      <c r="AJ28" s="350"/>
      <c r="AK28" s="304"/>
      <c r="AL28" s="392"/>
      <c r="AM28" s="392"/>
      <c r="AN28" s="392"/>
      <c r="AO28" s="392"/>
      <c r="AP28" s="392"/>
      <c r="AQ28" s="442">
        <v>0</v>
      </c>
    </row>
    <row s="1877" customFormat="1" customHeight="1" ht="18.75" hidden="1">
      <c r="A29" s="1392"/>
      <c r="B29" s="1392"/>
      <c r="C29" s="1392"/>
      <c r="D29" s="1392"/>
      <c r="E29" s="1392"/>
      <c r="F29" s="1392"/>
      <c r="G29" s="1392"/>
      <c r="H29" s="1392"/>
      <c r="I29" s="1392"/>
      <c r="J29" s="1392"/>
      <c r="K29" s="1392"/>
      <c r="L29" s="1393"/>
      <c r="M29" s="1392"/>
      <c r="N29" s="1392"/>
      <c r="O29" s="1392"/>
      <c r="S29" s="2274" t="s">
        <v>508</v>
      </c>
      <c r="T29" s="2274"/>
      <c r="U29" s="1396"/>
      <c r="V29" s="2275" t="str">
        <f>IF(TITLE_NUMBER_PR_CHANGE="",IF(TITLE_NUMBER_PR="","",TITLE_NUMBER_PR),TITLE_NUMBER_PR_CHANGE)</f>
        <v/>
      </c>
      <c r="W29" s="2275"/>
      <c r="X29" s="2275"/>
      <c r="Y29" s="2275"/>
      <c r="Z29" s="2275"/>
      <c r="AA29" s="2275"/>
      <c r="AB29" s="350"/>
      <c r="AC29" s="2275" t="str">
        <f>IF(TITLE_NUMBER_PR_CHANGE="",IF(TITLE_NUMBER_PR="","",TITLE_NUMBER_PR),TITLE_NUMBER_PR_CHANGE)</f>
        <v/>
      </c>
      <c r="AD29" s="2275"/>
      <c r="AE29" s="2275"/>
      <c r="AF29" s="2275"/>
      <c r="AG29" s="2275"/>
      <c r="AH29" s="2275"/>
      <c r="AI29" s="350"/>
      <c r="AJ29" s="350"/>
      <c r="AK29" s="304"/>
      <c r="AL29" s="392"/>
      <c r="AM29" s="392"/>
      <c r="AN29" s="392"/>
      <c r="AO29" s="392"/>
      <c r="AP29" s="392"/>
      <c r="AQ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43</v>
      </c>
      <c r="T30" s="2274"/>
      <c r="U30" s="1396"/>
      <c r="V30" s="2275" t="str">
        <f>IF(TITLE_IST_PUB_CHANGE="",IF(TITLE_IST_PUB="","",TITLE_IST_PUB),TITLE_IST_PUB_CHANGE)</f>
        <v/>
      </c>
      <c r="W30" s="2275"/>
      <c r="X30" s="2275"/>
      <c r="Y30" s="2275"/>
      <c r="Z30" s="2275"/>
      <c r="AA30" s="2275"/>
      <c r="AB30" s="350"/>
      <c r="AC30" s="2275" t="str">
        <f>IF(TITLE_IST_PUB_CHANGE="",IF(TITLE_IST_PUB="","",TITLE_IST_PUB),TITLE_IST_PUB_CHANGE)</f>
        <v/>
      </c>
      <c r="AD30" s="2275"/>
      <c r="AE30" s="2275"/>
      <c r="AF30" s="2275"/>
      <c r="AG30" s="2275"/>
      <c r="AH30" s="2275"/>
      <c r="AI30" s="350"/>
      <c r="AJ30" s="350"/>
      <c r="AK30" s="304"/>
      <c r="AL30" s="392"/>
      <c r="AM30" s="392"/>
      <c r="AN30" s="392"/>
      <c r="AO30" s="392"/>
      <c r="AP30" s="392"/>
      <c r="AQ30" s="442">
        <v>0</v>
      </c>
    </row>
    <row customHeight="1" ht="14.25" hidden="1">
      <c r="Q31" s="400"/>
      <c r="R31" s="400"/>
      <c r="S31" s="1299"/>
      <c r="T31" s="387"/>
      <c r="U31" s="387"/>
      <c r="V31" s="346"/>
      <c r="W31" s="346"/>
      <c r="X31" s="346"/>
      <c r="Y31" s="346"/>
      <c r="Z31" s="346"/>
      <c r="AA31" s="346"/>
      <c r="AB31" s="346"/>
      <c r="AC31" s="346"/>
      <c r="AD31" s="346"/>
      <c r="AE31" s="346"/>
      <c r="AF31" s="346"/>
      <c r="AG31" s="346"/>
      <c r="AH31" s="346"/>
      <c r="AI31" s="346"/>
      <c r="AJ31" s="533"/>
      <c r="AQ31" s="1179">
        <v>0</v>
      </c>
    </row>
    <row s="1877" customFormat="1" customHeight="1" ht="18.75" hidden="1">
      <c r="A32" s="1392"/>
      <c r="B32" s="1392"/>
      <c r="C32" s="1392"/>
      <c r="D32" s="1392"/>
      <c r="E32" s="1392"/>
      <c r="F32" s="1392"/>
      <c r="G32" s="1392"/>
      <c r="H32" s="1392"/>
      <c r="I32" s="1392"/>
      <c r="J32" s="1392"/>
      <c r="K32" s="1392"/>
      <c r="L32" s="1393"/>
      <c r="M32" s="1392"/>
      <c r="N32" s="1392"/>
      <c r="O32" s="1392"/>
      <c r="S32" s="2274" t="s">
        <v>509</v>
      </c>
      <c r="T32" s="2274"/>
      <c r="U32" s="1396"/>
      <c r="V32" s="2288" t="str">
        <f>IF(TITLE_DATE_PR_CHANGE="",IF(TITLE_DATE_PR="","",TITLE_DATE_PR),TITLE_DATE_PR_CHANGE)</f>
        <v/>
      </c>
      <c r="W32" s="2288"/>
      <c r="X32" s="2288"/>
      <c r="Y32" s="2288"/>
      <c r="Z32" s="2288"/>
      <c r="AA32" s="2288"/>
      <c r="AB32" s="350"/>
      <c r="AC32" s="2288" t="str">
        <f>IF(TITLE_DATE_PR_CHANGE="",IF(TITLE_DATE_PR="","",TITLE_DATE_PR),TITLE_DATE_PR_CHANGE)</f>
        <v/>
      </c>
      <c r="AD32" s="2288"/>
      <c r="AE32" s="2288"/>
      <c r="AF32" s="2288"/>
      <c r="AG32" s="2288"/>
      <c r="AH32" s="2288"/>
      <c r="AI32" s="350"/>
      <c r="AJ32" s="350"/>
      <c r="AK32" s="304"/>
      <c r="AL32" s="392"/>
      <c r="AM32" s="392"/>
      <c r="AN32" s="392"/>
      <c r="AO32" s="392"/>
      <c r="AP32" s="392"/>
      <c r="AQ32" s="442">
        <v>0</v>
      </c>
    </row>
    <row s="1877" customFormat="1" customHeight="1" ht="18.75" hidden="1">
      <c r="A33" s="1392"/>
      <c r="B33" s="1392"/>
      <c r="C33" s="1392"/>
      <c r="D33" s="1392"/>
      <c r="E33" s="1392"/>
      <c r="F33" s="1392"/>
      <c r="G33" s="1392"/>
      <c r="H33" s="1392"/>
      <c r="I33" s="1392"/>
      <c r="J33" s="1392"/>
      <c r="K33" s="1392"/>
      <c r="L33" s="1393"/>
      <c r="M33" s="1392"/>
      <c r="N33" s="1392"/>
      <c r="O33" s="1392"/>
      <c r="S33" s="2274" t="s">
        <v>510</v>
      </c>
      <c r="T33" s="2274"/>
      <c r="U33" s="1396"/>
      <c r="V33" s="2275" t="str">
        <f>IF(TITLE_NUMBER_PR_CHANGE="",IF(TITLE_NUMBER_PR="","",TITLE_NUMBER_PR),TITLE_NUMBER_PR_CHANGE)</f>
        <v/>
      </c>
      <c r="W33" s="2275"/>
      <c r="X33" s="2275"/>
      <c r="Y33" s="2275"/>
      <c r="Z33" s="2275"/>
      <c r="AA33" s="2275"/>
      <c r="AB33" s="350"/>
      <c r="AC33" s="2275" t="str">
        <f>IF(TITLE_NUMBER_PR_CHANGE="",IF(TITLE_NUMBER_PR="","",TITLE_NUMBER_PR),TITLE_NUMBER_PR_CHANGE)</f>
        <v/>
      </c>
      <c r="AD33" s="2275"/>
      <c r="AE33" s="2275"/>
      <c r="AF33" s="2275"/>
      <c r="AG33" s="2275"/>
      <c r="AH33" s="2275"/>
      <c r="AI33" s="350"/>
      <c r="AJ33" s="350"/>
      <c r="AK33" s="304"/>
      <c r="AL33" s="392"/>
      <c r="AM33" s="392"/>
      <c r="AN33" s="392"/>
      <c r="AO33" s="392"/>
      <c r="AP33" s="392"/>
      <c r="AQ33" s="442">
        <v>0</v>
      </c>
    </row>
    <row s="1877" customFormat="1" customHeight="1" ht="1.05">
      <c r="A34" s="1392"/>
      <c r="B34" s="1392"/>
      <c r="C34" s="1392"/>
      <c r="D34" s="1392"/>
      <c r="E34" s="1392"/>
      <c r="F34" s="1392"/>
      <c r="G34" s="1392"/>
      <c r="H34" s="1392"/>
      <c r="I34" s="1392"/>
      <c r="J34" s="1392"/>
      <c r="K34" s="1392"/>
      <c r="L34" s="1393"/>
      <c r="M34" s="1392"/>
      <c r="N34" s="1392"/>
      <c r="O34" s="1392"/>
      <c r="S34" s="347"/>
      <c r="T34" s="347"/>
      <c r="U34" s="1512"/>
      <c r="V34" s="350"/>
      <c r="W34" s="350"/>
      <c r="X34" s="350"/>
      <c r="Y34" s="350"/>
      <c r="Z34" s="350"/>
      <c r="AA34" s="350"/>
      <c r="AB34" s="302" t="s">
        <v>511</v>
      </c>
      <c r="AC34" s="350"/>
      <c r="AD34" s="350"/>
      <c r="AE34" s="350"/>
      <c r="AF34" s="350"/>
      <c r="AG34" s="350"/>
      <c r="AH34" s="350"/>
      <c r="AI34" s="302" t="s">
        <v>511</v>
      </c>
      <c r="AL34" s="392"/>
      <c r="AM34" s="392"/>
      <c r="AN34" s="392"/>
      <c r="AO34" s="392"/>
      <c r="AP34" s="392"/>
      <c r="AQ34" s="442">
        <v>1</v>
      </c>
    </row>
    <row customHeight="1" ht="14.699999999999998">
      <c r="Q35" s="400"/>
      <c r="R35" s="400"/>
      <c r="S35" s="1299"/>
      <c r="T35" s="387"/>
      <c r="U35" s="1268"/>
      <c r="V35" s="2276"/>
      <c r="W35" s="2276"/>
      <c r="X35" s="2276"/>
      <c r="Y35" s="2276"/>
      <c r="Z35" s="2276"/>
      <c r="AA35" s="2276"/>
      <c r="AB35" s="2276"/>
      <c r="AC35" s="2276"/>
      <c r="AD35" s="2276"/>
      <c r="AE35" s="2276"/>
      <c r="AF35" s="2276"/>
      <c r="AG35" s="2276"/>
      <c r="AH35" s="2276"/>
      <c r="AI35" s="2276"/>
      <c r="AQ35" s="1179">
        <v>14</v>
      </c>
    </row>
    <row customHeight="1" ht="14.699999999999998">
      <c r="Q36" s="400"/>
      <c r="R36" s="400"/>
      <c r="S36" s="2151" t="s">
        <v>384</v>
      </c>
      <c r="T36" s="2151"/>
      <c r="U36" s="2151"/>
      <c r="V36" s="2151"/>
      <c r="W36" s="2151"/>
      <c r="X36" s="2151"/>
      <c r="Y36" s="2151"/>
      <c r="Z36" s="2151"/>
      <c r="AA36" s="2151"/>
      <c r="AB36" s="2151"/>
      <c r="AC36" s="2151"/>
      <c r="AD36" s="2151"/>
      <c r="AE36" s="2151"/>
      <c r="AF36" s="2151"/>
      <c r="AG36" s="2151"/>
      <c r="AH36" s="2151"/>
      <c r="AI36" s="2151"/>
      <c r="AJ36" s="2151"/>
      <c r="AK36" s="2151" t="s">
        <v>385</v>
      </c>
      <c r="AQ36" s="1179">
        <v>14</v>
      </c>
    </row>
    <row customHeight="1" ht="14.699999999999998">
      <c r="Q37" s="400"/>
      <c r="R37" s="400"/>
      <c r="S37" s="2297" t="s">
        <v>88</v>
      </c>
      <c r="T37" s="2233" t="s">
        <v>512</v>
      </c>
      <c r="U37" s="325"/>
      <c r="V37" s="2298" t="s">
        <v>513</v>
      </c>
      <c r="W37" s="2299"/>
      <c r="X37" s="2299"/>
      <c r="Y37" s="2299"/>
      <c r="Z37" s="2299"/>
      <c r="AA37" s="2300"/>
      <c r="AB37" s="2301" t="s">
        <v>514</v>
      </c>
      <c r="AC37" s="2298" t="s">
        <v>513</v>
      </c>
      <c r="AD37" s="2299"/>
      <c r="AE37" s="2299"/>
      <c r="AF37" s="2299"/>
      <c r="AG37" s="2299"/>
      <c r="AH37" s="2300"/>
      <c r="AI37" s="2301" t="s">
        <v>515</v>
      </c>
      <c r="AJ37" s="2304" t="s">
        <v>516</v>
      </c>
      <c r="AK37" s="2151"/>
      <c r="AQ37" s="1179">
        <v>14</v>
      </c>
    </row>
    <row customHeight="1" ht="35.699999999999996">
      <c r="Q38" s="400"/>
      <c r="R38" s="400"/>
      <c r="S38" s="2297"/>
      <c r="T38" s="2233"/>
      <c r="U38" s="1055"/>
      <c r="V38" s="1507" t="s">
        <v>573</v>
      </c>
      <c r="W38" s="2286" t="s">
        <v>519</v>
      </c>
      <c r="X38" s="2287"/>
      <c r="Y38" s="2286" t="s">
        <v>520</v>
      </c>
      <c r="Z38" s="2293"/>
      <c r="AA38" s="2287"/>
      <c r="AB38" s="2302"/>
      <c r="AC38" s="1507" t="s">
        <v>573</v>
      </c>
      <c r="AD38" s="2286" t="s">
        <v>519</v>
      </c>
      <c r="AE38" s="2287"/>
      <c r="AF38" s="2286" t="s">
        <v>520</v>
      </c>
      <c r="AG38" s="2293"/>
      <c r="AH38" s="2287"/>
      <c r="AI38" s="2302"/>
      <c r="AJ38" s="2305"/>
      <c r="AK38" s="2151"/>
      <c r="AQ38" s="1179">
        <v>34</v>
      </c>
    </row>
    <row customHeight="1" ht="90.3">
      <c r="A39" s="1394"/>
      <c r="B39" s="1394" t="s">
        <v>223</v>
      </c>
      <c r="C39" s="1394" t="s">
        <v>224</v>
      </c>
      <c r="D39" s="1394" t="s">
        <v>225</v>
      </c>
      <c r="E39" s="1388" t="s">
        <v>521</v>
      </c>
      <c r="F39" s="1388" t="s">
        <v>522</v>
      </c>
      <c r="G39" s="1388" t="s">
        <v>523</v>
      </c>
      <c r="H39" s="1388"/>
      <c r="I39" s="1388" t="s">
        <v>574</v>
      </c>
      <c r="J39" s="1388" t="s">
        <v>526</v>
      </c>
      <c r="K39" s="1388" t="s">
        <v>575</v>
      </c>
      <c r="L39" s="1388" t="s">
        <v>502</v>
      </c>
      <c r="Q39" s="400"/>
      <c r="R39" s="400"/>
      <c r="S39" s="2297"/>
      <c r="T39" s="2233"/>
      <c r="U39" s="326"/>
      <c r="V39" s="1507" t="s">
        <v>602</v>
      </c>
      <c r="W39" s="1246" t="s">
        <v>603</v>
      </c>
      <c r="X39" s="1246" t="s">
        <v>578</v>
      </c>
      <c r="Y39" s="1513" t="s">
        <v>530</v>
      </c>
      <c r="Z39" s="2294" t="s">
        <v>531</v>
      </c>
      <c r="AA39" s="2295"/>
      <c r="AB39" s="2303"/>
      <c r="AC39" s="1507" t="s">
        <v>602</v>
      </c>
      <c r="AD39" s="1246" t="s">
        <v>603</v>
      </c>
      <c r="AE39" s="1246" t="s">
        <v>578</v>
      </c>
      <c r="AF39" s="1513" t="s">
        <v>530</v>
      </c>
      <c r="AG39" s="2294" t="s">
        <v>531</v>
      </c>
      <c r="AH39" s="2295"/>
      <c r="AI39" s="2303"/>
      <c r="AJ39" s="2306"/>
      <c r="AK39" s="2151"/>
      <c r="AQ39" s="1179">
        <v>86</v>
      </c>
    </row>
    <row s="1665" customFormat="1" customHeight="1" ht="11.25" hidden="1">
      <c r="A40" s="1394"/>
      <c r="B40" s="1394"/>
      <c r="C40" s="1394"/>
      <c r="D40" s="1394"/>
      <c r="E40" s="1394"/>
      <c r="F40" s="1394"/>
      <c r="G40" s="1394"/>
      <c r="H40" s="1394"/>
      <c r="I40" s="1394"/>
      <c r="J40" s="1394"/>
      <c r="K40" s="1394"/>
      <c r="L40" s="1388"/>
      <c r="M40" s="1386"/>
      <c r="N40" s="1386"/>
      <c r="O40" s="1386"/>
      <c r="P40" s="1270"/>
      <c r="Q40" s="1271"/>
      <c r="R40" s="1278">
        <v>1</v>
      </c>
      <c r="S40" s="1301" t="s">
        <v>170</v>
      </c>
      <c r="T40" s="1279" t="s">
        <v>103</v>
      </c>
      <c r="U40" s="1269" t="str">
        <f>OFFSET(U40,0,-1)</f>
        <v>2</v>
      </c>
      <c r="V40" s="1506">
        <f>OFFSET(V40,0,-1)+1</f>
        <v>3</v>
      </c>
      <c r="W40" s="1506">
        <f>OFFSET(W40,0,-1)+1</f>
        <v>4</v>
      </c>
      <c r="X40" s="1506">
        <f>OFFSET(X40,0,-1)+1</f>
        <v>5</v>
      </c>
      <c r="Y40" s="1506">
        <f>OFFSET(Y40,0,-1)+1</f>
        <v>6</v>
      </c>
      <c r="Z40" s="2296">
        <f>OFFSET(Z40,0,-1)+1</f>
        <v>7</v>
      </c>
      <c r="AA40" s="2296"/>
      <c r="AB40" s="1506">
        <f>OFFSET(AB40,0,-2)+1</f>
        <v>8</v>
      </c>
      <c r="AC40" s="1506">
        <f>OFFSET(AC40,0,-1)+1</f>
        <v>9</v>
      </c>
      <c r="AD40" s="1506">
        <f>OFFSET(AD40,0,-1)+1</f>
        <v>10</v>
      </c>
      <c r="AE40" s="1506">
        <f>OFFSET(AE40,0,-1)+1</f>
        <v>11</v>
      </c>
      <c r="AF40" s="1506">
        <f>OFFSET(AF40,0,-1)+1</f>
        <v>12</v>
      </c>
      <c r="AG40" s="2296">
        <f>OFFSET(AG40,0,-1)+1</f>
        <v>13</v>
      </c>
      <c r="AH40" s="2296"/>
      <c r="AI40" s="1506">
        <f>OFFSET(AI40,0,-2)+1</f>
        <v>14</v>
      </c>
      <c r="AJ40" s="1269">
        <f>OFFSET(AJ40,0,-1)</f>
        <v>14</v>
      </c>
      <c r="AK40" s="1506">
        <f>OFFSET(AK40,0,-1)+1</f>
        <v>15</v>
      </c>
      <c r="AL40" s="535"/>
      <c r="AM40" s="535"/>
      <c r="AN40" s="535"/>
      <c r="AO40" s="535"/>
      <c r="AP40" s="535"/>
      <c r="AQ40" s="520">
        <v>0</v>
      </c>
    </row>
    <row customHeight="1" ht="24">
      <c r="A41" s="1387" t="s">
        <v>350</v>
      </c>
      <c r="B41" s="1387"/>
      <c r="C41" s="1387"/>
      <c r="D41" s="1387"/>
      <c r="E41" s="2282">
        <v>1</v>
      </c>
      <c r="F41" s="1387"/>
      <c r="G41" s="1387"/>
      <c r="H41" s="1387"/>
      <c r="I41" s="1387"/>
      <c r="J41" s="1387"/>
      <c r="K41" s="1387"/>
      <c r="L41" s="1388"/>
      <c r="M41" s="1389"/>
      <c r="N41" s="1389"/>
      <c r="O41" s="1389"/>
      <c r="P41" s="385"/>
      <c r="Q41" s="384"/>
      <c r="R41" s="379"/>
      <c r="S41" s="1517">
        <f>INDEX(PT_DIFFERENTIATION_NUM_NTAR,MATCH(A41,PT_DIFFERENTIATION_NTAR_ID,0))</f>
        <v>0</v>
      </c>
      <c r="T41" s="322" t="s">
        <v>211</v>
      </c>
      <c r="U41" s="324"/>
      <c r="V41" s="2266"/>
      <c r="W41" s="2267"/>
      <c r="X41" s="2267"/>
      <c r="Y41" s="2267"/>
      <c r="Z41" s="2267"/>
      <c r="AA41" s="2267"/>
      <c r="AB41" s="2268"/>
      <c r="AC41" s="2266" t="str">
        <f>INDEX(PT_DIFFERENTIATION_NTAR,MATCH(A41,PT_DIFFERENTIATION_NTAR_ID,0))</f>
        <v/>
      </c>
      <c r="AD41" s="2267"/>
      <c r="AE41" s="2267"/>
      <c r="AF41" s="2267"/>
      <c r="AG41" s="2267"/>
      <c r="AH41" s="2267"/>
      <c r="AI41" s="2267"/>
      <c r="AJ41" s="2268"/>
      <c r="AK41"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24"/>
      <c r="AN41" s="524" t="str">
        <f>IF(T41="","",T41)</f>
        <v>Наименование тарифа</v>
      </c>
      <c r="AO41" s="524"/>
      <c r="AP41" s="524"/>
      <c r="AQ41" s="1179">
        <v>23</v>
      </c>
    </row>
    <row customHeight="1" ht="24">
      <c r="A42" s="1387" t="s">
        <v>350</v>
      </c>
      <c r="B42" s="1387" t="s">
        <v>351</v>
      </c>
      <c r="C42" s="1387"/>
      <c r="D42" s="1387"/>
      <c r="E42" s="2283"/>
      <c r="F42" s="2282">
        <v>1</v>
      </c>
      <c r="G42" s="1387"/>
      <c r="H42" s="1387"/>
      <c r="I42" s="1387"/>
      <c r="J42" s="1387"/>
      <c r="K42" s="1387"/>
      <c r="L42" s="1388"/>
      <c r="M42" s="1389"/>
      <c r="N42" s="1389"/>
      <c r="O42" s="1389"/>
      <c r="P42" s="1511"/>
      <c r="Q42" s="376"/>
      <c r="R42" s="377"/>
      <c r="S42" s="1517" t="str">
        <f>INDEX(PT_DIFFERENTIATION_NUM_TER,MATCH(B42,PT_DIFFERENTIATION_TER_ID,0))</f>
        <v>.</v>
      </c>
      <c r="T42" s="332" t="s">
        <v>481</v>
      </c>
      <c r="U42" s="324"/>
      <c r="V42" s="2266"/>
      <c r="W42" s="2267"/>
      <c r="X42" s="2267"/>
      <c r="Y42" s="2267"/>
      <c r="Z42" s="2267"/>
      <c r="AA42" s="2267"/>
      <c r="AB42" s="2268"/>
      <c r="AC42" s="2266" t="str">
        <f>INDEX(PT_DIFFERENTIATION_TER,MATCH(B42,PT_DIFFERENTIATION_TER_ID,0))</f>
        <v/>
      </c>
      <c r="AD42" s="2267"/>
      <c r="AE42" s="2267"/>
      <c r="AF42" s="2267"/>
      <c r="AG42" s="2267"/>
      <c r="AH42" s="2267"/>
      <c r="AI42" s="2267"/>
      <c r="AJ42" s="2268"/>
      <c r="AK42" s="1282" t="s">
        <v>482</v>
      </c>
      <c r="AM42" s="524"/>
      <c r="AN42" s="524" t="str">
        <f>IF(T42="","",T42)</f>
        <v>Территория действия тарифа</v>
      </c>
      <c r="AO42" s="524"/>
      <c r="AP42" s="524"/>
      <c r="AQ42" s="1179">
        <v>23</v>
      </c>
    </row>
    <row customHeight="1" ht="24">
      <c r="A43" s="1387" t="s">
        <v>350</v>
      </c>
      <c r="B43" s="1387" t="s">
        <v>351</v>
      </c>
      <c r="C43" s="1387" t="s">
        <v>352</v>
      </c>
      <c r="D43" s="1387"/>
      <c r="E43" s="2283"/>
      <c r="F43" s="2283"/>
      <c r="G43" s="2282">
        <v>1</v>
      </c>
      <c r="H43" s="1387"/>
      <c r="I43" s="1387"/>
      <c r="J43" s="1387"/>
      <c r="K43" s="1387"/>
      <c r="L43" s="1388"/>
      <c r="M43" s="1389"/>
      <c r="N43" s="1389"/>
      <c r="O43" s="1389"/>
      <c r="P43" s="378"/>
      <c r="Q43" s="376"/>
      <c r="R43" s="377"/>
      <c r="S43" s="1517" t="str">
        <f>INDEX(PT_DIFFERENTIATION_NUM_CS,MATCH(C43,PT_DIFFERENTIATION_CS_ID,0))</f>
        <v>..</v>
      </c>
      <c r="T43" s="333" t="s">
        <v>600</v>
      </c>
      <c r="U43" s="324"/>
      <c r="V43" s="2266"/>
      <c r="W43" s="2267"/>
      <c r="X43" s="2267"/>
      <c r="Y43" s="2267"/>
      <c r="Z43" s="2267"/>
      <c r="AA43" s="2267"/>
      <c r="AB43" s="2268"/>
      <c r="AC43" s="2266" t="str">
        <f>INDEX(PT_DIFFERENTIATION_CS,MATCH(C43,PT_DIFFERENTIATION_CS_ID,0))</f>
        <v/>
      </c>
      <c r="AD43" s="2267"/>
      <c r="AE43" s="2267"/>
      <c r="AF43" s="2267"/>
      <c r="AG43" s="2267"/>
      <c r="AH43" s="2267"/>
      <c r="AI43" s="2267"/>
      <c r="AJ43" s="2268"/>
      <c r="AK43" s="1282" t="s">
        <v>601</v>
      </c>
      <c r="AM43" s="524"/>
      <c r="AN43" s="524" t="str">
        <f>IF(T43="","",T43)</f>
        <v>Наименование централизованной системы водоотведения</v>
      </c>
      <c r="AO43" s="524"/>
      <c r="AP43" s="524"/>
      <c r="AQ43" s="1179">
        <v>23</v>
      </c>
    </row>
    <row customHeight="1" ht="24">
      <c r="A44" s="1387" t="s">
        <v>350</v>
      </c>
      <c r="B44" s="1387" t="s">
        <v>351</v>
      </c>
      <c r="C44" s="1387" t="s">
        <v>352</v>
      </c>
      <c r="D44" s="1387" t="s">
        <v>604</v>
      </c>
      <c r="E44" s="2283"/>
      <c r="F44" s="2283"/>
      <c r="G44" s="2283"/>
      <c r="H44" s="2283"/>
      <c r="I44" s="2280" t="str">
        <f>S43&amp;".1"</f>
        <v>...1</v>
      </c>
      <c r="J44" s="1387"/>
      <c r="K44" s="1387"/>
      <c r="L44" s="1388"/>
      <c r="P44" s="2281">
        <v>1</v>
      </c>
      <c r="Q44" s="1505"/>
      <c r="R44" s="380"/>
      <c r="S44" s="1517" t="str">
        <f>$I44</f>
        <v>...1</v>
      </c>
      <c r="T44" s="309" t="s">
        <v>567</v>
      </c>
      <c r="U44" s="324"/>
      <c r="V44" s="2374"/>
      <c r="W44" s="2375"/>
      <c r="X44" s="2375"/>
      <c r="Y44" s="2375"/>
      <c r="Z44" s="2375"/>
      <c r="AA44" s="2375"/>
      <c r="AB44" s="2376"/>
      <c r="AC44" s="2377"/>
      <c r="AD44" s="2378"/>
      <c r="AE44" s="2378"/>
      <c r="AF44" s="2378"/>
      <c r="AG44" s="2378"/>
      <c r="AH44" s="2378"/>
      <c r="AI44" s="2378"/>
      <c r="AJ44" s="2379"/>
      <c r="AK44" s="1282" t="s">
        <v>568</v>
      </c>
      <c r="AM44" s="524"/>
      <c r="AN44" s="524" t="str">
        <f>IF(T44="","",T44)</f>
        <v>Наименование признака дифференциации</v>
      </c>
      <c r="AO44" s="524"/>
      <c r="AP44" s="524"/>
      <c r="AQ44" s="1179">
        <v>23</v>
      </c>
    </row>
    <row customHeight="1" ht="24">
      <c r="A45" s="1387" t="s">
        <v>350</v>
      </c>
      <c r="B45" s="1387" t="s">
        <v>351</v>
      </c>
      <c r="C45" s="1387" t="s">
        <v>352</v>
      </c>
      <c r="D45" s="1387" t="s">
        <v>604</v>
      </c>
      <c r="E45" s="2283"/>
      <c r="F45" s="2283"/>
      <c r="G45" s="2283"/>
      <c r="H45" s="2283"/>
      <c r="I45" s="2310"/>
      <c r="J45" s="2280" t="str">
        <f>I44&amp;".1"</f>
        <v>...1.1</v>
      </c>
      <c r="K45" s="1387"/>
      <c r="L45" s="1388" t="s">
        <v>490</v>
      </c>
      <c r="P45" s="2281"/>
      <c r="Q45" s="2281">
        <v>1</v>
      </c>
      <c r="R45" s="381"/>
      <c r="S45" s="1517" t="str">
        <f>$J45</f>
        <v>...1.1</v>
      </c>
      <c r="T45" s="310" t="s">
        <v>491</v>
      </c>
      <c r="U45" s="324"/>
      <c r="V45" s="2269"/>
      <c r="W45" s="2270"/>
      <c r="X45" s="2270"/>
      <c r="Y45" s="2270"/>
      <c r="Z45" s="2270"/>
      <c r="AA45" s="2270"/>
      <c r="AB45" s="2271"/>
      <c r="AC45" s="2269"/>
      <c r="AD45" s="2270"/>
      <c r="AE45" s="2270"/>
      <c r="AF45" s="2270"/>
      <c r="AG45" s="2270"/>
      <c r="AH45" s="2270"/>
      <c r="AI45" s="2270"/>
      <c r="AJ45" s="2271"/>
      <c r="AK45" s="1331" t="s">
        <v>569</v>
      </c>
      <c r="AM45" s="524"/>
      <c r="AN45" s="524" t="str">
        <f>IF(T45="","",T45)</f>
        <v>Группа потребителей</v>
      </c>
      <c r="AO45" s="524"/>
      <c r="AP45" s="524"/>
      <c r="AQ45" s="1179">
        <v>23</v>
      </c>
    </row>
    <row customHeight="1" ht="24">
      <c r="A46" s="1387" t="s">
        <v>350</v>
      </c>
      <c r="B46" s="1387" t="s">
        <v>351</v>
      </c>
      <c r="C46" s="1387" t="s">
        <v>352</v>
      </c>
      <c r="D46" s="1387" t="s">
        <v>604</v>
      </c>
      <c r="E46" s="2283"/>
      <c r="F46" s="2283"/>
      <c r="G46" s="2283"/>
      <c r="H46" s="2283"/>
      <c r="I46" s="2310"/>
      <c r="J46" s="2310"/>
      <c r="K46" s="2280" t="str">
        <f>J45&amp;".1"</f>
        <v>...1.1.1</v>
      </c>
      <c r="L46" s="1388"/>
      <c r="P46" s="2281"/>
      <c r="Q46" s="2281"/>
      <c r="R46" s="381">
        <v>1</v>
      </c>
      <c r="S46" s="1517" t="str">
        <f>$K46</f>
        <v>...1.1.1</v>
      </c>
      <c r="T46" s="1461"/>
      <c r="U46" s="324"/>
      <c r="V46" s="1384"/>
      <c r="W46" s="1384"/>
      <c r="X46" s="1385"/>
      <c r="Y46" s="2291"/>
      <c r="Z46" s="2292" t="s">
        <v>66</v>
      </c>
      <c r="AA46" s="2291"/>
      <c r="AB46" s="2292" t="s">
        <v>66</v>
      </c>
      <c r="AC46" s="775"/>
      <c r="AD46" s="775"/>
      <c r="AE46" s="1281"/>
      <c r="AF46" s="2289"/>
      <c r="AG46" s="2131" t="s">
        <v>66</v>
      </c>
      <c r="AH46" s="2311"/>
      <c r="AI46" s="2131" t="s">
        <v>19</v>
      </c>
      <c r="AJ46" s="1462"/>
      <c r="AK46"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35">
        <f>STRCHECKDATE(V47:AJ47)</f>
      </c>
      <c r="AM46" s="524"/>
      <c r="AN46" s="524" t="str">
        <f>IF(T46="","",T46)</f>
        <v/>
      </c>
      <c r="AO46" s="524"/>
      <c r="AP46" s="524"/>
      <c r="AQ46" s="1179">
        <v>23</v>
      </c>
    </row>
    <row customHeight="1" ht="0">
      <c r="A47" s="1387" t="s">
        <v>350</v>
      </c>
      <c r="B47" s="1387" t="s">
        <v>351</v>
      </c>
      <c r="C47" s="1387" t="s">
        <v>352</v>
      </c>
      <c r="D47" s="1387" t="s">
        <v>604</v>
      </c>
      <c r="E47" s="2283"/>
      <c r="F47" s="2283"/>
      <c r="G47" s="2283"/>
      <c r="H47" s="2283"/>
      <c r="I47" s="2310"/>
      <c r="J47" s="2310"/>
      <c r="K47" s="2280"/>
      <c r="L47" s="1388"/>
      <c r="P47" s="2281"/>
      <c r="Q47" s="2281"/>
      <c r="R47" s="381"/>
      <c r="S47" s="1514"/>
      <c r="T47" s="324"/>
      <c r="U47" s="324"/>
      <c r="V47" s="1384"/>
      <c r="W47" s="1384"/>
      <c r="X47" s="352" t="str">
        <f>Y46&amp;"-"&amp;AA46</f>
        <v>-</v>
      </c>
      <c r="Y47" s="2292"/>
      <c r="Z47" s="2292"/>
      <c r="AA47" s="2292"/>
      <c r="AB47" s="2292"/>
      <c r="AC47" s="349"/>
      <c r="AD47" s="349"/>
      <c r="AE47" s="352" t="str">
        <f>AF46&amp;"-"&amp;AH46</f>
        <v>-</v>
      </c>
      <c r="AF47" s="2290"/>
      <c r="AG47" s="2131"/>
      <c r="AH47" s="2312"/>
      <c r="AI47" s="2131"/>
      <c r="AJ47" s="1463"/>
      <c r="AK47" s="2373"/>
      <c r="AM47" s="524"/>
      <c r="AN47" s="524" t="str">
        <f>IF(T47="","",T47)</f>
        <v/>
      </c>
      <c r="AO47" s="524"/>
      <c r="AP47" s="524"/>
      <c r="AQ47" s="1179">
        <v>0</v>
      </c>
    </row>
    <row customHeight="1" ht="21">
      <c r="A48" s="1387" t="s">
        <v>350</v>
      </c>
      <c r="B48" s="1387" t="s">
        <v>351</v>
      </c>
      <c r="C48" s="1387" t="s">
        <v>352</v>
      </c>
      <c r="D48" s="1387" t="s">
        <v>604</v>
      </c>
      <c r="E48" s="2283"/>
      <c r="F48" s="2283"/>
      <c r="G48" s="2283"/>
      <c r="H48" s="2283"/>
      <c r="I48" s="2310"/>
      <c r="J48" s="2280"/>
      <c r="K48" s="1387"/>
      <c r="L48" s="1388"/>
      <c r="P48" s="2281"/>
      <c r="Q48" s="2281"/>
      <c r="R48" s="380"/>
      <c r="S48" s="1302"/>
      <c r="T48" s="311" t="s">
        <v>570</v>
      </c>
      <c r="U48" s="391"/>
      <c r="V48" s="391"/>
      <c r="W48" s="391"/>
      <c r="X48" s="391"/>
      <c r="Y48" s="391"/>
      <c r="Z48" s="391"/>
      <c r="AA48" s="391"/>
      <c r="AB48" s="391"/>
      <c r="AC48" s="391"/>
      <c r="AD48" s="391"/>
      <c r="AE48" s="391"/>
      <c r="AF48" s="391"/>
      <c r="AG48" s="391"/>
      <c r="AH48" s="391"/>
      <c r="AI48" s="391"/>
      <c r="AJ48" s="391"/>
      <c r="AK48" s="1282" t="s">
        <v>571</v>
      </c>
      <c r="AM48" s="524"/>
      <c r="AN48" s="524" t="str">
        <f>IF(T48="","",T48)</f>
        <v>Добавить значение признака дифференциации</v>
      </c>
      <c r="AO48" s="524"/>
      <c r="AP48" s="524"/>
      <c r="AQ48" s="1179">
        <v>20</v>
      </c>
    </row>
    <row customHeight="1" ht="22.049999999999997">
      <c r="A49" s="1387" t="s">
        <v>350</v>
      </c>
      <c r="B49" s="1387" t="s">
        <v>351</v>
      </c>
      <c r="C49" s="1387" t="s">
        <v>352</v>
      </c>
      <c r="D49" s="1387" t="s">
        <v>604</v>
      </c>
      <c r="E49" s="2283"/>
      <c r="F49" s="2283"/>
      <c r="G49" s="2283"/>
      <c r="H49" s="2283"/>
      <c r="I49" s="2280"/>
      <c r="J49" s="1387"/>
      <c r="K49" s="1387"/>
      <c r="L49" s="1388"/>
      <c r="P49" s="2281"/>
      <c r="Q49" s="1505"/>
      <c r="R49" s="380"/>
      <c r="S49" s="1302"/>
      <c r="T49" s="389" t="s">
        <v>496</v>
      </c>
      <c r="U49" s="391"/>
      <c r="V49" s="391"/>
      <c r="W49" s="391"/>
      <c r="X49" s="391"/>
      <c r="Y49" s="391"/>
      <c r="Z49" s="391"/>
      <c r="AA49" s="391"/>
      <c r="AB49" s="390"/>
      <c r="AC49" s="391"/>
      <c r="AD49" s="391"/>
      <c r="AE49" s="391"/>
      <c r="AF49" s="391"/>
      <c r="AG49" s="391"/>
      <c r="AH49" s="391"/>
      <c r="AI49" s="390"/>
      <c r="AJ49" s="391"/>
      <c r="AK49" s="1464"/>
      <c r="AM49" s="524"/>
      <c r="AN49" s="524" t="str">
        <f>IF(T49="","",T49)</f>
        <v>Добавить группу потребителей</v>
      </c>
      <c r="AO49" s="524"/>
      <c r="AP49" s="524"/>
      <c r="AQ49" s="1179">
        <v>21</v>
      </c>
    </row>
    <row customHeight="1" ht="22.049999999999997">
      <c r="A50" s="1387" t="s">
        <v>350</v>
      </c>
      <c r="B50" s="1387" t="s">
        <v>351</v>
      </c>
      <c r="C50" s="1387" t="s">
        <v>352</v>
      </c>
      <c r="D50" s="1387" t="s">
        <v>604</v>
      </c>
      <c r="E50" s="2283"/>
      <c r="F50" s="2283"/>
      <c r="G50" s="2283"/>
      <c r="H50" s="2282"/>
      <c r="I50" s="1387"/>
      <c r="J50" s="1387"/>
      <c r="K50" s="1387"/>
      <c r="L50" s="1388"/>
      <c r="M50" s="1389"/>
      <c r="N50" s="1389"/>
      <c r="O50" s="561"/>
      <c r="P50" s="384"/>
      <c r="Q50" s="399"/>
      <c r="R50" s="379"/>
      <c r="S50" s="1302"/>
      <c r="T50" s="396" t="s">
        <v>572</v>
      </c>
      <c r="U50" s="391"/>
      <c r="V50" s="391"/>
      <c r="W50" s="391"/>
      <c r="X50" s="391"/>
      <c r="Y50" s="391"/>
      <c r="Z50" s="391"/>
      <c r="AA50" s="391"/>
      <c r="AB50" s="390"/>
      <c r="AC50" s="391"/>
      <c r="AD50" s="391"/>
      <c r="AE50" s="391"/>
      <c r="AF50" s="391"/>
      <c r="AG50" s="391"/>
      <c r="AH50" s="391"/>
      <c r="AI50" s="390"/>
      <c r="AJ50" s="391"/>
      <c r="AK50" s="327"/>
      <c r="AM50" s="524"/>
      <c r="AN50" s="524" t="str">
        <f>IF(T50="","",T50)</f>
        <v>Добавить наименование признака дифференциации</v>
      </c>
      <c r="AO50" s="524"/>
      <c r="AP50" s="524"/>
      <c r="AQ50" s="1179">
        <v>21</v>
      </c>
    </row>
    <row s="1666" customFormat="1" customHeight="1" ht="0">
      <c r="A51" s="1367" t="s">
        <v>350</v>
      </c>
      <c r="B51" s="1367" t="s">
        <v>351</v>
      </c>
      <c r="C51" s="1338"/>
      <c r="D51" s="1338"/>
      <c r="E51" s="2283"/>
      <c r="F51" s="2282"/>
      <c r="G51" s="1338"/>
      <c r="H51" s="1338"/>
      <c r="I51" s="1338"/>
      <c r="J51" s="1338"/>
      <c r="K51" s="1338"/>
      <c r="L51" s="1518"/>
      <c r="M51" s="1345"/>
      <c r="N51" s="1345"/>
      <c r="P51" s="1340"/>
      <c r="Q51" s="1341"/>
      <c r="R51" s="1340"/>
      <c r="S51" s="1346"/>
      <c r="T51" s="1349" t="s">
        <v>499</v>
      </c>
      <c r="U51" s="1348"/>
      <c r="V51" s="1348"/>
      <c r="W51" s="1348"/>
      <c r="X51" s="1348"/>
      <c r="Y51" s="1348"/>
      <c r="Z51" s="1348"/>
      <c r="AA51" s="1348"/>
      <c r="AB51" s="1348"/>
      <c r="AC51" s="1348"/>
      <c r="AD51" s="1348"/>
      <c r="AE51" s="1348"/>
      <c r="AF51" s="1348"/>
      <c r="AG51" s="1348"/>
      <c r="AH51" s="1348"/>
      <c r="AI51" s="1348"/>
      <c r="AJ51" s="1348"/>
      <c r="AK51" s="1348"/>
      <c r="AM51" s="813"/>
      <c r="AN51" s="813" t="str">
        <f>IF(T51="","",T51)</f>
        <v>Добавить централизованную систему для дифференциации</v>
      </c>
      <c r="AO51" s="813"/>
      <c r="AP51" s="813"/>
      <c r="AQ51" s="542">
        <v>0</v>
      </c>
    </row>
    <row s="1666" customFormat="1" customHeight="1" ht="0">
      <c r="A52" s="1367" t="s">
        <v>350</v>
      </c>
      <c r="B52" s="1367"/>
      <c r="C52" s="1367"/>
      <c r="D52" s="1367"/>
      <c r="E52" s="2282"/>
      <c r="F52" s="1367"/>
      <c r="G52" s="1367"/>
      <c r="H52" s="1367"/>
      <c r="I52" s="1367"/>
      <c r="J52" s="1367"/>
      <c r="K52" s="1367"/>
      <c r="L52" s="1370"/>
      <c r="M52" s="1345"/>
      <c r="N52" s="1345"/>
      <c r="O52" s="542"/>
      <c r="P52" s="404"/>
      <c r="Q52" s="1368"/>
      <c r="R52" s="404"/>
      <c r="S52" s="1346"/>
      <c r="T52" s="1349" t="s">
        <v>500</v>
      </c>
      <c r="U52" s="1348"/>
      <c r="V52" s="1348"/>
      <c r="W52" s="1348"/>
      <c r="X52" s="1348"/>
      <c r="Y52" s="1348"/>
      <c r="Z52" s="1348"/>
      <c r="AA52" s="1348"/>
      <c r="AB52" s="1348"/>
      <c r="AC52" s="1348"/>
      <c r="AD52" s="1348"/>
      <c r="AE52" s="1348"/>
      <c r="AF52" s="1348"/>
      <c r="AG52" s="1348"/>
      <c r="AH52" s="1348"/>
      <c r="AI52" s="1348"/>
      <c r="AJ52" s="1348"/>
      <c r="AK52" s="1348"/>
      <c r="AM52" s="524"/>
      <c r="AN52" s="524" t="str">
        <f>IF(T52="","",T52)</f>
        <v>Добавить территорию для дифференциации</v>
      </c>
      <c r="AO52" s="524"/>
      <c r="AP52" s="524"/>
      <c r="AQ52" s="535">
        <v>0</v>
      </c>
    </row>
    <row s="1666" customFormat="1" customHeight="1" ht="0">
      <c r="A53" s="1338"/>
      <c r="B53" s="1338"/>
      <c r="C53" s="1338"/>
      <c r="D53" s="1338"/>
      <c r="E53" s="1367"/>
      <c r="F53" s="1338"/>
      <c r="G53" s="1338"/>
      <c r="H53" s="1338"/>
      <c r="I53" s="1338"/>
      <c r="J53" s="1338"/>
      <c r="K53" s="1338"/>
      <c r="L53" s="1518"/>
      <c r="M53" s="1345"/>
      <c r="N53" s="1345"/>
      <c r="P53" s="1340"/>
      <c r="Q53" s="1341"/>
      <c r="R53" s="1340"/>
      <c r="S53" s="1346"/>
      <c r="T53" s="1349" t="s">
        <v>532</v>
      </c>
      <c r="U53" s="1348"/>
      <c r="V53" s="1348"/>
      <c r="W53" s="1348"/>
      <c r="X53" s="1348"/>
      <c r="Y53" s="1348"/>
      <c r="Z53" s="1348"/>
      <c r="AA53" s="1348"/>
      <c r="AB53" s="1348"/>
      <c r="AC53" s="1348"/>
      <c r="AD53" s="1348"/>
      <c r="AE53" s="1348"/>
      <c r="AF53" s="1348"/>
      <c r="AG53" s="1348"/>
      <c r="AH53" s="1348"/>
      <c r="AI53" s="1348"/>
      <c r="AJ53" s="1348"/>
      <c r="AK53" s="1348"/>
      <c r="AM53" s="813"/>
      <c r="AN53" s="813" t="str">
        <f>IF(T53="","",T53)</f>
        <v>Добавить наименование тарифа</v>
      </c>
      <c r="AO53" s="813"/>
      <c r="AP53" s="813"/>
      <c r="AQ53" s="542">
        <v>0</v>
      </c>
    </row>
    <row customHeight="1" ht="11.549999999999999">
      <c r="M54" s="1184"/>
      <c r="N54" s="1184"/>
      <c r="O54" s="561"/>
      <c r="P54" s="1179"/>
      <c r="Q54" s="1179"/>
      <c r="R54" s="1179"/>
      <c r="S54" s="1179"/>
      <c r="AL54" s="1179"/>
      <c r="AM54" s="1179"/>
      <c r="AN54" s="1179"/>
      <c r="AO54" s="1179"/>
      <c r="AP54" s="1179"/>
      <c r="AQ54" s="1179">
        <v>11</v>
      </c>
    </row>
    <row customHeight="1" ht="14.699999999999998">
      <c r="O55" s="561"/>
      <c r="S55" s="1277"/>
      <c r="T55" s="2309"/>
      <c r="U55" s="2309"/>
      <c r="V55" s="2309"/>
      <c r="W55" s="2309"/>
      <c r="X55" s="2309"/>
      <c r="Y55" s="2309"/>
      <c r="Z55" s="2309"/>
      <c r="AA55" s="2309"/>
      <c r="AB55" s="2309"/>
      <c r="AC55" s="2309"/>
      <c r="AD55" s="2309"/>
      <c r="AE55" s="2309"/>
      <c r="AF55" s="2309"/>
      <c r="AG55" s="2309"/>
      <c r="AH55" s="2309"/>
      <c r="AI55" s="2309"/>
      <c r="AJ55" s="2309"/>
      <c r="AK55" s="2309"/>
      <c r="AQ55" s="1179">
        <v>14</v>
      </c>
    </row>
    <row customHeight="1" ht="14.699999999999998">
      <c r="O56" s="561"/>
      <c r="AQ56" s="1179">
        <v>14</v>
      </c>
    </row>
    <row customHeight="1" ht="14.699999999999998">
      <c r="O57" s="561"/>
      <c r="S57" s="1277"/>
      <c r="T57" s="2309"/>
      <c r="U57" s="2309"/>
      <c r="V57" s="2309"/>
      <c r="W57" s="2309"/>
      <c r="X57" s="2309"/>
      <c r="Y57" s="2309"/>
      <c r="Z57" s="2309"/>
      <c r="AA57" s="2309"/>
      <c r="AB57" s="2309"/>
      <c r="AC57" s="2309"/>
      <c r="AD57" s="2309"/>
      <c r="AE57" s="2309"/>
      <c r="AF57" s="2309"/>
      <c r="AG57" s="2309"/>
      <c r="AH57" s="2309"/>
      <c r="AI57" s="2309"/>
      <c r="AJ57" s="2309"/>
      <c r="AK57" s="2309"/>
      <c r="AQ57" s="1179">
        <v>14</v>
      </c>
    </row>
    <row customHeight="1" ht="22.5" hidden="1">
      <c r="A58" s="1184" t="s">
        <v>82</v>
      </c>
      <c r="B58" s="1184">
        <v>0</v>
      </c>
      <c r="C58" s="1184">
        <v>0</v>
      </c>
      <c r="D58" s="1184">
        <v>0</v>
      </c>
      <c r="E58" s="1184">
        <v>0</v>
      </c>
      <c r="F58" s="1184">
        <v>0</v>
      </c>
      <c r="G58" s="1184">
        <v>0</v>
      </c>
      <c r="H58" s="1184">
        <v>0</v>
      </c>
      <c r="I58" s="1184">
        <v>0</v>
      </c>
      <c r="J58" s="1184">
        <v>0</v>
      </c>
      <c r="K58" s="1184">
        <v>0</v>
      </c>
      <c r="L58" s="1502">
        <v>0</v>
      </c>
      <c r="M58" s="1386">
        <v>0</v>
      </c>
      <c r="N58" s="1386">
        <v>0</v>
      </c>
      <c r="O58" s="1386">
        <v>0</v>
      </c>
      <c r="P58" s="1497">
        <v>3</v>
      </c>
      <c r="Q58" s="368">
        <v>3</v>
      </c>
      <c r="R58" s="368">
        <v>3</v>
      </c>
      <c r="S58" s="605">
        <v>12</v>
      </c>
      <c r="T58" s="1179">
        <v>35</v>
      </c>
      <c r="U58" s="1179">
        <v>0</v>
      </c>
      <c r="V58" s="1179">
        <v>0</v>
      </c>
      <c r="W58" s="1179">
        <v>0</v>
      </c>
      <c r="X58" s="1179">
        <v>0</v>
      </c>
      <c r="Y58" s="1179">
        <v>0</v>
      </c>
      <c r="Z58" s="1179">
        <v>0</v>
      </c>
      <c r="AA58" s="1179">
        <v>0</v>
      </c>
      <c r="AB58" s="1179">
        <v>0</v>
      </c>
      <c r="AC58" s="1179">
        <v>24</v>
      </c>
      <c r="AD58" s="1179">
        <v>24</v>
      </c>
      <c r="AE58" s="1179">
        <v>24</v>
      </c>
      <c r="AF58" s="1179">
        <v>11</v>
      </c>
      <c r="AG58" s="1179">
        <v>3</v>
      </c>
      <c r="AH58" s="1179">
        <v>11</v>
      </c>
      <c r="AI58" s="1179">
        <v>0</v>
      </c>
      <c r="AJ58" s="1179">
        <v>4</v>
      </c>
      <c r="AK58" s="1179">
        <v>115</v>
      </c>
      <c r="AL58" s="535">
        <v>10</v>
      </c>
      <c r="AM58" s="535">
        <v>10</v>
      </c>
      <c r="AN58" s="535">
        <v>10</v>
      </c>
      <c r="AO58" s="535">
        <v>10</v>
      </c>
      <c r="AP58" s="535">
        <v>10</v>
      </c>
      <c r="AQ58" s="1179">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F2F84-762B-90AD-B336-0.FD2AA95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4.140625" hidden="1" customWidth="1"/>
    <col min="10" max="10" style="1390" width="9.8515625" hidden="1" customWidth="1"/>
    <col min="11" max="11" style="1390" width="14.7109375" hidden="1" customWidth="1"/>
    <col min="12" max="12" style="2631" width="19.140625" hidden="1" customWidth="1"/>
    <col min="13" max="14" style="1800" width="12.28125" hidden="1" customWidth="1"/>
    <col min="15" max="15" style="1800" width="23.421875" hidden="1" customWidth="1"/>
    <col min="16" max="16" style="2421" width="3.00390625" customWidth="1"/>
    <col min="17" max="18" style="368" width="3.00390625" customWidth="1"/>
    <col min="19" max="19" style="2431" width="12.00390625" customWidth="1"/>
    <col min="20" max="20" style="1659" width="35.00390625" customWidth="1"/>
    <col min="21" max="21" style="1659" width="0.140625" customWidth="1"/>
    <col min="22" max="24" style="1659" width="24.7109375" hidden="1" customWidth="1"/>
    <col min="25" max="25" style="1659" width="11.7109375" hidden="1" customWidth="1"/>
    <col min="26" max="26" style="1659" width="3.7109375" hidden="1" customWidth="1"/>
    <col min="27" max="27" style="1659" width="11.7109375" hidden="1" customWidth="1"/>
    <col min="28" max="28" style="1659" width="8.57421875" hidden="1" customWidth="1"/>
    <col min="29" max="29" style="1659" width="24.7109375" customWidth="1"/>
    <col min="30" max="31" style="1659" width="24.00390625" customWidth="1"/>
    <col min="32" max="32" style="1659" width="11.00390625" customWidth="1"/>
    <col min="33" max="33" style="1659" width="3.7109375" customWidth="1"/>
    <col min="34" max="34" style="1659" width="11.00390625" customWidth="1"/>
    <col min="35" max="35" style="1659" width="8.57421875" hidden="1" customWidth="1"/>
    <col min="36" max="36" style="1659" width="4.00390625" customWidth="1"/>
    <col min="37" max="37" style="1659" width="115.00390625" customWidth="1"/>
    <col min="38" max="42" style="1666" width="10.00390625" customWidth="1"/>
    <col min="43" max="43" style="1659" width="10.57421875" hidden="1"/>
  </cols>
  <sheetData>
    <row customHeight="1" ht="22.5" hidden="1">
      <c r="X1" s="351"/>
      <c r="Y1" s="351"/>
      <c r="AE1" s="351"/>
      <c r="AF1" s="351"/>
      <c r="AQ1" s="1179" t="s">
        <v>14</v>
      </c>
    </row>
    <row customHeight="1" ht="23.25" hidden="1">
      <c r="A2" s="1387"/>
      <c r="B2" s="1387"/>
      <c r="C2" s="1387"/>
      <c r="D2" s="1387"/>
      <c r="E2" s="2282">
        <v>1</v>
      </c>
      <c r="F2" s="1387"/>
      <c r="G2" s="1387"/>
      <c r="H2" s="1387"/>
      <c r="I2" s="1387"/>
      <c r="J2" s="1387"/>
      <c r="K2" s="1387"/>
      <c r="L2" s="1388"/>
      <c r="M2" s="1389"/>
      <c r="N2" s="1389"/>
      <c r="O2" s="1389"/>
      <c r="P2" s="385"/>
      <c r="Q2" s="384"/>
      <c r="R2" s="379"/>
      <c r="S2" s="1517">
        <f>INDEX(PT_DIFFERENTIATION_NUM_NTAR,MATCH(A2,PT_DIFFERENTIATION_NTAR_ID,0))</f>
      </c>
      <c r="T2" s="322" t="s">
        <v>211</v>
      </c>
      <c r="U2" s="324"/>
      <c r="V2" s="2266"/>
      <c r="W2" s="2267"/>
      <c r="X2" s="2267"/>
      <c r="Y2" s="2267"/>
      <c r="Z2" s="2267"/>
      <c r="AA2" s="2267"/>
      <c r="AB2" s="2268"/>
      <c r="AC2" s="2266">
        <f>INDEX(PT_DIFFERENTIATION_NTAR,MATCH(A2,PT_DIFFERENTIATION_NTAR_ID,0))</f>
      </c>
      <c r="AD2" s="2267"/>
      <c r="AE2" s="2267"/>
      <c r="AF2" s="2267"/>
      <c r="AG2" s="2267"/>
      <c r="AH2" s="2267"/>
      <c r="AI2" s="2267"/>
      <c r="AJ2" s="2268"/>
      <c r="AK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24"/>
      <c r="AN2" s="524" t="str">
        <f>IF(T2="","",T2)</f>
        <v>Наименование тарифа</v>
      </c>
      <c r="AO2" s="524"/>
      <c r="AP2" s="524"/>
      <c r="AQ2" s="1179">
        <v>0</v>
      </c>
    </row>
    <row customHeight="1" ht="23.25" hidden="1">
      <c r="A3" s="1387"/>
      <c r="B3" s="1387"/>
      <c r="C3" s="1387"/>
      <c r="D3" s="1387"/>
      <c r="E3" s="2283"/>
      <c r="F3" s="2282">
        <v>1</v>
      </c>
      <c r="G3" s="1387"/>
      <c r="H3" s="1387"/>
      <c r="I3" s="1387"/>
      <c r="J3" s="1387"/>
      <c r="K3" s="1387"/>
      <c r="L3" s="1388"/>
      <c r="M3" s="1389"/>
      <c r="N3" s="1389"/>
      <c r="O3" s="1389"/>
      <c r="P3" s="1511"/>
      <c r="Q3" s="376"/>
      <c r="R3" s="377"/>
      <c r="S3" s="1517">
        <f>INDEX(PT_DIFFERENTIATION_NUM_TER,MATCH(B3,PT_DIFFERENTIATION_TER_ID,0))</f>
      </c>
      <c r="T3" s="332" t="s">
        <v>481</v>
      </c>
      <c r="U3" s="324"/>
      <c r="V3" s="2266"/>
      <c r="W3" s="2267"/>
      <c r="X3" s="2267"/>
      <c r="Y3" s="2267"/>
      <c r="Z3" s="2267"/>
      <c r="AA3" s="2267"/>
      <c r="AB3" s="2268"/>
      <c r="AC3" s="2266">
        <f>INDEX(PT_DIFFERENTIATION_TER,MATCH(B3,PT_DIFFERENTIATION_TER_ID,0))</f>
      </c>
      <c r="AD3" s="2267"/>
      <c r="AE3" s="2267"/>
      <c r="AF3" s="2267"/>
      <c r="AG3" s="2267"/>
      <c r="AH3" s="2267"/>
      <c r="AI3" s="2267"/>
      <c r="AJ3" s="2268"/>
      <c r="AK3" s="1282" t="s">
        <v>482</v>
      </c>
      <c r="AM3" s="524"/>
      <c r="AN3" s="524" t="str">
        <f>IF(T3="","",T3)</f>
        <v>Территория действия тарифа</v>
      </c>
      <c r="AO3" s="524"/>
      <c r="AP3" s="524"/>
      <c r="AQ3" s="1179">
        <v>0</v>
      </c>
    </row>
    <row customHeight="1" ht="23.25" hidden="1">
      <c r="A4" s="1387"/>
      <c r="B4" s="1387"/>
      <c r="C4" s="1387"/>
      <c r="D4" s="1387"/>
      <c r="E4" s="2283"/>
      <c r="F4" s="2283"/>
      <c r="G4" s="2282">
        <v>1</v>
      </c>
      <c r="H4" s="1387"/>
      <c r="I4" s="1387"/>
      <c r="J4" s="1387"/>
      <c r="K4" s="1387"/>
      <c r="L4" s="1388"/>
      <c r="M4" s="1389"/>
      <c r="N4" s="1389"/>
      <c r="O4" s="1389"/>
      <c r="P4" s="378"/>
      <c r="Q4" s="376"/>
      <c r="R4" s="377"/>
      <c r="S4" s="1517">
        <f>INDEX(PT_DIFFERENTIATION_NUM_CS,MATCH(C4,PT_DIFFERENTIATION_CS_ID,0))</f>
      </c>
      <c r="T4" s="333" t="s">
        <v>600</v>
      </c>
      <c r="U4" s="324"/>
      <c r="V4" s="2266"/>
      <c r="W4" s="2267"/>
      <c r="X4" s="2267"/>
      <c r="Y4" s="2267"/>
      <c r="Z4" s="2267"/>
      <c r="AA4" s="2267"/>
      <c r="AB4" s="2268"/>
      <c r="AC4" s="2266">
        <f>INDEX(PT_DIFFERENTIATION_CS,MATCH(C4,PT_DIFFERENTIATION_CS_ID,0))</f>
      </c>
      <c r="AD4" s="2267"/>
      <c r="AE4" s="2267"/>
      <c r="AF4" s="2267"/>
      <c r="AG4" s="2267"/>
      <c r="AH4" s="2267"/>
      <c r="AI4" s="2267"/>
      <c r="AJ4" s="2268"/>
      <c r="AK4" s="1282" t="s">
        <v>601</v>
      </c>
      <c r="AM4" s="524"/>
      <c r="AN4" s="524" t="str">
        <f>IF(T4="","",T4)</f>
        <v>Наименование централизованной системы водоотведения</v>
      </c>
      <c r="AO4" s="524"/>
      <c r="AP4" s="524"/>
      <c r="AQ4" s="1179">
        <v>0</v>
      </c>
    </row>
    <row customHeight="1" ht="23.25" hidden="1">
      <c r="A5" s="1387"/>
      <c r="B5" s="1387"/>
      <c r="C5" s="1387"/>
      <c r="D5" s="1387"/>
      <c r="E5" s="2283"/>
      <c r="F5" s="2283"/>
      <c r="G5" s="2283"/>
      <c r="H5" s="2283"/>
      <c r="I5" s="2280">
        <f>S4&amp;".1"</f>
      </c>
      <c r="J5" s="1387"/>
      <c r="K5" s="1387"/>
      <c r="L5" s="1388"/>
      <c r="P5" s="2281">
        <v>1</v>
      </c>
      <c r="Q5" s="1505"/>
      <c r="R5" s="380"/>
      <c r="S5" s="1517">
        <f>$I5</f>
      </c>
      <c r="T5" s="309" t="s">
        <v>567</v>
      </c>
      <c r="U5" s="324"/>
      <c r="V5" s="2374"/>
      <c r="W5" s="2375"/>
      <c r="X5" s="2375"/>
      <c r="Y5" s="2375"/>
      <c r="Z5" s="2375"/>
      <c r="AA5" s="2375"/>
      <c r="AB5" s="2376"/>
      <c r="AC5" s="2377"/>
      <c r="AD5" s="2378"/>
      <c r="AE5" s="2378"/>
      <c r="AF5" s="2378"/>
      <c r="AG5" s="2378"/>
      <c r="AH5" s="2378"/>
      <c r="AI5" s="2378"/>
      <c r="AJ5" s="2379"/>
      <c r="AK5" s="1282" t="s">
        <v>568</v>
      </c>
      <c r="AM5" s="524"/>
      <c r="AN5" s="524" t="str">
        <f>IF(T5="","",T5)</f>
        <v>Наименование признака дифференциации</v>
      </c>
      <c r="AO5" s="524"/>
      <c r="AP5" s="524"/>
      <c r="AQ5" s="1179">
        <v>0</v>
      </c>
    </row>
    <row customHeight="1" ht="23.25" hidden="1">
      <c r="A6" s="1387"/>
      <c r="B6" s="1387"/>
      <c r="C6" s="1387"/>
      <c r="D6" s="1387"/>
      <c r="E6" s="2283"/>
      <c r="F6" s="2283"/>
      <c r="G6" s="2283"/>
      <c r="H6" s="2283"/>
      <c r="I6" s="2310"/>
      <c r="J6" s="2280">
        <f>I5&amp;".1"</f>
      </c>
      <c r="K6" s="1387"/>
      <c r="L6" s="1388" t="s">
        <v>490</v>
      </c>
      <c r="P6" s="2281"/>
      <c r="Q6" s="2281">
        <v>1</v>
      </c>
      <c r="R6" s="381"/>
      <c r="S6" s="1517">
        <f>$J6</f>
      </c>
      <c r="T6" s="310" t="s">
        <v>491</v>
      </c>
      <c r="U6" s="324"/>
      <c r="V6" s="2269"/>
      <c r="W6" s="2270"/>
      <c r="X6" s="2270"/>
      <c r="Y6" s="2270"/>
      <c r="Z6" s="2270"/>
      <c r="AA6" s="2270"/>
      <c r="AB6" s="2271"/>
      <c r="AC6" s="2269"/>
      <c r="AD6" s="2270"/>
      <c r="AE6" s="2270"/>
      <c r="AF6" s="2270"/>
      <c r="AG6" s="2270"/>
      <c r="AH6" s="2270"/>
      <c r="AI6" s="2270"/>
      <c r="AJ6" s="2271"/>
      <c r="AK6" s="1331" t="s">
        <v>569</v>
      </c>
      <c r="AM6" s="524"/>
      <c r="AN6" s="524" t="str">
        <f>IF(T6="","",T6)</f>
        <v>Группа потребителей</v>
      </c>
      <c r="AO6" s="524"/>
      <c r="AP6" s="524"/>
      <c r="AQ6" s="1179">
        <v>0</v>
      </c>
    </row>
    <row customHeight="1" ht="23.25" hidden="1">
      <c r="A7" s="1387"/>
      <c r="B7" s="1387"/>
      <c r="C7" s="1387"/>
      <c r="D7" s="1387"/>
      <c r="E7" s="2283"/>
      <c r="F7" s="2283"/>
      <c r="G7" s="2283"/>
      <c r="H7" s="2283"/>
      <c r="I7" s="2310"/>
      <c r="J7" s="2310"/>
      <c r="K7" s="2280">
        <f>J6&amp;".1"</f>
      </c>
      <c r="L7" s="1388"/>
      <c r="P7" s="2281"/>
      <c r="Q7" s="2281"/>
      <c r="R7" s="381">
        <v>1</v>
      </c>
      <c r="S7" s="1517">
        <f>$K7</f>
      </c>
      <c r="T7" s="1461"/>
      <c r="U7" s="324"/>
      <c r="V7" s="775"/>
      <c r="W7" s="775"/>
      <c r="X7" s="1281"/>
      <c r="Y7" s="2289"/>
      <c r="Z7" s="2131" t="s">
        <v>66</v>
      </c>
      <c r="AA7" s="2289"/>
      <c r="AB7" s="2131" t="s">
        <v>66</v>
      </c>
      <c r="AC7" s="775"/>
      <c r="AD7" s="775"/>
      <c r="AE7" s="1281"/>
      <c r="AF7" s="2289"/>
      <c r="AG7" s="2131" t="s">
        <v>66</v>
      </c>
      <c r="AH7" s="2311"/>
      <c r="AI7" s="2131" t="s">
        <v>66</v>
      </c>
      <c r="AJ7" s="1462"/>
      <c r="AK7"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35">
        <f>STRCHECKDATE(V8:AJ8)</f>
      </c>
      <c r="AM7" s="524"/>
      <c r="AN7" s="524" t="str">
        <f>IF(T7="","",T7)</f>
        <v/>
      </c>
      <c r="AO7" s="524"/>
      <c r="AP7" s="524"/>
      <c r="AQ7" s="1179">
        <v>0</v>
      </c>
    </row>
    <row customHeight="1" ht="14.25" hidden="1">
      <c r="A8" s="1387"/>
      <c r="B8" s="1387"/>
      <c r="C8" s="1387"/>
      <c r="D8" s="1387"/>
      <c r="E8" s="2283"/>
      <c r="F8" s="2283"/>
      <c r="G8" s="2283"/>
      <c r="H8" s="2283"/>
      <c r="I8" s="2310"/>
      <c r="J8" s="2310"/>
      <c r="K8" s="2280"/>
      <c r="L8" s="1388"/>
      <c r="P8" s="2281"/>
      <c r="Q8" s="2281"/>
      <c r="R8" s="381"/>
      <c r="S8" s="1514"/>
      <c r="T8" s="324"/>
      <c r="U8" s="324"/>
      <c r="V8" s="349"/>
      <c r="W8" s="349"/>
      <c r="X8" s="352" t="str">
        <f>Y7&amp;"-"&amp;AA7</f>
        <v>-</v>
      </c>
      <c r="Y8" s="2290"/>
      <c r="Z8" s="2131"/>
      <c r="AA8" s="2290"/>
      <c r="AB8" s="2131"/>
      <c r="AC8" s="349"/>
      <c r="AD8" s="349"/>
      <c r="AE8" s="352" t="str">
        <f>AF7&amp;"-"&amp;AH7</f>
        <v>-</v>
      </c>
      <c r="AF8" s="2290"/>
      <c r="AG8" s="2131"/>
      <c r="AH8" s="2312"/>
      <c r="AI8" s="2131"/>
      <c r="AJ8" s="1463"/>
      <c r="AK8" s="2373"/>
      <c r="AM8" s="524"/>
      <c r="AN8" s="524" t="str">
        <f>IF(T8="","",T8)</f>
        <v/>
      </c>
      <c r="AO8" s="524"/>
      <c r="AP8" s="524"/>
      <c r="AQ8" s="1179">
        <v>0</v>
      </c>
    </row>
    <row customHeight="1" ht="21" hidden="1">
      <c r="A9" s="1387"/>
      <c r="B9" s="1387"/>
      <c r="C9" s="1387"/>
      <c r="D9" s="1387"/>
      <c r="E9" s="2283"/>
      <c r="F9" s="2283"/>
      <c r="G9" s="2283"/>
      <c r="H9" s="2283"/>
      <c r="I9" s="2310"/>
      <c r="J9" s="2280"/>
      <c r="K9" s="1387"/>
      <c r="L9" s="1388"/>
      <c r="P9" s="2281"/>
      <c r="Q9" s="2281"/>
      <c r="R9" s="380"/>
      <c r="S9" s="1302"/>
      <c r="T9" s="311" t="s">
        <v>570</v>
      </c>
      <c r="U9" s="391"/>
      <c r="V9" s="391"/>
      <c r="W9" s="391"/>
      <c r="X9" s="391"/>
      <c r="Y9" s="391"/>
      <c r="Z9" s="391"/>
      <c r="AA9" s="391"/>
      <c r="AB9" s="391"/>
      <c r="AC9" s="391"/>
      <c r="AD9" s="391"/>
      <c r="AE9" s="391"/>
      <c r="AF9" s="391"/>
      <c r="AG9" s="391"/>
      <c r="AH9" s="391"/>
      <c r="AI9" s="391"/>
      <c r="AJ9" s="391"/>
      <c r="AK9" s="1282" t="s">
        <v>571</v>
      </c>
      <c r="AM9" s="524"/>
      <c r="AN9" s="524" t="str">
        <f>IF(T9="","",T9)</f>
        <v>Добавить значение признака дифференциации</v>
      </c>
      <c r="AO9" s="524"/>
      <c r="AP9" s="524"/>
      <c r="AQ9" s="1179">
        <v>0</v>
      </c>
    </row>
    <row customHeight="1" ht="21" hidden="1">
      <c r="A10" s="1387"/>
      <c r="B10" s="1387"/>
      <c r="C10" s="1387"/>
      <c r="D10" s="1387"/>
      <c r="E10" s="2283"/>
      <c r="F10" s="2283"/>
      <c r="G10" s="2283"/>
      <c r="H10" s="2283"/>
      <c r="I10" s="2280"/>
      <c r="J10" s="1387"/>
      <c r="K10" s="1387"/>
      <c r="L10" s="1388"/>
      <c r="P10" s="2281"/>
      <c r="Q10" s="1505"/>
      <c r="R10" s="380"/>
      <c r="S10" s="1302"/>
      <c r="T10" s="389" t="s">
        <v>496</v>
      </c>
      <c r="U10" s="391"/>
      <c r="V10" s="391"/>
      <c r="W10" s="391"/>
      <c r="X10" s="391"/>
      <c r="Y10" s="391"/>
      <c r="Z10" s="391"/>
      <c r="AA10" s="391"/>
      <c r="AB10" s="390"/>
      <c r="AC10" s="391"/>
      <c r="AD10" s="391"/>
      <c r="AE10" s="391"/>
      <c r="AF10" s="391"/>
      <c r="AG10" s="391"/>
      <c r="AH10" s="391"/>
      <c r="AI10" s="390"/>
      <c r="AJ10" s="391"/>
      <c r="AK10" s="1464"/>
      <c r="AM10" s="524"/>
      <c r="AN10" s="524" t="str">
        <f>IF(T10="","",T10)</f>
        <v>Добавить группу потребителей</v>
      </c>
      <c r="AO10" s="524"/>
      <c r="AP10" s="524"/>
      <c r="AQ10" s="1179">
        <v>0</v>
      </c>
    </row>
    <row customHeight="1" ht="21" hidden="1">
      <c r="A11" s="1387"/>
      <c r="B11" s="1387"/>
      <c r="C11" s="1387"/>
      <c r="D11" s="1387"/>
      <c r="E11" s="2283"/>
      <c r="F11" s="2283"/>
      <c r="G11" s="2283"/>
      <c r="H11" s="2282"/>
      <c r="I11" s="1387"/>
      <c r="J11" s="1387"/>
      <c r="K11" s="1387"/>
      <c r="L11" s="1388"/>
      <c r="M11" s="1389"/>
      <c r="N11" s="1389"/>
      <c r="O11" s="561"/>
      <c r="P11" s="384"/>
      <c r="Q11" s="399"/>
      <c r="R11" s="379"/>
      <c r="S11" s="1302"/>
      <c r="T11" s="396" t="s">
        <v>572</v>
      </c>
      <c r="U11" s="391"/>
      <c r="V11" s="391"/>
      <c r="W11" s="391"/>
      <c r="X11" s="391"/>
      <c r="Y11" s="391"/>
      <c r="Z11" s="391"/>
      <c r="AA11" s="391"/>
      <c r="AB11" s="390"/>
      <c r="AC11" s="391"/>
      <c r="AD11" s="391"/>
      <c r="AE11" s="391"/>
      <c r="AF11" s="391"/>
      <c r="AG11" s="391"/>
      <c r="AH11" s="391"/>
      <c r="AI11" s="390"/>
      <c r="AJ11" s="391"/>
      <c r="AK11" s="327"/>
      <c r="AM11" s="524"/>
      <c r="AN11" s="524" t="str">
        <f>IF(T11="","",T11)</f>
        <v>Добавить наименование признака дифференциации</v>
      </c>
      <c r="AO11" s="524"/>
      <c r="AP11" s="524"/>
      <c r="AQ11" s="1179">
        <v>0</v>
      </c>
    </row>
    <row s="1666" customFormat="1" customHeight="1" ht="14.25" hidden="1">
      <c r="A12" s="1367"/>
      <c r="B12" s="1367"/>
      <c r="C12" s="1338"/>
      <c r="D12" s="1338"/>
      <c r="E12" s="2283"/>
      <c r="F12" s="2282"/>
      <c r="G12" s="1338"/>
      <c r="H12" s="1338"/>
      <c r="I12" s="1338"/>
      <c r="J12" s="1338"/>
      <c r="K12" s="1338"/>
      <c r="L12" s="1518"/>
      <c r="M12" s="1345"/>
      <c r="N12" s="1345"/>
      <c r="P12" s="1340"/>
      <c r="Q12" s="1341"/>
      <c r="R12" s="1340"/>
      <c r="S12" s="1346"/>
      <c r="T12" s="1349" t="s">
        <v>499</v>
      </c>
      <c r="U12" s="1348"/>
      <c r="V12" s="1348"/>
      <c r="W12" s="1348"/>
      <c r="X12" s="1348"/>
      <c r="Y12" s="1348"/>
      <c r="Z12" s="1348"/>
      <c r="AA12" s="1348"/>
      <c r="AB12" s="1348"/>
      <c r="AC12" s="1348"/>
      <c r="AD12" s="1348"/>
      <c r="AE12" s="1348"/>
      <c r="AF12" s="1348"/>
      <c r="AG12" s="1348"/>
      <c r="AH12" s="1348"/>
      <c r="AI12" s="1348"/>
      <c r="AJ12" s="1348"/>
      <c r="AK12" s="1348"/>
      <c r="AM12" s="813"/>
      <c r="AN12" s="813" t="str">
        <f>IF(T12="","",T12)</f>
        <v>Добавить централизованную систему для дифференциации</v>
      </c>
      <c r="AO12" s="813"/>
      <c r="AP12" s="813"/>
      <c r="AQ12" s="542">
        <v>0</v>
      </c>
    </row>
    <row s="1666" customFormat="1" customHeight="1" ht="14.25" hidden="1">
      <c r="A13" s="1367"/>
      <c r="B13" s="1367"/>
      <c r="C13" s="1367"/>
      <c r="D13" s="1367"/>
      <c r="E13" s="2282"/>
      <c r="F13" s="1367"/>
      <c r="G13" s="1367"/>
      <c r="H13" s="1367"/>
      <c r="I13" s="1367"/>
      <c r="J13" s="1367"/>
      <c r="K13" s="1367"/>
      <c r="L13" s="1370"/>
      <c r="M13" s="1345"/>
      <c r="N13" s="1345"/>
      <c r="O13" s="542"/>
      <c r="P13" s="404"/>
      <c r="Q13" s="1368"/>
      <c r="R13" s="404"/>
      <c r="S13" s="1346"/>
      <c r="T13" s="1349" t="s">
        <v>500</v>
      </c>
      <c r="U13" s="1348"/>
      <c r="V13" s="1348"/>
      <c r="W13" s="1348"/>
      <c r="X13" s="1348"/>
      <c r="Y13" s="1348"/>
      <c r="Z13" s="1348"/>
      <c r="AA13" s="1348"/>
      <c r="AB13" s="1348"/>
      <c r="AC13" s="1348"/>
      <c r="AD13" s="1348"/>
      <c r="AE13" s="1348"/>
      <c r="AF13" s="1348"/>
      <c r="AG13" s="1348"/>
      <c r="AH13" s="1348"/>
      <c r="AI13" s="1348"/>
      <c r="AJ13" s="1348"/>
      <c r="AK13" s="1348"/>
      <c r="AM13" s="524"/>
      <c r="AN13" s="524" t="str">
        <f>IF(T13="","",T13)</f>
        <v>Добавить территорию для дифференциации</v>
      </c>
      <c r="AO13" s="524"/>
      <c r="AP13" s="524"/>
      <c r="AQ13" s="535">
        <v>0</v>
      </c>
    </row>
    <row customHeight="1" ht="14.25" hidden="1">
      <c r="AB14" s="351"/>
      <c r="AI14" s="351"/>
      <c r="AQ14" s="1179">
        <v>0</v>
      </c>
    </row>
    <row customHeight="1" ht="14.25" hidden="1">
      <c r="AC15" s="1384"/>
      <c r="AD15" s="1384"/>
      <c r="AE15" s="1385"/>
      <c r="AF15" s="2291"/>
      <c r="AG15" s="2292" t="s">
        <v>66</v>
      </c>
      <c r="AH15" s="2291"/>
      <c r="AI15" s="2292" t="s">
        <v>66</v>
      </c>
      <c r="AQ15" s="1179">
        <v>0</v>
      </c>
    </row>
    <row customHeight="1" ht="14.25" hidden="1">
      <c r="AC16" s="1384"/>
      <c r="AD16" s="1384"/>
      <c r="AE16" s="352" t="str">
        <f>AF15&amp;"-"&amp;AH15</f>
        <v>-</v>
      </c>
      <c r="AF16" s="2292"/>
      <c r="AG16" s="2292"/>
      <c r="AH16" s="2292"/>
      <c r="AI16" s="2292"/>
      <c r="AQ16" s="1179">
        <v>0</v>
      </c>
    </row>
    <row customHeight="1" ht="14.25" hidden="1">
      <c r="AI17" s="351"/>
      <c r="AQ17" s="1179">
        <v>0</v>
      </c>
    </row>
    <row s="1390" customFormat="1" customHeight="1" ht="22.5" hidden="1">
      <c r="L18" s="1502"/>
      <c r="M18" s="1386"/>
      <c r="N18" s="1386"/>
      <c r="O18" s="1391" t="s">
        <v>501</v>
      </c>
      <c r="P18" s="1386"/>
      <c r="Q18" s="1395"/>
      <c r="R18" s="1395"/>
      <c r="S18" s="753"/>
      <c r="Y18" s="1391"/>
      <c r="AA18" s="1391"/>
      <c r="AB18" s="1390"/>
      <c r="AF18" s="1391"/>
      <c r="AH18" s="1391"/>
      <c r="AI18" s="1390"/>
      <c r="AL18" s="535"/>
      <c r="AM18" s="535"/>
      <c r="AN18" s="535"/>
      <c r="AO18" s="535"/>
      <c r="AP18" s="535"/>
      <c r="AQ18" s="1184">
        <v>0</v>
      </c>
    </row>
    <row s="1390" customFormat="1" customHeight="1" ht="14.25" hidden="1">
      <c r="L19" s="1502"/>
      <c r="M19" s="1386"/>
      <c r="N19" s="1386"/>
      <c r="O19" s="1386"/>
      <c r="P19" s="1386"/>
      <c r="Q19" s="1395"/>
      <c r="R19" s="1395"/>
      <c r="S19" s="753"/>
      <c r="AB19" s="1390"/>
      <c r="AI19" s="1390"/>
      <c r="AL19" s="535"/>
      <c r="AM19" s="535"/>
      <c r="AN19" s="535"/>
      <c r="AO19" s="535"/>
      <c r="AP19" s="535"/>
      <c r="AQ19" s="1184">
        <v>0</v>
      </c>
    </row>
    <row s="1390" customFormat="1" customHeight="1" ht="12" hidden="1">
      <c r="L20" s="1502"/>
      <c r="M20" s="1386"/>
      <c r="N20" s="1386"/>
      <c r="O20" s="1388" t="s">
        <v>502</v>
      </c>
      <c r="P20" s="1386"/>
      <c r="Q20" s="1466"/>
      <c r="R20" s="1466"/>
      <c r="S20" s="753"/>
      <c r="T20" s="1184" t="s">
        <v>503</v>
      </c>
      <c r="Z20" s="210" t="s">
        <v>504</v>
      </c>
      <c r="AB20" s="210" t="s">
        <v>505</v>
      </c>
      <c r="AC20" s="1184" t="s">
        <v>503</v>
      </c>
      <c r="AG20" s="210" t="s">
        <v>506</v>
      </c>
      <c r="AI20" s="210" t="s">
        <v>505</v>
      </c>
      <c r="AQ20" s="1184">
        <v>0</v>
      </c>
    </row>
    <row customHeight="1" ht="14.25" hidden="1">
      <c r="O21" s="1388"/>
      <c r="AQ21" s="1179">
        <v>0</v>
      </c>
    </row>
    <row customHeight="1" ht="14.25" hidden="1">
      <c r="O22" s="1388"/>
      <c r="AQ22" s="1179">
        <v>0</v>
      </c>
    </row>
    <row customHeight="1" ht="14.699999999999998">
      <c r="Q23" s="400"/>
      <c r="R23" s="400"/>
      <c r="S23" s="1299"/>
      <c r="T23" s="387"/>
      <c r="U23" s="387"/>
      <c r="V23" s="533"/>
      <c r="W23" s="533"/>
      <c r="X23" s="533"/>
      <c r="Y23" s="533"/>
      <c r="Z23" s="533"/>
      <c r="AA23" s="533"/>
      <c r="AB23" s="533"/>
      <c r="AC23" s="533"/>
      <c r="AD23" s="533"/>
      <c r="AE23" s="533"/>
      <c r="AF23" s="533"/>
      <c r="AG23" s="533"/>
      <c r="AH23" s="533"/>
      <c r="AI23" s="533"/>
      <c r="AQ23" s="1179">
        <v>14</v>
      </c>
    </row>
    <row customHeight="1" ht="14.699999999999998">
      <c r="Q24" s="400"/>
      <c r="R24" s="400"/>
      <c r="S24" s="227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72"/>
      <c r="U24" s="2272"/>
      <c r="V24" s="2272"/>
      <c r="W24" s="2272"/>
      <c r="X24" s="2272"/>
      <c r="Y24" s="2272"/>
      <c r="Z24" s="2272"/>
      <c r="AA24" s="2272"/>
      <c r="AB24" s="2272"/>
      <c r="AC24" s="2272"/>
      <c r="AD24" s="2272"/>
      <c r="AE24" s="2272"/>
      <c r="AF24" s="2272"/>
      <c r="AG24" s="2272"/>
      <c r="AH24" s="2272"/>
      <c r="AI24" s="1267"/>
      <c r="AQ24" s="1179">
        <v>14</v>
      </c>
    </row>
    <row customHeight="1" ht="14.699999999999998">
      <c r="Q25" s="400"/>
      <c r="R25" s="400"/>
      <c r="S25" s="2273" t="str">
        <f>IF(org=0,"Не определено",org)</f>
        <v>АО "ДГК"</v>
      </c>
      <c r="T25" s="2273"/>
      <c r="U25" s="2273"/>
      <c r="V25" s="2273"/>
      <c r="W25" s="2273"/>
      <c r="X25" s="2273"/>
      <c r="Y25" s="2273"/>
      <c r="Z25" s="2273"/>
      <c r="AA25" s="2273"/>
      <c r="AB25" s="2273"/>
      <c r="AC25" s="2273"/>
      <c r="AD25" s="2273"/>
      <c r="AE25" s="2273"/>
      <c r="AF25" s="2273"/>
      <c r="AG25" s="2273"/>
      <c r="AH25" s="2273"/>
      <c r="AI25" s="1267"/>
      <c r="AQ25" s="1179">
        <v>14</v>
      </c>
    </row>
    <row customHeight="1" ht="14.25" hidden="1">
      <c r="Q26" s="400"/>
      <c r="R26" s="400"/>
      <c r="S26" s="1299"/>
      <c r="T26" s="387"/>
      <c r="U26" s="387"/>
      <c r="V26" s="346"/>
      <c r="W26" s="346"/>
      <c r="X26" s="346"/>
      <c r="Y26" s="346"/>
      <c r="Z26" s="346"/>
      <c r="AA26" s="346"/>
      <c r="AB26" s="346"/>
      <c r="AC26" s="346"/>
      <c r="AD26" s="346"/>
      <c r="AE26" s="346"/>
      <c r="AF26" s="346"/>
      <c r="AG26" s="346"/>
      <c r="AH26" s="346"/>
      <c r="AI26" s="346"/>
      <c r="AJ26" s="533"/>
      <c r="AQ26" s="1179">
        <v>0</v>
      </c>
    </row>
    <row s="1877" customFormat="1" customHeight="1" ht="25.5" hidden="1">
      <c r="A27" s="1392"/>
      <c r="B27" s="1392"/>
      <c r="C27" s="1392"/>
      <c r="D27" s="1392"/>
      <c r="E27" s="1392"/>
      <c r="F27" s="1392"/>
      <c r="G27" s="1392"/>
      <c r="H27" s="1392"/>
      <c r="I27" s="1392"/>
      <c r="J27" s="1392"/>
      <c r="K27" s="1392"/>
      <c r="L27" s="1393"/>
      <c r="M27" s="1392"/>
      <c r="N27" s="1392"/>
      <c r="O27" s="1392"/>
      <c r="S27" s="2274" t="s">
        <v>42</v>
      </c>
      <c r="T27" s="2274"/>
      <c r="U27" s="1396"/>
      <c r="V27" s="2275" t="str">
        <f>IF(TITLE_NAME_OR_PR_CHANGE="",IF(TITLE_NAME_OR_PR="","",TITLE_NAME_OR_PR),TITLE_NAME_OR_PR_CHANGE)</f>
        <v/>
      </c>
      <c r="W27" s="2275"/>
      <c r="X27" s="2275"/>
      <c r="Y27" s="2275"/>
      <c r="Z27" s="2275"/>
      <c r="AA27" s="2275"/>
      <c r="AB27" s="350"/>
      <c r="AC27" s="2275" t="str">
        <f>IF(TITLE_NAME_OR_PR_CHANGE="",IF(TITLE_NAME_OR_PR="","",TITLE_NAME_OR_PR),TITLE_NAME_OR_PR_CHANGE)</f>
        <v/>
      </c>
      <c r="AD27" s="2275"/>
      <c r="AE27" s="2275"/>
      <c r="AF27" s="2275"/>
      <c r="AG27" s="2275"/>
      <c r="AH27" s="2275"/>
      <c r="AI27" s="350"/>
      <c r="AJ27" s="350"/>
      <c r="AK27" s="304"/>
      <c r="AL27" s="392"/>
      <c r="AM27" s="392"/>
      <c r="AN27" s="392"/>
      <c r="AO27" s="392"/>
      <c r="AP27" s="392"/>
      <c r="AQ27" s="442">
        <v>0</v>
      </c>
    </row>
    <row s="1877" customFormat="1" customHeight="1" ht="18.75" hidden="1">
      <c r="A28" s="1392"/>
      <c r="B28" s="1392"/>
      <c r="C28" s="1392"/>
      <c r="D28" s="1392"/>
      <c r="E28" s="1392"/>
      <c r="F28" s="1392"/>
      <c r="G28" s="1392"/>
      <c r="H28" s="1392"/>
      <c r="I28" s="1392"/>
      <c r="J28" s="1392"/>
      <c r="K28" s="1392"/>
      <c r="L28" s="1393"/>
      <c r="M28" s="1392"/>
      <c r="N28" s="1392"/>
      <c r="O28" s="1392"/>
      <c r="S28" s="2274" t="s">
        <v>507</v>
      </c>
      <c r="T28" s="2274"/>
      <c r="U28" s="1396"/>
      <c r="V28" s="2288" t="str">
        <f>IF(TITLE_DATE_PR_CHANGE="",IF(TITLE_DATE_PR="","",TITLE_DATE_PR),TITLE_DATE_PR_CHANGE)</f>
        <v/>
      </c>
      <c r="W28" s="2288"/>
      <c r="X28" s="2288"/>
      <c r="Y28" s="2288"/>
      <c r="Z28" s="2288"/>
      <c r="AA28" s="2288"/>
      <c r="AB28" s="350"/>
      <c r="AC28" s="2288" t="str">
        <f>IF(TITLE_DATE_PR_CHANGE="",IF(TITLE_DATE_PR="","",TITLE_DATE_PR),TITLE_DATE_PR_CHANGE)</f>
        <v/>
      </c>
      <c r="AD28" s="2288"/>
      <c r="AE28" s="2288"/>
      <c r="AF28" s="2288"/>
      <c r="AG28" s="2288"/>
      <c r="AH28" s="2288"/>
      <c r="AI28" s="350"/>
      <c r="AJ28" s="350"/>
      <c r="AK28" s="304"/>
      <c r="AL28" s="392"/>
      <c r="AM28" s="392"/>
      <c r="AN28" s="392"/>
      <c r="AO28" s="392"/>
      <c r="AP28" s="392"/>
      <c r="AQ28" s="442">
        <v>0</v>
      </c>
    </row>
    <row s="1877" customFormat="1" customHeight="1" ht="18.75" hidden="1">
      <c r="A29" s="1392"/>
      <c r="B29" s="1392"/>
      <c r="C29" s="1392"/>
      <c r="D29" s="1392"/>
      <c r="E29" s="1392"/>
      <c r="F29" s="1392"/>
      <c r="G29" s="1392"/>
      <c r="H29" s="1392"/>
      <c r="I29" s="1392"/>
      <c r="J29" s="1392"/>
      <c r="K29" s="1392"/>
      <c r="L29" s="1393"/>
      <c r="M29" s="1392"/>
      <c r="N29" s="1392"/>
      <c r="O29" s="1392"/>
      <c r="S29" s="2274" t="s">
        <v>508</v>
      </c>
      <c r="T29" s="2274"/>
      <c r="U29" s="1396"/>
      <c r="V29" s="2275" t="str">
        <f>IF(TITLE_NUMBER_PR_CHANGE="",IF(TITLE_NUMBER_PR="","",TITLE_NUMBER_PR),TITLE_NUMBER_PR_CHANGE)</f>
        <v/>
      </c>
      <c r="W29" s="2275"/>
      <c r="X29" s="2275"/>
      <c r="Y29" s="2275"/>
      <c r="Z29" s="2275"/>
      <c r="AA29" s="2275"/>
      <c r="AB29" s="350"/>
      <c r="AC29" s="2275" t="str">
        <f>IF(TITLE_NUMBER_PR_CHANGE="",IF(TITLE_NUMBER_PR="","",TITLE_NUMBER_PR),TITLE_NUMBER_PR_CHANGE)</f>
        <v/>
      </c>
      <c r="AD29" s="2275"/>
      <c r="AE29" s="2275"/>
      <c r="AF29" s="2275"/>
      <c r="AG29" s="2275"/>
      <c r="AH29" s="2275"/>
      <c r="AI29" s="350"/>
      <c r="AJ29" s="350"/>
      <c r="AK29" s="304"/>
      <c r="AL29" s="392"/>
      <c r="AM29" s="392"/>
      <c r="AN29" s="392"/>
      <c r="AO29" s="392"/>
      <c r="AP29" s="392"/>
      <c r="AQ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43</v>
      </c>
      <c r="T30" s="2274"/>
      <c r="U30" s="1396"/>
      <c r="V30" s="2275" t="str">
        <f>IF(TITLE_IST_PUB_CHANGE="",IF(TITLE_IST_PUB="","",TITLE_IST_PUB),TITLE_IST_PUB_CHANGE)</f>
        <v/>
      </c>
      <c r="W30" s="2275"/>
      <c r="X30" s="2275"/>
      <c r="Y30" s="2275"/>
      <c r="Z30" s="2275"/>
      <c r="AA30" s="2275"/>
      <c r="AB30" s="350"/>
      <c r="AC30" s="2275" t="str">
        <f>IF(TITLE_IST_PUB_CHANGE="",IF(TITLE_IST_PUB="","",TITLE_IST_PUB),TITLE_IST_PUB_CHANGE)</f>
        <v/>
      </c>
      <c r="AD30" s="2275"/>
      <c r="AE30" s="2275"/>
      <c r="AF30" s="2275"/>
      <c r="AG30" s="2275"/>
      <c r="AH30" s="2275"/>
      <c r="AI30" s="350"/>
      <c r="AJ30" s="350"/>
      <c r="AK30" s="304"/>
      <c r="AL30" s="392"/>
      <c r="AM30" s="392"/>
      <c r="AN30" s="392"/>
      <c r="AO30" s="392"/>
      <c r="AP30" s="392"/>
      <c r="AQ30" s="442">
        <v>0</v>
      </c>
    </row>
    <row customHeight="1" ht="14.25" hidden="1">
      <c r="Q31" s="400"/>
      <c r="R31" s="400"/>
      <c r="S31" s="1299"/>
      <c r="T31" s="387"/>
      <c r="U31" s="387"/>
      <c r="V31" s="346"/>
      <c r="W31" s="346"/>
      <c r="X31" s="346"/>
      <c r="Y31" s="346"/>
      <c r="Z31" s="346"/>
      <c r="AA31" s="346"/>
      <c r="AB31" s="346"/>
      <c r="AC31" s="346"/>
      <c r="AD31" s="346"/>
      <c r="AE31" s="346"/>
      <c r="AF31" s="346"/>
      <c r="AG31" s="346"/>
      <c r="AH31" s="346"/>
      <c r="AI31" s="346"/>
      <c r="AJ31" s="533"/>
      <c r="AQ31" s="1179">
        <v>0</v>
      </c>
    </row>
    <row s="1877" customFormat="1" customHeight="1" ht="18.75" hidden="1">
      <c r="A32" s="1392"/>
      <c r="B32" s="1392"/>
      <c r="C32" s="1392"/>
      <c r="D32" s="1392"/>
      <c r="E32" s="1392"/>
      <c r="F32" s="1392"/>
      <c r="G32" s="1392"/>
      <c r="H32" s="1392"/>
      <c r="I32" s="1392"/>
      <c r="J32" s="1392"/>
      <c r="K32" s="1392"/>
      <c r="L32" s="1393"/>
      <c r="M32" s="1392"/>
      <c r="N32" s="1392"/>
      <c r="O32" s="1392"/>
      <c r="S32" s="2274" t="s">
        <v>509</v>
      </c>
      <c r="T32" s="2274"/>
      <c r="U32" s="1396"/>
      <c r="V32" s="2288" t="str">
        <f>IF(TITLE_DATE_PR_CHANGE="",IF(TITLE_DATE_PR="","",TITLE_DATE_PR),TITLE_DATE_PR_CHANGE)</f>
        <v/>
      </c>
      <c r="W32" s="2288"/>
      <c r="X32" s="2288"/>
      <c r="Y32" s="2288"/>
      <c r="Z32" s="2288"/>
      <c r="AA32" s="2288"/>
      <c r="AB32" s="350"/>
      <c r="AC32" s="2288" t="str">
        <f>IF(TITLE_DATE_PR_CHANGE="",IF(TITLE_DATE_PR="","",TITLE_DATE_PR),TITLE_DATE_PR_CHANGE)</f>
        <v/>
      </c>
      <c r="AD32" s="2288"/>
      <c r="AE32" s="2288"/>
      <c r="AF32" s="2288"/>
      <c r="AG32" s="2288"/>
      <c r="AH32" s="2288"/>
      <c r="AI32" s="350"/>
      <c r="AJ32" s="350"/>
      <c r="AK32" s="304"/>
      <c r="AL32" s="392"/>
      <c r="AM32" s="392"/>
      <c r="AN32" s="392"/>
      <c r="AO32" s="392"/>
      <c r="AP32" s="392"/>
      <c r="AQ32" s="442">
        <v>0</v>
      </c>
    </row>
    <row s="1877" customFormat="1" customHeight="1" ht="18.75" hidden="1">
      <c r="A33" s="1392"/>
      <c r="B33" s="1392"/>
      <c r="C33" s="1392"/>
      <c r="D33" s="1392"/>
      <c r="E33" s="1392"/>
      <c r="F33" s="1392"/>
      <c r="G33" s="1392"/>
      <c r="H33" s="1392"/>
      <c r="I33" s="1392"/>
      <c r="J33" s="1392"/>
      <c r="K33" s="1392"/>
      <c r="L33" s="1393"/>
      <c r="M33" s="1392"/>
      <c r="N33" s="1392"/>
      <c r="O33" s="1392"/>
      <c r="S33" s="2274" t="s">
        <v>510</v>
      </c>
      <c r="T33" s="2274"/>
      <c r="U33" s="1396"/>
      <c r="V33" s="2275" t="str">
        <f>IF(TITLE_NUMBER_PR_CHANGE="",IF(TITLE_NUMBER_PR="","",TITLE_NUMBER_PR),TITLE_NUMBER_PR_CHANGE)</f>
        <v/>
      </c>
      <c r="W33" s="2275"/>
      <c r="X33" s="2275"/>
      <c r="Y33" s="2275"/>
      <c r="Z33" s="2275"/>
      <c r="AA33" s="2275"/>
      <c r="AB33" s="350"/>
      <c r="AC33" s="2275" t="str">
        <f>IF(TITLE_NUMBER_PR_CHANGE="",IF(TITLE_NUMBER_PR="","",TITLE_NUMBER_PR),TITLE_NUMBER_PR_CHANGE)</f>
        <v/>
      </c>
      <c r="AD33" s="2275"/>
      <c r="AE33" s="2275"/>
      <c r="AF33" s="2275"/>
      <c r="AG33" s="2275"/>
      <c r="AH33" s="2275"/>
      <c r="AI33" s="350"/>
      <c r="AJ33" s="350"/>
      <c r="AK33" s="304"/>
      <c r="AL33" s="392"/>
      <c r="AM33" s="392"/>
      <c r="AN33" s="392"/>
      <c r="AO33" s="392"/>
      <c r="AP33" s="392"/>
      <c r="AQ33" s="442">
        <v>0</v>
      </c>
    </row>
    <row s="1877" customFormat="1" customHeight="1" ht="1.05">
      <c r="A34" s="1392"/>
      <c r="B34" s="1392"/>
      <c r="C34" s="1392"/>
      <c r="D34" s="1392"/>
      <c r="E34" s="1392"/>
      <c r="F34" s="1392"/>
      <c r="G34" s="1392"/>
      <c r="H34" s="1392"/>
      <c r="I34" s="1392"/>
      <c r="J34" s="1392"/>
      <c r="K34" s="1392"/>
      <c r="L34" s="1393"/>
      <c r="M34" s="1392"/>
      <c r="N34" s="1392"/>
      <c r="O34" s="1392"/>
      <c r="S34" s="347"/>
      <c r="T34" s="347"/>
      <c r="U34" s="1512"/>
      <c r="V34" s="350"/>
      <c r="W34" s="350"/>
      <c r="X34" s="350"/>
      <c r="Y34" s="350"/>
      <c r="Z34" s="350"/>
      <c r="AA34" s="350"/>
      <c r="AB34" s="302" t="s">
        <v>511</v>
      </c>
      <c r="AC34" s="350"/>
      <c r="AD34" s="350"/>
      <c r="AE34" s="350"/>
      <c r="AF34" s="350"/>
      <c r="AG34" s="350"/>
      <c r="AH34" s="350"/>
      <c r="AI34" s="302" t="s">
        <v>511</v>
      </c>
      <c r="AL34" s="392"/>
      <c r="AM34" s="392"/>
      <c r="AN34" s="392"/>
      <c r="AO34" s="392"/>
      <c r="AP34" s="392"/>
      <c r="AQ34" s="442">
        <v>1</v>
      </c>
    </row>
    <row customHeight="1" ht="14.699999999999998">
      <c r="Q35" s="400"/>
      <c r="R35" s="400"/>
      <c r="S35" s="1299"/>
      <c r="T35" s="387"/>
      <c r="U35" s="1268"/>
      <c r="V35" s="2276"/>
      <c r="W35" s="2276"/>
      <c r="X35" s="2276"/>
      <c r="Y35" s="2276"/>
      <c r="Z35" s="2276"/>
      <c r="AA35" s="2276"/>
      <c r="AB35" s="2276"/>
      <c r="AC35" s="2276"/>
      <c r="AD35" s="2276"/>
      <c r="AE35" s="2276"/>
      <c r="AF35" s="2276"/>
      <c r="AG35" s="2276"/>
      <c r="AH35" s="2276"/>
      <c r="AI35" s="2276"/>
      <c r="AQ35" s="1179">
        <v>14</v>
      </c>
    </row>
    <row customHeight="1" ht="14.699999999999998">
      <c r="Q36" s="400"/>
      <c r="R36" s="400"/>
      <c r="S36" s="2151" t="s">
        <v>384</v>
      </c>
      <c r="T36" s="2151"/>
      <c r="U36" s="2151"/>
      <c r="V36" s="2151"/>
      <c r="W36" s="2151"/>
      <c r="X36" s="2151"/>
      <c r="Y36" s="2151"/>
      <c r="Z36" s="2151"/>
      <c r="AA36" s="2151"/>
      <c r="AB36" s="2151"/>
      <c r="AC36" s="2151"/>
      <c r="AD36" s="2151"/>
      <c r="AE36" s="2151"/>
      <c r="AF36" s="2151"/>
      <c r="AG36" s="2151"/>
      <c r="AH36" s="2151"/>
      <c r="AI36" s="2151"/>
      <c r="AJ36" s="2151"/>
      <c r="AK36" s="2151" t="s">
        <v>385</v>
      </c>
      <c r="AQ36" s="1179">
        <v>14</v>
      </c>
    </row>
    <row customHeight="1" ht="14.699999999999998">
      <c r="Q37" s="400"/>
      <c r="R37" s="400"/>
      <c r="S37" s="2297" t="s">
        <v>88</v>
      </c>
      <c r="T37" s="2233" t="s">
        <v>512</v>
      </c>
      <c r="U37" s="325"/>
      <c r="V37" s="2298" t="s">
        <v>513</v>
      </c>
      <c r="W37" s="2299"/>
      <c r="X37" s="2299"/>
      <c r="Y37" s="2299"/>
      <c r="Z37" s="2299"/>
      <c r="AA37" s="2300"/>
      <c r="AB37" s="2301" t="s">
        <v>514</v>
      </c>
      <c r="AC37" s="2298" t="s">
        <v>513</v>
      </c>
      <c r="AD37" s="2299"/>
      <c r="AE37" s="2299"/>
      <c r="AF37" s="2299"/>
      <c r="AG37" s="2299"/>
      <c r="AH37" s="2300"/>
      <c r="AI37" s="2301" t="s">
        <v>515</v>
      </c>
      <c r="AJ37" s="2304" t="s">
        <v>516</v>
      </c>
      <c r="AK37" s="2151"/>
      <c r="AQ37" s="1179">
        <v>14</v>
      </c>
    </row>
    <row customHeight="1" ht="35.699999999999996">
      <c r="Q38" s="400"/>
      <c r="R38" s="400"/>
      <c r="S38" s="2297"/>
      <c r="T38" s="2233"/>
      <c r="U38" s="1055"/>
      <c r="V38" s="1507" t="s">
        <v>573</v>
      </c>
      <c r="W38" s="2286" t="s">
        <v>519</v>
      </c>
      <c r="X38" s="2287"/>
      <c r="Y38" s="2286" t="s">
        <v>520</v>
      </c>
      <c r="Z38" s="2293"/>
      <c r="AA38" s="2287"/>
      <c r="AB38" s="2302"/>
      <c r="AC38" s="1507" t="s">
        <v>573</v>
      </c>
      <c r="AD38" s="2286" t="s">
        <v>519</v>
      </c>
      <c r="AE38" s="2287"/>
      <c r="AF38" s="2286" t="s">
        <v>520</v>
      </c>
      <c r="AG38" s="2293"/>
      <c r="AH38" s="2287"/>
      <c r="AI38" s="2302"/>
      <c r="AJ38" s="2305"/>
      <c r="AK38" s="2151"/>
      <c r="AQ38" s="1179">
        <v>34</v>
      </c>
    </row>
    <row customHeight="1" ht="90.3">
      <c r="A39" s="1394"/>
      <c r="B39" s="1394" t="s">
        <v>223</v>
      </c>
      <c r="C39" s="1394" t="s">
        <v>224</v>
      </c>
      <c r="D39" s="1394" t="s">
        <v>225</v>
      </c>
      <c r="E39" s="1388" t="s">
        <v>521</v>
      </c>
      <c r="F39" s="1388" t="s">
        <v>522</v>
      </c>
      <c r="G39" s="1388" t="s">
        <v>523</v>
      </c>
      <c r="H39" s="1388"/>
      <c r="I39" s="1388" t="s">
        <v>574</v>
      </c>
      <c r="J39" s="1388" t="s">
        <v>526</v>
      </c>
      <c r="K39" s="1388" t="s">
        <v>575</v>
      </c>
      <c r="L39" s="1388" t="s">
        <v>502</v>
      </c>
      <c r="Q39" s="400"/>
      <c r="R39" s="400"/>
      <c r="S39" s="2297"/>
      <c r="T39" s="2233"/>
      <c r="U39" s="326"/>
      <c r="V39" s="1507" t="s">
        <v>602</v>
      </c>
      <c r="W39" s="1246" t="s">
        <v>603</v>
      </c>
      <c r="X39" s="1246" t="s">
        <v>578</v>
      </c>
      <c r="Y39" s="1513" t="s">
        <v>530</v>
      </c>
      <c r="Z39" s="2294" t="s">
        <v>531</v>
      </c>
      <c r="AA39" s="2295"/>
      <c r="AB39" s="2303"/>
      <c r="AC39" s="1507" t="s">
        <v>602</v>
      </c>
      <c r="AD39" s="1246" t="s">
        <v>603</v>
      </c>
      <c r="AE39" s="1246" t="s">
        <v>578</v>
      </c>
      <c r="AF39" s="1513" t="s">
        <v>530</v>
      </c>
      <c r="AG39" s="2294" t="s">
        <v>531</v>
      </c>
      <c r="AH39" s="2295"/>
      <c r="AI39" s="2303"/>
      <c r="AJ39" s="2306"/>
      <c r="AK39" s="2151"/>
      <c r="AQ39" s="1179">
        <v>86</v>
      </c>
    </row>
    <row s="1665" customFormat="1" customHeight="1" ht="0">
      <c r="A40" s="1394"/>
      <c r="B40" s="1394"/>
      <c r="C40" s="1394"/>
      <c r="D40" s="1394"/>
      <c r="E40" s="1394"/>
      <c r="F40" s="1394"/>
      <c r="G40" s="1394"/>
      <c r="H40" s="1394"/>
      <c r="I40" s="1394"/>
      <c r="J40" s="1394"/>
      <c r="K40" s="1394"/>
      <c r="L40" s="1388"/>
      <c r="M40" s="1386"/>
      <c r="N40" s="1386"/>
      <c r="O40" s="1386"/>
      <c r="P40" s="1270"/>
      <c r="Q40" s="1271"/>
      <c r="R40" s="1278">
        <v>1</v>
      </c>
      <c r="S40" s="1301" t="s">
        <v>170</v>
      </c>
      <c r="T40" s="1279" t="s">
        <v>103</v>
      </c>
      <c r="U40" s="1269" t="str">
        <f>OFFSET(U40,0,-1)</f>
        <v>2</v>
      </c>
      <c r="V40" s="1506">
        <f>OFFSET(V40,0,-1)+1</f>
        <v>3</v>
      </c>
      <c r="W40" s="1506">
        <f>OFFSET(W40,0,-1)+1</f>
        <v>4</v>
      </c>
      <c r="X40" s="1506">
        <f>OFFSET(X40,0,-1)+1</f>
        <v>5</v>
      </c>
      <c r="Y40" s="1506">
        <f>OFFSET(Y40,0,-1)+1</f>
        <v>6</v>
      </c>
      <c r="Z40" s="2296">
        <f>OFFSET(Z40,0,-1)+1</f>
        <v>7</v>
      </c>
      <c r="AA40" s="2296"/>
      <c r="AB40" s="1506">
        <f>OFFSET(AB40,0,-2)+1</f>
        <v>8</v>
      </c>
      <c r="AC40" s="1506">
        <f>OFFSET(AC40,0,-1)+1</f>
        <v>9</v>
      </c>
      <c r="AD40" s="1506">
        <f>OFFSET(AD40,0,-1)+1</f>
        <v>10</v>
      </c>
      <c r="AE40" s="1506">
        <f>OFFSET(AE40,0,-1)+1</f>
        <v>11</v>
      </c>
      <c r="AF40" s="1506">
        <f>OFFSET(AF40,0,-1)+1</f>
        <v>12</v>
      </c>
      <c r="AG40" s="2296">
        <f>OFFSET(AG40,0,-1)+1</f>
        <v>13</v>
      </c>
      <c r="AH40" s="2296"/>
      <c r="AI40" s="1506">
        <f>OFFSET(AI40,0,-2)+1</f>
        <v>14</v>
      </c>
      <c r="AJ40" s="1269">
        <f>OFFSET(AJ40,0,-1)</f>
        <v>14</v>
      </c>
      <c r="AK40" s="1506">
        <f>OFFSET(AK40,0,-1)+1</f>
        <v>15</v>
      </c>
      <c r="AL40" s="535"/>
      <c r="AM40" s="535"/>
      <c r="AN40" s="535"/>
      <c r="AO40" s="535"/>
      <c r="AP40" s="535"/>
      <c r="AQ40" s="520">
        <v>0</v>
      </c>
    </row>
    <row customHeight="1" ht="24">
      <c r="A41" s="1387" t="s">
        <v>355</v>
      </c>
      <c r="B41" s="1387"/>
      <c r="C41" s="1387"/>
      <c r="D41" s="1387"/>
      <c r="E41" s="2282">
        <v>1</v>
      </c>
      <c r="F41" s="1387"/>
      <c r="G41" s="1387"/>
      <c r="H41" s="1387"/>
      <c r="I41" s="1387"/>
      <c r="J41" s="1387"/>
      <c r="K41" s="1387"/>
      <c r="L41" s="1388"/>
      <c r="M41" s="1389"/>
      <c r="N41" s="1389"/>
      <c r="O41" s="1389"/>
      <c r="P41" s="385"/>
      <c r="Q41" s="384"/>
      <c r="R41" s="379"/>
      <c r="S41" s="1517">
        <f>INDEX(PT_DIFFERENTIATION_NUM_NTAR,MATCH(A41,PT_DIFFERENTIATION_NTAR_ID,0))</f>
        <v>0</v>
      </c>
      <c r="T41" s="322" t="s">
        <v>211</v>
      </c>
      <c r="U41" s="324"/>
      <c r="V41" s="2266"/>
      <c r="W41" s="2267"/>
      <c r="X41" s="2267"/>
      <c r="Y41" s="2267"/>
      <c r="Z41" s="2267"/>
      <c r="AA41" s="2267"/>
      <c r="AB41" s="2268"/>
      <c r="AC41" s="2266" t="str">
        <f>INDEX(PT_DIFFERENTIATION_NTAR,MATCH(A41,PT_DIFFERENTIATION_NTAR_ID,0))</f>
        <v/>
      </c>
      <c r="AD41" s="2267"/>
      <c r="AE41" s="2267"/>
      <c r="AF41" s="2267"/>
      <c r="AG41" s="2267"/>
      <c r="AH41" s="2267"/>
      <c r="AI41" s="2267"/>
      <c r="AJ41" s="2268"/>
      <c r="AK41"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24"/>
      <c r="AN41" s="524" t="str">
        <f>IF(T41="","",T41)</f>
        <v>Наименование тарифа</v>
      </c>
      <c r="AO41" s="524"/>
      <c r="AP41" s="524"/>
      <c r="AQ41" s="1179">
        <v>23</v>
      </c>
    </row>
    <row customHeight="1" ht="24">
      <c r="A42" s="1387" t="s">
        <v>355</v>
      </c>
      <c r="B42" s="1387" t="s">
        <v>356</v>
      </c>
      <c r="C42" s="1387"/>
      <c r="D42" s="1387"/>
      <c r="E42" s="2283"/>
      <c r="F42" s="2282">
        <v>1</v>
      </c>
      <c r="G42" s="1387"/>
      <c r="H42" s="1387"/>
      <c r="I42" s="1387"/>
      <c r="J42" s="1387"/>
      <c r="K42" s="1387"/>
      <c r="L42" s="1388"/>
      <c r="M42" s="1389"/>
      <c r="N42" s="1389"/>
      <c r="O42" s="1389"/>
      <c r="P42" s="1511"/>
      <c r="Q42" s="376"/>
      <c r="R42" s="377"/>
      <c r="S42" s="1517" t="str">
        <f>INDEX(PT_DIFFERENTIATION_NUM_TER,MATCH(B42,PT_DIFFERENTIATION_TER_ID,0))</f>
        <v>.</v>
      </c>
      <c r="T42" s="332" t="s">
        <v>481</v>
      </c>
      <c r="U42" s="324"/>
      <c r="V42" s="2266"/>
      <c r="W42" s="2267"/>
      <c r="X42" s="2267"/>
      <c r="Y42" s="2267"/>
      <c r="Z42" s="2267"/>
      <c r="AA42" s="2267"/>
      <c r="AB42" s="2268"/>
      <c r="AC42" s="2266" t="str">
        <f>INDEX(PT_DIFFERENTIATION_TER,MATCH(B42,PT_DIFFERENTIATION_TER_ID,0))</f>
        <v/>
      </c>
      <c r="AD42" s="2267"/>
      <c r="AE42" s="2267"/>
      <c r="AF42" s="2267"/>
      <c r="AG42" s="2267"/>
      <c r="AH42" s="2267"/>
      <c r="AI42" s="2267"/>
      <c r="AJ42" s="2268"/>
      <c r="AK42" s="1282" t="s">
        <v>482</v>
      </c>
      <c r="AM42" s="524"/>
      <c r="AN42" s="524" t="str">
        <f>IF(T42="","",T42)</f>
        <v>Территория действия тарифа</v>
      </c>
      <c r="AO42" s="524"/>
      <c r="AP42" s="524"/>
      <c r="AQ42" s="1179">
        <v>23</v>
      </c>
    </row>
    <row customHeight="1" ht="24">
      <c r="A43" s="1387" t="s">
        <v>355</v>
      </c>
      <c r="B43" s="1387" t="s">
        <v>356</v>
      </c>
      <c r="C43" s="1387" t="s">
        <v>357</v>
      </c>
      <c r="D43" s="1387"/>
      <c r="E43" s="2283"/>
      <c r="F43" s="2283"/>
      <c r="G43" s="2282">
        <v>1</v>
      </c>
      <c r="H43" s="1387"/>
      <c r="I43" s="1387"/>
      <c r="J43" s="1387"/>
      <c r="K43" s="1387"/>
      <c r="L43" s="1388"/>
      <c r="M43" s="1389"/>
      <c r="N43" s="1389"/>
      <c r="O43" s="1389"/>
      <c r="P43" s="378"/>
      <c r="Q43" s="376"/>
      <c r="R43" s="377"/>
      <c r="S43" s="1517" t="str">
        <f>INDEX(PT_DIFFERENTIATION_NUM_CS,MATCH(C43,PT_DIFFERENTIATION_CS_ID,0))</f>
        <v>..</v>
      </c>
      <c r="T43" s="333" t="s">
        <v>600</v>
      </c>
      <c r="U43" s="324"/>
      <c r="V43" s="2266"/>
      <c r="W43" s="2267"/>
      <c r="X43" s="2267"/>
      <c r="Y43" s="2267"/>
      <c r="Z43" s="2267"/>
      <c r="AA43" s="2267"/>
      <c r="AB43" s="2268"/>
      <c r="AC43" s="2266" t="str">
        <f>INDEX(PT_DIFFERENTIATION_CS,MATCH(C43,PT_DIFFERENTIATION_CS_ID,0))</f>
        <v/>
      </c>
      <c r="AD43" s="2267"/>
      <c r="AE43" s="2267"/>
      <c r="AF43" s="2267"/>
      <c r="AG43" s="2267"/>
      <c r="AH43" s="2267"/>
      <c r="AI43" s="2267"/>
      <c r="AJ43" s="2268"/>
      <c r="AK43" s="1282" t="s">
        <v>601</v>
      </c>
      <c r="AM43" s="524"/>
      <c r="AN43" s="524" t="str">
        <f>IF(T43="","",T43)</f>
        <v>Наименование централизованной системы водоотведения</v>
      </c>
      <c r="AO43" s="524"/>
      <c r="AP43" s="524"/>
      <c r="AQ43" s="1179">
        <v>23</v>
      </c>
    </row>
    <row customHeight="1" ht="24">
      <c r="A44" s="1387" t="s">
        <v>355</v>
      </c>
      <c r="B44" s="1387" t="s">
        <v>356</v>
      </c>
      <c r="C44" s="1387" t="s">
        <v>357</v>
      </c>
      <c r="D44" s="1387" t="s">
        <v>605</v>
      </c>
      <c r="E44" s="2283"/>
      <c r="F44" s="2283"/>
      <c r="G44" s="2283"/>
      <c r="H44" s="2283"/>
      <c r="I44" s="2280" t="str">
        <f>S43&amp;".1"</f>
        <v>...1</v>
      </c>
      <c r="J44" s="1387"/>
      <c r="K44" s="1387"/>
      <c r="L44" s="1388"/>
      <c r="P44" s="2281">
        <v>1</v>
      </c>
      <c r="Q44" s="1505"/>
      <c r="R44" s="380"/>
      <c r="S44" s="1517" t="str">
        <f>$I44</f>
        <v>...1</v>
      </c>
      <c r="T44" s="309" t="s">
        <v>567</v>
      </c>
      <c r="U44" s="324"/>
      <c r="V44" s="2374"/>
      <c r="W44" s="2375"/>
      <c r="X44" s="2375"/>
      <c r="Y44" s="2375"/>
      <c r="Z44" s="2375"/>
      <c r="AA44" s="2375"/>
      <c r="AB44" s="2376"/>
      <c r="AC44" s="2377"/>
      <c r="AD44" s="2378"/>
      <c r="AE44" s="2378"/>
      <c r="AF44" s="2378"/>
      <c r="AG44" s="2378"/>
      <c r="AH44" s="2378"/>
      <c r="AI44" s="2378"/>
      <c r="AJ44" s="2379"/>
      <c r="AK44" s="1282" t="s">
        <v>568</v>
      </c>
      <c r="AM44" s="524"/>
      <c r="AN44" s="524" t="str">
        <f>IF(T44="","",T44)</f>
        <v>Наименование признака дифференциации</v>
      </c>
      <c r="AO44" s="524"/>
      <c r="AP44" s="524"/>
      <c r="AQ44" s="1179">
        <v>23</v>
      </c>
    </row>
    <row customHeight="1" ht="24">
      <c r="A45" s="1387" t="s">
        <v>355</v>
      </c>
      <c r="B45" s="1387" t="s">
        <v>356</v>
      </c>
      <c r="C45" s="1387" t="s">
        <v>357</v>
      </c>
      <c r="D45" s="1387" t="s">
        <v>605</v>
      </c>
      <c r="E45" s="2283"/>
      <c r="F45" s="2283"/>
      <c r="G45" s="2283"/>
      <c r="H45" s="2283"/>
      <c r="I45" s="2310"/>
      <c r="J45" s="2280" t="str">
        <f>I44&amp;".1"</f>
        <v>...1.1</v>
      </c>
      <c r="K45" s="1387"/>
      <c r="L45" s="1388" t="s">
        <v>490</v>
      </c>
      <c r="P45" s="2281"/>
      <c r="Q45" s="2281">
        <v>1</v>
      </c>
      <c r="R45" s="381"/>
      <c r="S45" s="1517" t="str">
        <f>$J45</f>
        <v>...1.1</v>
      </c>
      <c r="T45" s="310" t="s">
        <v>491</v>
      </c>
      <c r="U45" s="324"/>
      <c r="V45" s="2269"/>
      <c r="W45" s="2270"/>
      <c r="X45" s="2270"/>
      <c r="Y45" s="2270"/>
      <c r="Z45" s="2270"/>
      <c r="AA45" s="2270"/>
      <c r="AB45" s="2271"/>
      <c r="AC45" s="2269"/>
      <c r="AD45" s="2270"/>
      <c r="AE45" s="2270"/>
      <c r="AF45" s="2270"/>
      <c r="AG45" s="2270"/>
      <c r="AH45" s="2270"/>
      <c r="AI45" s="2270"/>
      <c r="AJ45" s="2271"/>
      <c r="AK45" s="1331" t="s">
        <v>569</v>
      </c>
      <c r="AM45" s="524"/>
      <c r="AN45" s="524" t="str">
        <f>IF(T45="","",T45)</f>
        <v>Группа потребителей</v>
      </c>
      <c r="AO45" s="524"/>
      <c r="AP45" s="524"/>
      <c r="AQ45" s="1179">
        <v>23</v>
      </c>
    </row>
    <row customHeight="1" ht="24">
      <c r="A46" s="1387" t="s">
        <v>355</v>
      </c>
      <c r="B46" s="1387" t="s">
        <v>356</v>
      </c>
      <c r="C46" s="1387" t="s">
        <v>357</v>
      </c>
      <c r="D46" s="1387" t="s">
        <v>605</v>
      </c>
      <c r="E46" s="2283"/>
      <c r="F46" s="2283"/>
      <c r="G46" s="2283"/>
      <c r="H46" s="2283"/>
      <c r="I46" s="2310"/>
      <c r="J46" s="2310"/>
      <c r="K46" s="2280" t="str">
        <f>J45&amp;".1"</f>
        <v>...1.1.1</v>
      </c>
      <c r="L46" s="1388"/>
      <c r="P46" s="2281"/>
      <c r="Q46" s="2281"/>
      <c r="R46" s="381">
        <v>1</v>
      </c>
      <c r="S46" s="1517" t="str">
        <f>$K46</f>
        <v>...1.1.1</v>
      </c>
      <c r="T46" s="1461"/>
      <c r="U46" s="324"/>
      <c r="V46" s="1384"/>
      <c r="W46" s="1384"/>
      <c r="X46" s="1385"/>
      <c r="Y46" s="2291"/>
      <c r="Z46" s="2292" t="s">
        <v>66</v>
      </c>
      <c r="AA46" s="2291"/>
      <c r="AB46" s="2292" t="s">
        <v>66</v>
      </c>
      <c r="AC46" s="775"/>
      <c r="AD46" s="775"/>
      <c r="AE46" s="1281"/>
      <c r="AF46" s="2289"/>
      <c r="AG46" s="2131" t="s">
        <v>66</v>
      </c>
      <c r="AH46" s="2311"/>
      <c r="AI46" s="2131" t="s">
        <v>19</v>
      </c>
      <c r="AJ46" s="1462"/>
      <c r="AK46"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35">
        <f>STRCHECKDATE(V47:AJ47)</f>
      </c>
      <c r="AM46" s="524"/>
      <c r="AN46" s="524" t="str">
        <f>IF(T46="","",T46)</f>
        <v/>
      </c>
      <c r="AO46" s="524"/>
      <c r="AP46" s="524"/>
      <c r="AQ46" s="1179">
        <v>23</v>
      </c>
    </row>
    <row customHeight="1" ht="0">
      <c r="A47" s="1387" t="s">
        <v>355</v>
      </c>
      <c r="B47" s="1387" t="s">
        <v>356</v>
      </c>
      <c r="C47" s="1387" t="s">
        <v>357</v>
      </c>
      <c r="D47" s="1387" t="s">
        <v>605</v>
      </c>
      <c r="E47" s="2283"/>
      <c r="F47" s="2283"/>
      <c r="G47" s="2283"/>
      <c r="H47" s="2283"/>
      <c r="I47" s="2310"/>
      <c r="J47" s="2310"/>
      <c r="K47" s="2280"/>
      <c r="L47" s="1388"/>
      <c r="P47" s="2281"/>
      <c r="Q47" s="2281"/>
      <c r="R47" s="381"/>
      <c r="S47" s="1514"/>
      <c r="T47" s="324"/>
      <c r="U47" s="324"/>
      <c r="V47" s="1384"/>
      <c r="W47" s="1384"/>
      <c r="X47" s="352" t="str">
        <f>Y46&amp;"-"&amp;AA46</f>
        <v>-</v>
      </c>
      <c r="Y47" s="2292"/>
      <c r="Z47" s="2292"/>
      <c r="AA47" s="2292"/>
      <c r="AB47" s="2292"/>
      <c r="AC47" s="349"/>
      <c r="AD47" s="349"/>
      <c r="AE47" s="352" t="str">
        <f>AF46&amp;"-"&amp;AH46</f>
        <v>-</v>
      </c>
      <c r="AF47" s="2290"/>
      <c r="AG47" s="2131"/>
      <c r="AH47" s="2312"/>
      <c r="AI47" s="2131"/>
      <c r="AJ47" s="1463"/>
      <c r="AK47" s="2373"/>
      <c r="AM47" s="524"/>
      <c r="AN47" s="524" t="str">
        <f>IF(T47="","",T47)</f>
        <v/>
      </c>
      <c r="AO47" s="524"/>
      <c r="AP47" s="524"/>
      <c r="AQ47" s="1179">
        <v>0</v>
      </c>
    </row>
    <row customHeight="1" ht="21">
      <c r="A48" s="1387" t="s">
        <v>355</v>
      </c>
      <c r="B48" s="1387" t="s">
        <v>356</v>
      </c>
      <c r="C48" s="1387" t="s">
        <v>357</v>
      </c>
      <c r="D48" s="1387" t="s">
        <v>605</v>
      </c>
      <c r="E48" s="2283"/>
      <c r="F48" s="2283"/>
      <c r="G48" s="2283"/>
      <c r="H48" s="2283"/>
      <c r="I48" s="2310"/>
      <c r="J48" s="2280"/>
      <c r="K48" s="1387"/>
      <c r="L48" s="1388"/>
      <c r="P48" s="2281"/>
      <c r="Q48" s="2281"/>
      <c r="R48" s="380"/>
      <c r="S48" s="1302"/>
      <c r="T48" s="311" t="s">
        <v>570</v>
      </c>
      <c r="U48" s="391"/>
      <c r="V48" s="391"/>
      <c r="W48" s="391"/>
      <c r="X48" s="391"/>
      <c r="Y48" s="391"/>
      <c r="Z48" s="391"/>
      <c r="AA48" s="391"/>
      <c r="AB48" s="391"/>
      <c r="AC48" s="391"/>
      <c r="AD48" s="391"/>
      <c r="AE48" s="391"/>
      <c r="AF48" s="391"/>
      <c r="AG48" s="391"/>
      <c r="AH48" s="391"/>
      <c r="AI48" s="391"/>
      <c r="AJ48" s="391"/>
      <c r="AK48" s="1282" t="s">
        <v>571</v>
      </c>
      <c r="AM48" s="524"/>
      <c r="AN48" s="524" t="str">
        <f>IF(T48="","",T48)</f>
        <v>Добавить значение признака дифференциации</v>
      </c>
      <c r="AO48" s="524"/>
      <c r="AP48" s="524"/>
      <c r="AQ48" s="1179">
        <v>20</v>
      </c>
    </row>
    <row customHeight="1" ht="22.049999999999997">
      <c r="A49" s="1387" t="s">
        <v>355</v>
      </c>
      <c r="B49" s="1387" t="s">
        <v>356</v>
      </c>
      <c r="C49" s="1387" t="s">
        <v>357</v>
      </c>
      <c r="D49" s="1387" t="s">
        <v>605</v>
      </c>
      <c r="E49" s="2283"/>
      <c r="F49" s="2283"/>
      <c r="G49" s="2283"/>
      <c r="H49" s="2283"/>
      <c r="I49" s="2280"/>
      <c r="J49" s="1387"/>
      <c r="K49" s="1387"/>
      <c r="L49" s="1388"/>
      <c r="P49" s="2281"/>
      <c r="Q49" s="1505"/>
      <c r="R49" s="380"/>
      <c r="S49" s="1302"/>
      <c r="T49" s="389" t="s">
        <v>496</v>
      </c>
      <c r="U49" s="391"/>
      <c r="V49" s="391"/>
      <c r="W49" s="391"/>
      <c r="X49" s="391"/>
      <c r="Y49" s="391"/>
      <c r="Z49" s="391"/>
      <c r="AA49" s="391"/>
      <c r="AB49" s="390"/>
      <c r="AC49" s="391"/>
      <c r="AD49" s="391"/>
      <c r="AE49" s="391"/>
      <c r="AF49" s="391"/>
      <c r="AG49" s="391"/>
      <c r="AH49" s="391"/>
      <c r="AI49" s="390"/>
      <c r="AJ49" s="391"/>
      <c r="AK49" s="1464"/>
      <c r="AM49" s="524"/>
      <c r="AN49" s="524" t="str">
        <f>IF(T49="","",T49)</f>
        <v>Добавить группу потребителей</v>
      </c>
      <c r="AO49" s="524"/>
      <c r="AP49" s="524"/>
      <c r="AQ49" s="1179">
        <v>21</v>
      </c>
    </row>
    <row customHeight="1" ht="22.049999999999997">
      <c r="A50" s="1387" t="s">
        <v>355</v>
      </c>
      <c r="B50" s="1387" t="s">
        <v>356</v>
      </c>
      <c r="C50" s="1387" t="s">
        <v>357</v>
      </c>
      <c r="D50" s="1387" t="s">
        <v>605</v>
      </c>
      <c r="E50" s="2283"/>
      <c r="F50" s="2283"/>
      <c r="G50" s="2283"/>
      <c r="H50" s="2282"/>
      <c r="I50" s="1387"/>
      <c r="J50" s="1387"/>
      <c r="K50" s="1387"/>
      <c r="L50" s="1388"/>
      <c r="M50" s="1389"/>
      <c r="N50" s="1389"/>
      <c r="O50" s="561"/>
      <c r="P50" s="384"/>
      <c r="Q50" s="399"/>
      <c r="R50" s="379"/>
      <c r="S50" s="1302"/>
      <c r="T50" s="396" t="s">
        <v>572</v>
      </c>
      <c r="U50" s="391"/>
      <c r="V50" s="391"/>
      <c r="W50" s="391"/>
      <c r="X50" s="391"/>
      <c r="Y50" s="391"/>
      <c r="Z50" s="391"/>
      <c r="AA50" s="391"/>
      <c r="AB50" s="390"/>
      <c r="AC50" s="391"/>
      <c r="AD50" s="391"/>
      <c r="AE50" s="391"/>
      <c r="AF50" s="391"/>
      <c r="AG50" s="391"/>
      <c r="AH50" s="391"/>
      <c r="AI50" s="390"/>
      <c r="AJ50" s="391"/>
      <c r="AK50" s="327"/>
      <c r="AM50" s="524"/>
      <c r="AN50" s="524" t="str">
        <f>IF(T50="","",T50)</f>
        <v>Добавить наименование признака дифференциации</v>
      </c>
      <c r="AO50" s="524"/>
      <c r="AP50" s="524"/>
      <c r="AQ50" s="1179">
        <v>21</v>
      </c>
    </row>
    <row s="1666" customFormat="1" customHeight="1" ht="0">
      <c r="A51" s="1367" t="s">
        <v>355</v>
      </c>
      <c r="B51" s="1367" t="s">
        <v>356</v>
      </c>
      <c r="C51" s="1338"/>
      <c r="D51" s="1338"/>
      <c r="E51" s="2283"/>
      <c r="F51" s="2282"/>
      <c r="G51" s="1338"/>
      <c r="H51" s="1338"/>
      <c r="I51" s="1338"/>
      <c r="J51" s="1338"/>
      <c r="K51" s="1338"/>
      <c r="L51" s="1518"/>
      <c r="M51" s="1345"/>
      <c r="N51" s="1345"/>
      <c r="P51" s="1340"/>
      <c r="Q51" s="1341"/>
      <c r="R51" s="1340"/>
      <c r="S51" s="1346"/>
      <c r="T51" s="1349" t="s">
        <v>499</v>
      </c>
      <c r="U51" s="1348"/>
      <c r="V51" s="1348"/>
      <c r="W51" s="1348"/>
      <c r="X51" s="1348"/>
      <c r="Y51" s="1348"/>
      <c r="Z51" s="1348"/>
      <c r="AA51" s="1348"/>
      <c r="AB51" s="1348"/>
      <c r="AC51" s="1348"/>
      <c r="AD51" s="1348"/>
      <c r="AE51" s="1348"/>
      <c r="AF51" s="1348"/>
      <c r="AG51" s="1348"/>
      <c r="AH51" s="1348"/>
      <c r="AI51" s="1348"/>
      <c r="AJ51" s="1348"/>
      <c r="AK51" s="1348"/>
      <c r="AM51" s="813"/>
      <c r="AN51" s="813" t="str">
        <f>IF(T51="","",T51)</f>
        <v>Добавить централизованную систему для дифференциации</v>
      </c>
      <c r="AO51" s="813"/>
      <c r="AP51" s="813"/>
      <c r="AQ51" s="542">
        <v>0</v>
      </c>
    </row>
    <row s="1666" customFormat="1" customHeight="1" ht="0">
      <c r="A52" s="1367" t="s">
        <v>355</v>
      </c>
      <c r="B52" s="1367"/>
      <c r="C52" s="1367"/>
      <c r="D52" s="1367"/>
      <c r="E52" s="2282"/>
      <c r="F52" s="1367"/>
      <c r="G52" s="1367"/>
      <c r="H52" s="1367"/>
      <c r="I52" s="1367"/>
      <c r="J52" s="1367"/>
      <c r="K52" s="1367"/>
      <c r="L52" s="1370"/>
      <c r="M52" s="1345"/>
      <c r="N52" s="1345"/>
      <c r="O52" s="542"/>
      <c r="P52" s="404"/>
      <c r="Q52" s="1368"/>
      <c r="R52" s="404"/>
      <c r="S52" s="1346"/>
      <c r="T52" s="1349" t="s">
        <v>500</v>
      </c>
      <c r="U52" s="1348"/>
      <c r="V52" s="1348"/>
      <c r="W52" s="1348"/>
      <c r="X52" s="1348"/>
      <c r="Y52" s="1348"/>
      <c r="Z52" s="1348"/>
      <c r="AA52" s="1348"/>
      <c r="AB52" s="1348"/>
      <c r="AC52" s="1348"/>
      <c r="AD52" s="1348"/>
      <c r="AE52" s="1348"/>
      <c r="AF52" s="1348"/>
      <c r="AG52" s="1348"/>
      <c r="AH52" s="1348"/>
      <c r="AI52" s="1348"/>
      <c r="AJ52" s="1348"/>
      <c r="AK52" s="1348"/>
      <c r="AM52" s="524"/>
      <c r="AN52" s="524" t="str">
        <f>IF(T52="","",T52)</f>
        <v>Добавить территорию для дифференциации</v>
      </c>
      <c r="AO52" s="524"/>
      <c r="AP52" s="524"/>
      <c r="AQ52" s="535">
        <v>0</v>
      </c>
    </row>
    <row s="1666" customFormat="1" customHeight="1" ht="0">
      <c r="A53" s="1338"/>
      <c r="B53" s="1338"/>
      <c r="C53" s="1338"/>
      <c r="D53" s="1338"/>
      <c r="E53" s="1367"/>
      <c r="F53" s="1338"/>
      <c r="G53" s="1338"/>
      <c r="H53" s="1338"/>
      <c r="I53" s="1338"/>
      <c r="J53" s="1338"/>
      <c r="K53" s="1338"/>
      <c r="L53" s="1518"/>
      <c r="M53" s="1345"/>
      <c r="N53" s="1345"/>
      <c r="P53" s="1340"/>
      <c r="Q53" s="1341"/>
      <c r="R53" s="1340"/>
      <c r="S53" s="1346"/>
      <c r="T53" s="1349" t="s">
        <v>532</v>
      </c>
      <c r="U53" s="1348"/>
      <c r="V53" s="1348"/>
      <c r="W53" s="1348"/>
      <c r="X53" s="1348"/>
      <c r="Y53" s="1348"/>
      <c r="Z53" s="1348"/>
      <c r="AA53" s="1348"/>
      <c r="AB53" s="1348"/>
      <c r="AC53" s="1348"/>
      <c r="AD53" s="1348"/>
      <c r="AE53" s="1348"/>
      <c r="AF53" s="1348"/>
      <c r="AG53" s="1348"/>
      <c r="AH53" s="1348"/>
      <c r="AI53" s="1348"/>
      <c r="AJ53" s="1348"/>
      <c r="AK53" s="1348"/>
      <c r="AM53" s="813"/>
      <c r="AN53" s="813" t="str">
        <f>IF(T53="","",T53)</f>
        <v>Добавить наименование тарифа</v>
      </c>
      <c r="AO53" s="813"/>
      <c r="AP53" s="813"/>
      <c r="AQ53" s="542">
        <v>0</v>
      </c>
    </row>
    <row customHeight="1" ht="11.549999999999999">
      <c r="M54" s="1184"/>
      <c r="N54" s="1184"/>
      <c r="O54" s="561"/>
      <c r="P54" s="1179"/>
      <c r="Q54" s="1179"/>
      <c r="R54" s="1179"/>
      <c r="S54" s="1179"/>
      <c r="AL54" s="1179"/>
      <c r="AM54" s="1179"/>
      <c r="AN54" s="1179"/>
      <c r="AO54" s="1179"/>
      <c r="AP54" s="1179"/>
      <c r="AQ54" s="1179">
        <v>11</v>
      </c>
    </row>
    <row customHeight="1" ht="14.699999999999998">
      <c r="O55" s="561"/>
      <c r="S55" s="1277"/>
      <c r="T55" s="2309"/>
      <c r="U55" s="2309"/>
      <c r="V55" s="2309"/>
      <c r="W55" s="2309"/>
      <c r="X55" s="2309"/>
      <c r="Y55" s="2309"/>
      <c r="Z55" s="2309"/>
      <c r="AA55" s="2309"/>
      <c r="AB55" s="2309"/>
      <c r="AC55" s="2309"/>
      <c r="AD55" s="2309"/>
      <c r="AE55" s="2309"/>
      <c r="AF55" s="2309"/>
      <c r="AG55" s="2309"/>
      <c r="AH55" s="2309"/>
      <c r="AI55" s="2309"/>
      <c r="AJ55" s="2309"/>
      <c r="AK55" s="2309"/>
      <c r="AQ55" s="1179">
        <v>14</v>
      </c>
    </row>
    <row customHeight="1" ht="14.699999999999998">
      <c r="O56" s="561"/>
      <c r="AQ56" s="1179">
        <v>14</v>
      </c>
    </row>
    <row customHeight="1" ht="14.699999999999998">
      <c r="O57" s="561"/>
      <c r="S57" s="1277"/>
      <c r="T57" s="2309"/>
      <c r="U57" s="2309"/>
      <c r="V57" s="2309"/>
      <c r="W57" s="2309"/>
      <c r="X57" s="2309"/>
      <c r="Y57" s="2309"/>
      <c r="Z57" s="2309"/>
      <c r="AA57" s="2309"/>
      <c r="AB57" s="2309"/>
      <c r="AC57" s="2309"/>
      <c r="AD57" s="2309"/>
      <c r="AE57" s="2309"/>
      <c r="AF57" s="2309"/>
      <c r="AG57" s="2309"/>
      <c r="AH57" s="2309"/>
      <c r="AI57" s="2309"/>
      <c r="AJ57" s="2309"/>
      <c r="AK57" s="2309"/>
      <c r="AQ57" s="1179">
        <v>14</v>
      </c>
    </row>
    <row customHeight="1" ht="22.5" hidden="1">
      <c r="A58" s="1184" t="s">
        <v>82</v>
      </c>
      <c r="B58" s="1184">
        <v>0</v>
      </c>
      <c r="C58" s="1184">
        <v>0</v>
      </c>
      <c r="D58" s="1184">
        <v>0</v>
      </c>
      <c r="E58" s="1184">
        <v>0</v>
      </c>
      <c r="F58" s="1184">
        <v>0</v>
      </c>
      <c r="G58" s="1184">
        <v>0</v>
      </c>
      <c r="H58" s="1184">
        <v>0</v>
      </c>
      <c r="I58" s="1184">
        <v>0</v>
      </c>
      <c r="J58" s="1184">
        <v>0</v>
      </c>
      <c r="K58" s="1184">
        <v>0</v>
      </c>
      <c r="L58" s="1502">
        <v>0</v>
      </c>
      <c r="M58" s="1386">
        <v>0</v>
      </c>
      <c r="N58" s="1386">
        <v>0</v>
      </c>
      <c r="O58" s="1386">
        <v>0</v>
      </c>
      <c r="P58" s="1497">
        <v>3</v>
      </c>
      <c r="Q58" s="368">
        <v>3</v>
      </c>
      <c r="R58" s="368">
        <v>3</v>
      </c>
      <c r="S58" s="605">
        <v>12</v>
      </c>
      <c r="T58" s="1179">
        <v>35</v>
      </c>
      <c r="U58" s="1179">
        <v>0</v>
      </c>
      <c r="V58" s="1179">
        <v>0</v>
      </c>
      <c r="W58" s="1179">
        <v>0</v>
      </c>
      <c r="X58" s="1179">
        <v>0</v>
      </c>
      <c r="Y58" s="1179">
        <v>0</v>
      </c>
      <c r="Z58" s="1179">
        <v>0</v>
      </c>
      <c r="AA58" s="1179">
        <v>0</v>
      </c>
      <c r="AB58" s="1179">
        <v>0</v>
      </c>
      <c r="AC58" s="1179">
        <v>24</v>
      </c>
      <c r="AD58" s="1179">
        <v>24</v>
      </c>
      <c r="AE58" s="1179">
        <v>24</v>
      </c>
      <c r="AF58" s="1179">
        <v>11</v>
      </c>
      <c r="AG58" s="1179">
        <v>3</v>
      </c>
      <c r="AH58" s="1179">
        <v>11</v>
      </c>
      <c r="AI58" s="1179">
        <v>0</v>
      </c>
      <c r="AJ58" s="1179">
        <v>4</v>
      </c>
      <c r="AK58" s="1179">
        <v>115</v>
      </c>
      <c r="AL58" s="535">
        <v>10</v>
      </c>
      <c r="AM58" s="535">
        <v>10</v>
      </c>
      <c r="AN58" s="535">
        <v>10</v>
      </c>
      <c r="AO58" s="535">
        <v>10</v>
      </c>
      <c r="AP58" s="535">
        <v>10</v>
      </c>
      <c r="AQ58" s="1179">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9B1AE-2D3B-5E8C-041A-0.791FC52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90" width="11.57421875" hidden="1" customWidth="1"/>
    <col min="2" max="2" style="1390" width="11.00390625" hidden="1" customWidth="1"/>
    <col min="3" max="3" style="1390" width="10.57421875" hidden="1"/>
    <col min="4" max="4" style="1390" width="12.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2.00390625" hidden="1" customWidth="1"/>
    <col min="10" max="10" style="1390" width="9.8515625" hidden="1" customWidth="1"/>
    <col min="11" max="11" style="1390" width="11.421875" hidden="1" customWidth="1"/>
    <col min="12" max="12" style="2631" width="19.140625" hidden="1" customWidth="1"/>
    <col min="13" max="14" style="1800" width="12.28125" hidden="1" customWidth="1"/>
    <col min="15" max="15" style="1800" width="23.421875" hidden="1" customWidth="1"/>
    <col min="16" max="16" style="1800" width="3.7109375" hidden="1" customWidth="1"/>
    <col min="17" max="17" style="1395" width="3.7109375" hidden="1" customWidth="1"/>
    <col min="18" max="18" style="368" width="3.00390625" customWidth="1"/>
    <col min="19" max="19" style="2431" width="12.00390625" customWidth="1"/>
    <col min="20" max="20" style="1659" width="31.00390625" customWidth="1"/>
    <col min="21" max="21" style="1659" width="0.140625" customWidth="1"/>
    <col min="22" max="25" style="1659" width="21.7109375" hidden="1" customWidth="1"/>
    <col min="26" max="26" style="1659" width="11.7109375" hidden="1" customWidth="1"/>
    <col min="27" max="27" style="1659" width="3.7109375" hidden="1" customWidth="1"/>
    <col min="28" max="28" style="1659" width="11.7109375" hidden="1" customWidth="1"/>
    <col min="29" max="29" style="1659" width="8.57421875" hidden="1" customWidth="1"/>
    <col min="30" max="30" style="1659" width="3.7109375" customWidth="1"/>
    <col min="31" max="32" style="1659" width="3.00390625" customWidth="1"/>
    <col min="33" max="33" style="1659" width="24.00390625" customWidth="1"/>
    <col min="34" max="34" style="1659" width="3.7109375" customWidth="1"/>
    <col min="35" max="36" style="1659" width="3.00390625" customWidth="1"/>
    <col min="37" max="37" style="1659" width="24.00390625" customWidth="1"/>
    <col min="38" max="38" style="1659" width="3.7109375" customWidth="1"/>
    <col min="39" max="40" style="1659" width="3.00390625" customWidth="1"/>
    <col min="41" max="41" style="1659" width="18.00390625" customWidth="1"/>
    <col min="42" max="42" style="1659" width="3.7109375" customWidth="1"/>
    <col min="43" max="44" style="1659" width="3.00390625" customWidth="1"/>
    <col min="45" max="45" style="1659" width="18.00390625" customWidth="1"/>
    <col min="46" max="49" style="1659" width="21.00390625" customWidth="1"/>
    <col min="50" max="50" style="1659" width="11.00390625" customWidth="1"/>
    <col min="51" max="51" style="1659" width="3.7109375" customWidth="1"/>
    <col min="52" max="52" style="1659" width="11.00390625" customWidth="1"/>
    <col min="53" max="53" style="1659" width="8.57421875" hidden="1" customWidth="1"/>
    <col min="54" max="54" style="1659" width="4.00390625" customWidth="1"/>
    <col min="55" max="55" style="1659" width="115.00390625" customWidth="1"/>
    <col min="56" max="60" style="1666" width="10.00390625" customWidth="1"/>
    <col min="61" max="61" style="1659" width="10.57421875" hidden="1"/>
  </cols>
  <sheetData>
    <row customHeight="1" ht="22.5" hidden="1">
      <c r="W1" s="351"/>
      <c r="Y1" s="351"/>
      <c r="Z1" s="351"/>
      <c r="AW1" s="351"/>
      <c r="AX1" s="351"/>
      <c r="BI1" s="1179" t="s">
        <v>14</v>
      </c>
    </row>
    <row customHeight="1" ht="21" hidden="1">
      <c r="A2" s="1387"/>
      <c r="B2" s="1387"/>
      <c r="C2" s="1387"/>
      <c r="D2" s="1387"/>
      <c r="E2" s="2282">
        <v>1</v>
      </c>
      <c r="F2" s="1387"/>
      <c r="G2" s="1387"/>
      <c r="H2" s="1387"/>
      <c r="I2" s="1387"/>
      <c r="J2" s="1387"/>
      <c r="K2" s="1387"/>
      <c r="L2" s="1388"/>
      <c r="M2" s="1389"/>
      <c r="N2" s="1389"/>
      <c r="O2" s="1389"/>
      <c r="P2" s="1433"/>
      <c r="Q2" s="897"/>
      <c r="R2" s="379"/>
      <c r="S2" s="1517">
        <f>INDEX(PT_DIFFERENTIATION_NUM_NTAR,MATCH(A2,PT_DIFFERENTIATION_NTAR_ID,0))</f>
      </c>
      <c r="T2" s="322" t="s">
        <v>211</v>
      </c>
      <c r="U2" s="324"/>
      <c r="V2" s="2267"/>
      <c r="W2" s="2267"/>
      <c r="X2" s="2267"/>
      <c r="Y2" s="2267"/>
      <c r="Z2" s="2267"/>
      <c r="AA2" s="2267"/>
      <c r="AB2" s="2267"/>
      <c r="AC2" s="2268"/>
      <c r="AD2" s="2266">
        <f>INDEX(PT_DIFFERENTIATION_NTAR,MATCH(A2,PT_DIFFERENTIATION_NTAR_ID,0))</f>
      </c>
      <c r="AE2" s="2267"/>
      <c r="AF2" s="2267"/>
      <c r="AG2" s="2267"/>
      <c r="AH2" s="2267"/>
      <c r="AI2" s="2267"/>
      <c r="AJ2" s="2267"/>
      <c r="AK2" s="2267"/>
      <c r="AL2" s="2267"/>
      <c r="AM2" s="2267"/>
      <c r="AN2" s="2267"/>
      <c r="AO2" s="2267"/>
      <c r="AP2" s="2267"/>
      <c r="AQ2" s="2267"/>
      <c r="AR2" s="2267"/>
      <c r="AS2" s="2267"/>
      <c r="AT2" s="2267"/>
      <c r="AU2" s="2267"/>
      <c r="AV2" s="2267"/>
      <c r="AW2" s="2267"/>
      <c r="AX2" s="2267"/>
      <c r="AY2" s="2267"/>
      <c r="AZ2" s="2267"/>
      <c r="BA2" s="2267"/>
      <c r="BB2" s="2268"/>
      <c r="BC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24"/>
      <c r="BF2" s="524" t="str">
        <f>IF(T2="","",T2)</f>
        <v>Наименование тарифа</v>
      </c>
      <c r="BG2" s="524"/>
      <c r="BH2" s="524"/>
      <c r="BI2" s="1179">
        <v>0</v>
      </c>
    </row>
    <row customHeight="1" ht="21" hidden="1">
      <c r="A3" s="1387"/>
      <c r="B3" s="1387"/>
      <c r="C3" s="1387"/>
      <c r="D3" s="1387"/>
      <c r="E3" s="2283"/>
      <c r="F3" s="2282">
        <v>1</v>
      </c>
      <c r="G3" s="1387"/>
      <c r="H3" s="1387"/>
      <c r="I3" s="1387"/>
      <c r="J3" s="1387"/>
      <c r="K3" s="1387"/>
      <c r="L3" s="1388"/>
      <c r="M3" s="1389"/>
      <c r="N3" s="1389"/>
      <c r="O3" s="1389"/>
      <c r="P3" s="1434"/>
      <c r="Q3" s="1435"/>
      <c r="R3" s="377"/>
      <c r="S3" s="1517">
        <f>INDEX(PT_DIFFERENTIATION_NUM_TER,MATCH(B3,PT_DIFFERENTIATION_TER_ID,0))</f>
      </c>
      <c r="T3" s="332" t="s">
        <v>481</v>
      </c>
      <c r="U3" s="324"/>
      <c r="V3" s="2267"/>
      <c r="W3" s="2267"/>
      <c r="X3" s="2267"/>
      <c r="Y3" s="2267"/>
      <c r="Z3" s="2267"/>
      <c r="AA3" s="2267"/>
      <c r="AB3" s="2267"/>
      <c r="AC3" s="2268"/>
      <c r="AD3" s="2266">
        <f>INDEX(PT_DIFFERENTIATION_TER,MATCH(B3,PT_DIFFERENTIATION_TER_ID,0))</f>
      </c>
      <c r="AE3" s="2267"/>
      <c r="AF3" s="2267"/>
      <c r="AG3" s="2267"/>
      <c r="AH3" s="2267"/>
      <c r="AI3" s="2267"/>
      <c r="AJ3" s="2267"/>
      <c r="AK3" s="2267"/>
      <c r="AL3" s="2267"/>
      <c r="AM3" s="2267"/>
      <c r="AN3" s="2267"/>
      <c r="AO3" s="2267"/>
      <c r="AP3" s="2267"/>
      <c r="AQ3" s="2267"/>
      <c r="AR3" s="2267"/>
      <c r="AS3" s="2267"/>
      <c r="AT3" s="2267"/>
      <c r="AU3" s="2267"/>
      <c r="AV3" s="2267"/>
      <c r="AW3" s="2267"/>
      <c r="AX3" s="2267"/>
      <c r="AY3" s="2267"/>
      <c r="AZ3" s="2267"/>
      <c r="BA3" s="2267"/>
      <c r="BB3" s="2268"/>
      <c r="BC3" s="1282" t="s">
        <v>482</v>
      </c>
      <c r="BE3" s="524"/>
      <c r="BF3" s="524" t="str">
        <f>IF(T3="","",T3)</f>
        <v>Территория действия тарифа</v>
      </c>
      <c r="BG3" s="524"/>
      <c r="BH3" s="524"/>
      <c r="BI3" s="1179">
        <v>0</v>
      </c>
    </row>
    <row customHeight="1" ht="33.75" hidden="1">
      <c r="A4" s="1387"/>
      <c r="B4" s="1387"/>
      <c r="C4" s="1387"/>
      <c r="D4" s="1387"/>
      <c r="E4" s="2283"/>
      <c r="F4" s="2283"/>
      <c r="G4" s="2282">
        <v>1</v>
      </c>
      <c r="H4" s="1387"/>
      <c r="I4" s="1387"/>
      <c r="J4" s="1387"/>
      <c r="K4" s="1387"/>
      <c r="L4" s="1388"/>
      <c r="M4" s="1389"/>
      <c r="N4" s="1389"/>
      <c r="O4" s="1389"/>
      <c r="P4" s="1436"/>
      <c r="Q4" s="1435"/>
      <c r="R4" s="377"/>
      <c r="S4" s="1517">
        <f>INDEX(PT_DIFFERENTIATION_NUM_CS,MATCH(C4,PT_DIFFERENTIATION_CS_ID,0))</f>
      </c>
      <c r="T4" s="333" t="s">
        <v>600</v>
      </c>
      <c r="U4" s="324"/>
      <c r="V4" s="2267"/>
      <c r="W4" s="2267"/>
      <c r="X4" s="2267"/>
      <c r="Y4" s="2267"/>
      <c r="Z4" s="2267"/>
      <c r="AA4" s="2267"/>
      <c r="AB4" s="2267"/>
      <c r="AC4" s="2268"/>
      <c r="AD4" s="2266">
        <f>INDEX(PT_DIFFERENTIATION_CS,MATCH(C4,PT_DIFFERENTIATION_CS_ID,0))</f>
      </c>
      <c r="AE4" s="2267"/>
      <c r="AF4" s="2267"/>
      <c r="AG4" s="2267"/>
      <c r="AH4" s="2267"/>
      <c r="AI4" s="2267"/>
      <c r="AJ4" s="2267"/>
      <c r="AK4" s="2267"/>
      <c r="AL4" s="2267"/>
      <c r="AM4" s="2267"/>
      <c r="AN4" s="2267"/>
      <c r="AO4" s="2267"/>
      <c r="AP4" s="2267"/>
      <c r="AQ4" s="2267"/>
      <c r="AR4" s="2267"/>
      <c r="AS4" s="2267"/>
      <c r="AT4" s="2267"/>
      <c r="AU4" s="2267"/>
      <c r="AV4" s="2267"/>
      <c r="AW4" s="2267"/>
      <c r="AX4" s="2267"/>
      <c r="AY4" s="2267"/>
      <c r="AZ4" s="2267"/>
      <c r="BA4" s="2267"/>
      <c r="BB4" s="2268"/>
      <c r="BC4" s="1282" t="s">
        <v>601</v>
      </c>
      <c r="BE4" s="524"/>
      <c r="BF4" s="524" t="str">
        <f>IF(T4="","",T4)</f>
        <v>Наименование централизованной системы водоотведения</v>
      </c>
      <c r="BG4" s="524"/>
      <c r="BH4" s="524"/>
      <c r="BI4" s="1179">
        <v>0</v>
      </c>
    </row>
    <row s="1666" customFormat="1" customHeight="1" ht="14.25" hidden="1">
      <c r="A5" s="1367"/>
      <c r="B5" s="1367"/>
      <c r="C5" s="1367"/>
      <c r="D5" s="1367"/>
      <c r="E5" s="2283"/>
      <c r="F5" s="2283"/>
      <c r="G5" s="2283"/>
      <c r="H5" s="2282">
        <v>1</v>
      </c>
      <c r="I5" s="1367"/>
      <c r="J5" s="1367"/>
      <c r="K5" s="1367"/>
      <c r="L5" s="1370"/>
      <c r="M5" s="1339"/>
      <c r="N5" s="1339"/>
      <c r="O5" s="1339"/>
      <c r="P5" s="1521"/>
      <c r="Q5" s="1522"/>
      <c r="R5" s="381"/>
      <c r="S5" s="1066"/>
      <c r="T5" s="1523"/>
      <c r="U5" s="1408"/>
      <c r="V5" s="2321"/>
      <c r="W5" s="2321"/>
      <c r="X5" s="2321"/>
      <c r="Y5" s="2321"/>
      <c r="Z5" s="2321"/>
      <c r="AA5" s="2321"/>
      <c r="AB5" s="2321"/>
      <c r="AC5" s="2322"/>
      <c r="AD5" s="2320"/>
      <c r="AE5" s="2321"/>
      <c r="AF5" s="2321"/>
      <c r="AG5" s="2321"/>
      <c r="AH5" s="2321"/>
      <c r="AI5" s="2321"/>
      <c r="AJ5" s="2321"/>
      <c r="AK5" s="2321"/>
      <c r="AL5" s="2321"/>
      <c r="AM5" s="2321"/>
      <c r="AN5" s="2321"/>
      <c r="AO5" s="2321"/>
      <c r="AP5" s="2321"/>
      <c r="AQ5" s="2321"/>
      <c r="AR5" s="2321"/>
      <c r="AS5" s="2321"/>
      <c r="AT5" s="2321"/>
      <c r="AU5" s="2321"/>
      <c r="AV5" s="2321"/>
      <c r="AW5" s="2321"/>
      <c r="AX5" s="2321"/>
      <c r="AY5" s="2321"/>
      <c r="AZ5" s="2321"/>
      <c r="BA5" s="2321"/>
      <c r="BB5" s="2322"/>
      <c r="BC5" s="1409" t="s">
        <v>486</v>
      </c>
      <c r="BE5" s="524"/>
      <c r="BF5" s="524" t="str">
        <f>IF(T5="","",T5)</f>
        <v/>
      </c>
      <c r="BG5" s="524"/>
      <c r="BH5" s="524"/>
      <c r="BI5" s="535">
        <v>0</v>
      </c>
    </row>
    <row s="1666" customFormat="1" customHeight="1" ht="14.25" hidden="1">
      <c r="A6" s="1367"/>
      <c r="B6" s="1367"/>
      <c r="C6" s="1367"/>
      <c r="D6" s="1367"/>
      <c r="E6" s="2283"/>
      <c r="F6" s="2283"/>
      <c r="G6" s="2283"/>
      <c r="H6" s="2283"/>
      <c r="I6" s="2280" t="str">
        <f>S5&amp;".1"</f>
        <v>.1</v>
      </c>
      <c r="J6" s="1367"/>
      <c r="K6" s="1367"/>
      <c r="L6" s="1370" t="s">
        <v>487</v>
      </c>
      <c r="M6" s="534"/>
      <c r="N6" s="534"/>
      <c r="O6" s="534"/>
      <c r="P6" s="2281">
        <v>1</v>
      </c>
      <c r="Q6" s="1505"/>
      <c r="R6" s="380"/>
      <c r="S6" s="1066"/>
      <c r="T6" s="1407"/>
      <c r="U6" s="1408"/>
      <c r="V6" s="2321"/>
      <c r="W6" s="2321"/>
      <c r="X6" s="2321"/>
      <c r="Y6" s="2321"/>
      <c r="Z6" s="2321"/>
      <c r="AA6" s="2321"/>
      <c r="AB6" s="2321"/>
      <c r="AC6" s="2322"/>
      <c r="AD6" s="2320"/>
      <c r="AE6" s="2321"/>
      <c r="AF6" s="2321"/>
      <c r="AG6" s="2321"/>
      <c r="AH6" s="2321"/>
      <c r="AI6" s="2321"/>
      <c r="AJ6" s="2321"/>
      <c r="AK6" s="2321"/>
      <c r="AL6" s="2321"/>
      <c r="AM6" s="2321"/>
      <c r="AN6" s="2321"/>
      <c r="AO6" s="2321"/>
      <c r="AP6" s="2321"/>
      <c r="AQ6" s="2321"/>
      <c r="AR6" s="2321"/>
      <c r="AS6" s="2321"/>
      <c r="AT6" s="2321"/>
      <c r="AU6" s="2321"/>
      <c r="AV6" s="2321"/>
      <c r="AW6" s="2321"/>
      <c r="AX6" s="2321"/>
      <c r="AY6" s="2321"/>
      <c r="AZ6" s="2321"/>
      <c r="BA6" s="2321"/>
      <c r="BB6" s="2322"/>
      <c r="BC6" s="1409"/>
      <c r="BE6" s="524"/>
      <c r="BF6" s="524" t="str">
        <f>IF(T6="","",T6)</f>
        <v/>
      </c>
      <c r="BG6" s="524"/>
      <c r="BH6" s="524"/>
      <c r="BI6" s="535">
        <v>0</v>
      </c>
    </row>
    <row s="1666" customFormat="1" customHeight="1" ht="14.25" hidden="1">
      <c r="A7" s="1367"/>
      <c r="B7" s="1367"/>
      <c r="C7" s="1367"/>
      <c r="D7" s="1367"/>
      <c r="E7" s="2283"/>
      <c r="F7" s="2283"/>
      <c r="G7" s="2283"/>
      <c r="H7" s="2283"/>
      <c r="I7" s="2310"/>
      <c r="J7" s="2280" t="str">
        <f>S5&amp;".1"</f>
        <v>.1</v>
      </c>
      <c r="K7" s="1367"/>
      <c r="L7" s="1370"/>
      <c r="M7" s="534"/>
      <c r="N7" s="534"/>
      <c r="O7" s="534"/>
      <c r="P7" s="2281"/>
      <c r="Q7" s="2281">
        <v>1</v>
      </c>
      <c r="R7" s="381"/>
      <c r="S7" s="1066"/>
      <c r="T7" s="1423"/>
      <c r="U7" s="1408"/>
      <c r="V7" s="2321"/>
      <c r="W7" s="2321"/>
      <c r="X7" s="2321"/>
      <c r="Y7" s="2321"/>
      <c r="Z7" s="2321"/>
      <c r="AA7" s="2321"/>
      <c r="AB7" s="2321"/>
      <c r="AC7" s="2322"/>
      <c r="AD7" s="2320"/>
      <c r="AE7" s="2321"/>
      <c r="AF7" s="2321"/>
      <c r="AG7" s="2321"/>
      <c r="AH7" s="2321"/>
      <c r="AI7" s="2321"/>
      <c r="AJ7" s="2321"/>
      <c r="AK7" s="2321"/>
      <c r="AL7" s="2321"/>
      <c r="AM7" s="2321"/>
      <c r="AN7" s="2321"/>
      <c r="AO7" s="2321"/>
      <c r="AP7" s="2321"/>
      <c r="AQ7" s="2321"/>
      <c r="AR7" s="2321"/>
      <c r="AS7" s="2321"/>
      <c r="AT7" s="2321"/>
      <c r="AU7" s="2321"/>
      <c r="AV7" s="2321"/>
      <c r="AW7" s="2321"/>
      <c r="AX7" s="2321"/>
      <c r="AY7" s="2321"/>
      <c r="AZ7" s="2321"/>
      <c r="BA7" s="2321"/>
      <c r="BB7" s="2322"/>
      <c r="BC7" s="1409"/>
      <c r="BE7" s="524"/>
      <c r="BF7" s="524" t="str">
        <f>IF(T7="","",T7)</f>
        <v/>
      </c>
      <c r="BG7" s="524"/>
      <c r="BH7" s="524"/>
      <c r="BI7" s="535">
        <v>0</v>
      </c>
    </row>
    <row customHeight="1" ht="11.25" hidden="1">
      <c r="A8" s="1387"/>
      <c r="B8" s="1387"/>
      <c r="C8" s="1387"/>
      <c r="D8" s="1387"/>
      <c r="E8" s="2283"/>
      <c r="F8" s="2283"/>
      <c r="G8" s="2283"/>
      <c r="H8" s="2283"/>
      <c r="I8" s="2310"/>
      <c r="J8" s="2310"/>
      <c r="K8" s="2280">
        <f>S4&amp;".1"</f>
      </c>
      <c r="L8" s="1388"/>
      <c r="P8" s="2281"/>
      <c r="Q8" s="2281"/>
      <c r="R8" s="2371">
        <v>1</v>
      </c>
      <c r="S8" s="2365">
        <f>$K8</f>
      </c>
      <c r="T8" s="2384"/>
      <c r="U8" s="324"/>
      <c r="V8" s="775"/>
      <c r="W8" s="1281"/>
      <c r="X8" s="775"/>
      <c r="Y8" s="1281"/>
      <c r="Z8" s="1758"/>
      <c r="AA8" s="1493" t="s">
        <v>66</v>
      </c>
      <c r="AB8" s="1758"/>
      <c r="AC8" s="1493" t="s">
        <v>66</v>
      </c>
      <c r="AD8" s="2209" t="s">
        <v>66</v>
      </c>
      <c r="AE8" s="2350"/>
      <c r="AF8" s="2229">
        <v>1</v>
      </c>
      <c r="AG8" s="2387"/>
      <c r="AH8" s="2131" t="s">
        <v>66</v>
      </c>
      <c r="AI8" s="2350"/>
      <c r="AJ8" s="2229">
        <v>1</v>
      </c>
      <c r="AK8" s="2351" t="s">
        <v>22</v>
      </c>
      <c r="AL8" s="2131" t="s">
        <v>66</v>
      </c>
      <c r="AM8" s="2216"/>
      <c r="AN8" s="2229">
        <v>1</v>
      </c>
      <c r="AO8" s="2381"/>
      <c r="AP8" s="2382" t="s">
        <v>66</v>
      </c>
      <c r="AQ8" s="335"/>
      <c r="AR8" s="1510">
        <v>1</v>
      </c>
      <c r="AS8" s="1516" t="s">
        <v>22</v>
      </c>
      <c r="AT8" s="775"/>
      <c r="AU8" s="1281"/>
      <c r="AV8" s="775"/>
      <c r="AW8" s="1281"/>
      <c r="AX8" s="1758"/>
      <c r="AY8" s="1493" t="s">
        <v>66</v>
      </c>
      <c r="AZ8" s="1758"/>
      <c r="BA8" s="1493" t="s">
        <v>66</v>
      </c>
      <c r="BB8" s="1372"/>
      <c r="BC8" s="2277" t="s">
        <v>585</v>
      </c>
      <c r="BE8" s="524"/>
      <c r="BF8" s="524" t="str">
        <f>IF(T8="","",T8)</f>
        <v/>
      </c>
      <c r="BG8" s="524"/>
      <c r="BH8" s="524"/>
      <c r="BI8" s="1179">
        <v>0</v>
      </c>
    </row>
    <row customHeight="1" ht="11.25" hidden="1">
      <c r="A9" s="1387"/>
      <c r="B9" s="1387"/>
      <c r="C9" s="1387"/>
      <c r="D9" s="1387"/>
      <c r="E9" s="2283"/>
      <c r="F9" s="2283"/>
      <c r="G9" s="2283"/>
      <c r="H9" s="2283"/>
      <c r="I9" s="2310"/>
      <c r="J9" s="2310"/>
      <c r="K9" s="2280"/>
      <c r="L9" s="1388"/>
      <c r="P9" s="2281"/>
      <c r="Q9" s="2281"/>
      <c r="R9" s="2371"/>
      <c r="S9" s="2366"/>
      <c r="T9" s="2385"/>
      <c r="U9" s="324"/>
      <c r="V9" s="1417"/>
      <c r="W9" s="1520"/>
      <c r="X9" s="1417"/>
      <c r="Y9" s="1520"/>
      <c r="Z9" s="1417"/>
      <c r="AA9" s="1417"/>
      <c r="AB9" s="1417"/>
      <c r="AC9" s="1417"/>
      <c r="AD9" s="2210"/>
      <c r="AE9" s="2350"/>
      <c r="AF9" s="2229"/>
      <c r="AG9" s="2387"/>
      <c r="AH9" s="2131"/>
      <c r="AI9" s="2350"/>
      <c r="AJ9" s="2229"/>
      <c r="AK9" s="2351"/>
      <c r="AL9" s="2131"/>
      <c r="AM9" s="2224"/>
      <c r="AN9" s="2229"/>
      <c r="AO9" s="2381"/>
      <c r="AP9" s="2383"/>
      <c r="AQ9" s="340"/>
      <c r="AR9" s="440"/>
      <c r="AS9" s="440" t="s">
        <v>586</v>
      </c>
      <c r="AT9" s="1417"/>
      <c r="AU9" s="1520"/>
      <c r="AV9" s="1417"/>
      <c r="AW9" s="1520"/>
      <c r="AX9" s="1417"/>
      <c r="AY9" s="1417"/>
      <c r="AZ9" s="1417"/>
      <c r="BA9" s="1417"/>
      <c r="BB9" s="1421"/>
      <c r="BC9" s="2278"/>
      <c r="BE9" s="524"/>
      <c r="BF9" s="524"/>
      <c r="BG9" s="524"/>
      <c r="BH9" s="524"/>
      <c r="BI9" s="1179">
        <v>0</v>
      </c>
    </row>
    <row customHeight="1" ht="11.25" hidden="1">
      <c r="A10" s="1387"/>
      <c r="B10" s="1387"/>
      <c r="C10" s="1387"/>
      <c r="D10" s="1387"/>
      <c r="E10" s="2283"/>
      <c r="F10" s="2283"/>
      <c r="G10" s="2283"/>
      <c r="H10" s="2283"/>
      <c r="I10" s="2310"/>
      <c r="J10" s="2310"/>
      <c r="K10" s="2280"/>
      <c r="L10" s="1388"/>
      <c r="P10" s="2281"/>
      <c r="Q10" s="2281"/>
      <c r="R10" s="2371"/>
      <c r="S10" s="2366"/>
      <c r="T10" s="2385"/>
      <c r="U10" s="324"/>
      <c r="V10" s="1417"/>
      <c r="W10" s="1520"/>
      <c r="X10" s="1417"/>
      <c r="Y10" s="1520"/>
      <c r="Z10" s="1417"/>
      <c r="AA10" s="1417"/>
      <c r="AB10" s="1417"/>
      <c r="AC10" s="1417"/>
      <c r="AD10" s="2210"/>
      <c r="AE10" s="2350"/>
      <c r="AF10" s="2229"/>
      <c r="AG10" s="2387"/>
      <c r="AH10" s="2131"/>
      <c r="AI10" s="2350"/>
      <c r="AJ10" s="2229"/>
      <c r="AK10" s="2351"/>
      <c r="AL10" s="2131"/>
      <c r="AM10" s="340"/>
      <c r="AN10" s="1524"/>
      <c r="AO10" s="1524" t="s">
        <v>606</v>
      </c>
      <c r="AP10" s="440"/>
      <c r="AQ10" s="440"/>
      <c r="AR10" s="440"/>
      <c r="AS10" s="1417"/>
      <c r="AT10" s="1417"/>
      <c r="AU10" s="1520"/>
      <c r="AV10" s="1417"/>
      <c r="AW10" s="1520"/>
      <c r="AX10" s="1417"/>
      <c r="AY10" s="1417"/>
      <c r="AZ10" s="1417"/>
      <c r="BA10" s="1417"/>
      <c r="BB10" s="1421"/>
      <c r="BC10" s="2278"/>
      <c r="BE10" s="524"/>
      <c r="BF10" s="524"/>
      <c r="BG10" s="524"/>
      <c r="BH10" s="524"/>
      <c r="BI10" s="1179">
        <v>0</v>
      </c>
    </row>
    <row customHeight="1" ht="11.25" hidden="1">
      <c r="A11" s="1387"/>
      <c r="B11" s="1387"/>
      <c r="C11" s="1387"/>
      <c r="D11" s="1387"/>
      <c r="E11" s="2283"/>
      <c r="F11" s="2283"/>
      <c r="G11" s="2283"/>
      <c r="H11" s="2283"/>
      <c r="I11" s="2310"/>
      <c r="J11" s="2310"/>
      <c r="K11" s="2280"/>
      <c r="L11" s="1388"/>
      <c r="P11" s="2281"/>
      <c r="Q11" s="2281"/>
      <c r="R11" s="2371"/>
      <c r="S11" s="2366"/>
      <c r="T11" s="2385"/>
      <c r="U11" s="324"/>
      <c r="V11" s="1417"/>
      <c r="W11" s="1520"/>
      <c r="X11" s="1417"/>
      <c r="Y11" s="1520"/>
      <c r="Z11" s="1417"/>
      <c r="AA11" s="1417"/>
      <c r="AB11" s="1417"/>
      <c r="AC11" s="1417"/>
      <c r="AD11" s="2210"/>
      <c r="AE11" s="2350"/>
      <c r="AF11" s="2229"/>
      <c r="AG11" s="2387"/>
      <c r="AH11" s="2131"/>
      <c r="AI11" s="318"/>
      <c r="AJ11" s="439"/>
      <c r="AK11" s="337" t="s">
        <v>607</v>
      </c>
      <c r="AL11" s="1417"/>
      <c r="AM11" s="1417"/>
      <c r="AN11" s="1417"/>
      <c r="AO11" s="1417"/>
      <c r="AP11" s="1417"/>
      <c r="AQ11" s="1417"/>
      <c r="AR11" s="1417"/>
      <c r="AS11" s="1417"/>
      <c r="AT11" s="1417"/>
      <c r="AU11" s="1520"/>
      <c r="AV11" s="1417"/>
      <c r="AW11" s="1520"/>
      <c r="AX11" s="1417"/>
      <c r="AY11" s="1417"/>
      <c r="AZ11" s="1417"/>
      <c r="BA11" s="1417"/>
      <c r="BB11" s="1421"/>
      <c r="BC11" s="2278"/>
      <c r="BE11" s="524"/>
      <c r="BF11" s="524"/>
      <c r="BG11" s="524"/>
      <c r="BH11" s="524"/>
      <c r="BI11" s="1179">
        <v>0</v>
      </c>
    </row>
    <row customHeight="1" ht="11.25" hidden="1">
      <c r="A12" s="1387"/>
      <c r="B12" s="1387"/>
      <c r="C12" s="1387"/>
      <c r="D12" s="1387"/>
      <c r="E12" s="2283"/>
      <c r="F12" s="2283"/>
      <c r="G12" s="2283"/>
      <c r="H12" s="2283"/>
      <c r="I12" s="2310"/>
      <c r="J12" s="2310"/>
      <c r="K12" s="2280"/>
      <c r="L12" s="1388"/>
      <c r="P12" s="2281"/>
      <c r="Q12" s="2281"/>
      <c r="R12" s="2371"/>
      <c r="S12" s="2367"/>
      <c r="T12" s="2386"/>
      <c r="U12" s="324"/>
      <c r="V12" s="1417"/>
      <c r="W12" s="1418" t="str">
        <f>Z8&amp;"-"&amp;AB8</f>
        <v>-</v>
      </c>
      <c r="X12" s="1417"/>
      <c r="Y12" s="1418" t="str">
        <f>AB8&amp;"-"&amp;AD8</f>
        <v>-да</v>
      </c>
      <c r="Z12" s="1417"/>
      <c r="AA12" s="1417"/>
      <c r="AB12" s="1417"/>
      <c r="AC12" s="1417"/>
      <c r="AD12" s="2136"/>
      <c r="AE12" s="336"/>
      <c r="AF12" s="338"/>
      <c r="AG12" s="440" t="s">
        <v>589</v>
      </c>
      <c r="AH12" s="1417"/>
      <c r="AI12" s="1417"/>
      <c r="AJ12" s="1417"/>
      <c r="AK12" s="1417"/>
      <c r="AL12" s="1417"/>
      <c r="AM12" s="1417"/>
      <c r="AN12" s="1417"/>
      <c r="AO12" s="1417"/>
      <c r="AP12" s="1417"/>
      <c r="AQ12" s="1417"/>
      <c r="AR12" s="1417"/>
      <c r="AS12" s="1417"/>
      <c r="AT12" s="1417"/>
      <c r="AU12" s="1418" t="str">
        <f>AX8&amp;"-"&amp;AZ8</f>
        <v>-</v>
      </c>
      <c r="AV12" s="1417"/>
      <c r="AW12" s="1418" t="str">
        <f>AZ8&amp;"-"&amp;BB8</f>
        <v>-</v>
      </c>
      <c r="AX12" s="1417"/>
      <c r="AY12" s="1417"/>
      <c r="AZ12" s="1417"/>
      <c r="BA12" s="1417"/>
      <c r="BB12" s="1420" t="str">
        <f>BE8&amp;"-"&amp;BG8</f>
        <v>-</v>
      </c>
      <c r="BC12" s="2278"/>
      <c r="BE12" s="524"/>
      <c r="BF12" s="524" t="str">
        <f>IF(T12="","",T12)</f>
        <v/>
      </c>
      <c r="BG12" s="524"/>
      <c r="BH12" s="524"/>
      <c r="BI12" s="1179">
        <v>0</v>
      </c>
    </row>
    <row customHeight="1" ht="11.25" hidden="1">
      <c r="A13" s="1387"/>
      <c r="B13" s="1387"/>
      <c r="C13" s="1387"/>
      <c r="D13" s="1387"/>
      <c r="E13" s="2283"/>
      <c r="F13" s="2283"/>
      <c r="G13" s="2283"/>
      <c r="H13" s="2283"/>
      <c r="I13" s="2310"/>
      <c r="J13" s="2280"/>
      <c r="K13" s="1387"/>
      <c r="L13" s="1388"/>
      <c r="P13" s="2281"/>
      <c r="Q13" s="2281"/>
      <c r="R13" s="380"/>
      <c r="S13" s="1302"/>
      <c r="T13" s="311" t="s">
        <v>552</v>
      </c>
      <c r="U13" s="391"/>
      <c r="V13" s="391"/>
      <c r="W13" s="391"/>
      <c r="X13" s="391"/>
      <c r="Y13" s="391"/>
      <c r="Z13" s="391"/>
      <c r="AA13" s="391"/>
      <c r="AB13" s="391"/>
      <c r="AC13" s="391"/>
      <c r="AD13" s="1529"/>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48"/>
      <c r="BC13" s="2279"/>
      <c r="BE13" s="524"/>
      <c r="BF13" s="524" t="str">
        <f>IF(T13="","",T13)</f>
        <v>Добавить строку</v>
      </c>
      <c r="BG13" s="524"/>
      <c r="BH13" s="524"/>
      <c r="BI13" s="1179">
        <v>0</v>
      </c>
    </row>
    <row s="1666" customFormat="1" customHeight="1" ht="14.25" hidden="1">
      <c r="A14" s="1367"/>
      <c r="B14" s="1367"/>
      <c r="C14" s="1367"/>
      <c r="D14" s="1367"/>
      <c r="E14" s="2283"/>
      <c r="F14" s="2283"/>
      <c r="G14" s="2283"/>
      <c r="H14" s="2283"/>
      <c r="I14" s="2280"/>
      <c r="J14" s="1367"/>
      <c r="K14" s="1367"/>
      <c r="L14" s="1370"/>
      <c r="M14" s="534"/>
      <c r="N14" s="534"/>
      <c r="O14" s="534"/>
      <c r="P14" s="2281"/>
      <c r="Q14" s="1505"/>
      <c r="R14" s="380"/>
      <c r="S14" s="1410"/>
      <c r="T14" s="1411"/>
      <c r="U14" s="1412"/>
      <c r="V14" s="1412"/>
      <c r="W14" s="1412"/>
      <c r="X14" s="1412"/>
      <c r="Y14" s="1412"/>
      <c r="Z14" s="1412"/>
      <c r="AA14" s="1412"/>
      <c r="AB14" s="1412"/>
      <c r="AC14" s="1412"/>
      <c r="AD14" s="1412"/>
      <c r="AE14" s="1412"/>
      <c r="AF14" s="1412"/>
      <c r="AG14" s="1412"/>
      <c r="AH14" s="1412"/>
      <c r="AI14" s="1412"/>
      <c r="AJ14" s="1412"/>
      <c r="AK14" s="1412"/>
      <c r="AL14" s="1412"/>
      <c r="AM14" s="1412"/>
      <c r="AN14" s="1412"/>
      <c r="AO14" s="1412"/>
      <c r="AP14" s="1412"/>
      <c r="AQ14" s="1412"/>
      <c r="AR14" s="1412"/>
      <c r="AS14" s="1412"/>
      <c r="AT14" s="1412"/>
      <c r="AU14" s="1412"/>
      <c r="AV14" s="1412"/>
      <c r="AW14" s="1412"/>
      <c r="AX14" s="1412"/>
      <c r="AY14" s="1412"/>
      <c r="AZ14" s="1412"/>
      <c r="BA14" s="1412"/>
      <c r="BB14" s="1412"/>
      <c r="BC14" s="1413"/>
      <c r="BE14" s="524"/>
      <c r="BF14" s="524" t="str">
        <f>IF(T14="","",T14)</f>
        <v/>
      </c>
      <c r="BG14" s="524"/>
      <c r="BH14" s="524"/>
      <c r="BI14" s="535">
        <v>0</v>
      </c>
    </row>
    <row s="1666" customFormat="1" customHeight="1" ht="14.25" hidden="1">
      <c r="A15" s="1367"/>
      <c r="B15" s="1367"/>
      <c r="C15" s="1367"/>
      <c r="D15" s="1367"/>
      <c r="E15" s="2283"/>
      <c r="F15" s="2283"/>
      <c r="G15" s="2283"/>
      <c r="H15" s="2282"/>
      <c r="I15" s="1367"/>
      <c r="J15" s="1367"/>
      <c r="K15" s="1367"/>
      <c r="L15" s="1370"/>
      <c r="M15" s="1339"/>
      <c r="N15" s="1339"/>
      <c r="O15" s="542"/>
      <c r="P15" s="404"/>
      <c r="Q15" s="1368"/>
      <c r="R15" s="1425"/>
      <c r="S15" s="1410"/>
      <c r="T15" s="1411"/>
      <c r="U15" s="1412"/>
      <c r="V15" s="1412"/>
      <c r="W15" s="1412"/>
      <c r="X15" s="1412"/>
      <c r="Y15" s="1412"/>
      <c r="Z15" s="1412"/>
      <c r="AA15" s="1412"/>
      <c r="AB15" s="1412"/>
      <c r="AC15" s="1412"/>
      <c r="AD15" s="1412"/>
      <c r="AE15" s="1412"/>
      <c r="AF15" s="1412"/>
      <c r="AG15" s="1412"/>
      <c r="AH15" s="1412"/>
      <c r="AI15" s="1412"/>
      <c r="AJ15" s="1412"/>
      <c r="AK15" s="1412"/>
      <c r="AL15" s="1412"/>
      <c r="AM15" s="1412"/>
      <c r="AN15" s="1412"/>
      <c r="AO15" s="1412"/>
      <c r="AP15" s="1412"/>
      <c r="AQ15" s="1412"/>
      <c r="AR15" s="1412"/>
      <c r="AS15" s="1412"/>
      <c r="AT15" s="1412"/>
      <c r="AU15" s="1412"/>
      <c r="AV15" s="1412"/>
      <c r="AW15" s="1412"/>
      <c r="AX15" s="1412"/>
      <c r="AY15" s="1412"/>
      <c r="AZ15" s="1412"/>
      <c r="BA15" s="1412"/>
      <c r="BB15" s="1412"/>
      <c r="BC15" s="1413"/>
      <c r="BE15" s="524"/>
      <c r="BF15" s="524" t="str">
        <f>IF(T15="","",T15)</f>
        <v/>
      </c>
      <c r="BG15" s="524"/>
      <c r="BH15" s="524"/>
      <c r="BI15" s="535">
        <v>0</v>
      </c>
    </row>
    <row s="1666" customFormat="1" customHeight="1" ht="14.25" hidden="1">
      <c r="A16" s="1367"/>
      <c r="B16" s="1367"/>
      <c r="C16" s="1367"/>
      <c r="D16" s="1338"/>
      <c r="E16" s="2283"/>
      <c r="F16" s="2283"/>
      <c r="G16" s="2282"/>
      <c r="H16" s="1338"/>
      <c r="I16" s="1338"/>
      <c r="J16" s="1338"/>
      <c r="K16" s="1338"/>
      <c r="L16" s="1518"/>
      <c r="M16" s="1339"/>
      <c r="N16" s="1339"/>
      <c r="P16" s="1340"/>
      <c r="Q16" s="1341"/>
      <c r="R16" s="1340"/>
      <c r="S16" s="1346"/>
      <c r="T16" s="1349"/>
      <c r="U16" s="1348"/>
      <c r="V16" s="1348"/>
      <c r="W16" s="1348"/>
      <c r="X16" s="1348"/>
      <c r="Y16" s="1348"/>
      <c r="Z16" s="1348"/>
      <c r="AA16" s="1348"/>
      <c r="AB16" s="1348"/>
      <c r="AC16" s="1348"/>
      <c r="AD16" s="1348"/>
      <c r="AE16" s="1348"/>
      <c r="AF16" s="1348"/>
      <c r="AG16" s="1348"/>
      <c r="AH16" s="1348"/>
      <c r="AI16" s="1348"/>
      <c r="AJ16" s="1348"/>
      <c r="AK16" s="1348"/>
      <c r="AL16" s="1348"/>
      <c r="AM16" s="1348"/>
      <c r="AN16" s="1348"/>
      <c r="AO16" s="1348"/>
      <c r="AP16" s="1348"/>
      <c r="AQ16" s="1348"/>
      <c r="AR16" s="1348"/>
      <c r="AS16" s="1348"/>
      <c r="AT16" s="1348"/>
      <c r="AU16" s="1348"/>
      <c r="AV16" s="1348"/>
      <c r="AW16" s="1348"/>
      <c r="AX16" s="1348"/>
      <c r="AY16" s="1348"/>
      <c r="AZ16" s="1348"/>
      <c r="BA16" s="1348"/>
      <c r="BB16" s="1348"/>
      <c r="BC16" s="1348"/>
      <c r="BE16" s="813"/>
      <c r="BF16" s="813" t="str">
        <f>IF(T16="","",T16)</f>
        <v/>
      </c>
      <c r="BG16" s="813"/>
      <c r="BH16" s="813"/>
      <c r="BI16" s="542">
        <v>0</v>
      </c>
    </row>
    <row s="1666" customFormat="1" customHeight="1" ht="14.25" hidden="1">
      <c r="A17" s="1367"/>
      <c r="B17" s="1367"/>
      <c r="C17" s="1338"/>
      <c r="D17" s="1338"/>
      <c r="E17" s="2283"/>
      <c r="F17" s="2282"/>
      <c r="G17" s="1338"/>
      <c r="H17" s="1338"/>
      <c r="I17" s="1338"/>
      <c r="J17" s="1338"/>
      <c r="K17" s="1338"/>
      <c r="L17" s="1518"/>
      <c r="M17" s="1345"/>
      <c r="N17" s="1345"/>
      <c r="P17" s="1340"/>
      <c r="Q17" s="1341"/>
      <c r="R17" s="1340"/>
      <c r="S17" s="1346"/>
      <c r="T17" s="1349" t="s">
        <v>499</v>
      </c>
      <c r="U17" s="1348"/>
      <c r="V17" s="1348"/>
      <c r="W17" s="1348"/>
      <c r="X17" s="1348"/>
      <c r="Y17" s="1348"/>
      <c r="Z17" s="1348"/>
      <c r="AA17" s="1348"/>
      <c r="AB17" s="1348"/>
      <c r="AC17" s="1348"/>
      <c r="AD17" s="1348"/>
      <c r="AE17" s="1348"/>
      <c r="AF17" s="1348"/>
      <c r="AG17" s="1348"/>
      <c r="AH17" s="1348"/>
      <c r="AI17" s="1348"/>
      <c r="AJ17" s="1348"/>
      <c r="AK17" s="1348"/>
      <c r="AL17" s="1348"/>
      <c r="AM17" s="1348"/>
      <c r="AN17" s="1348"/>
      <c r="AO17" s="1348"/>
      <c r="AP17" s="1348"/>
      <c r="AQ17" s="1348"/>
      <c r="AR17" s="1348"/>
      <c r="AS17" s="1348"/>
      <c r="AT17" s="1348"/>
      <c r="AU17" s="1348"/>
      <c r="AV17" s="1348"/>
      <c r="AW17" s="1348"/>
      <c r="AX17" s="1348"/>
      <c r="AY17" s="1348"/>
      <c r="AZ17" s="1348"/>
      <c r="BA17" s="1348"/>
      <c r="BB17" s="1348"/>
      <c r="BC17" s="1348"/>
      <c r="BE17" s="813"/>
      <c r="BF17" s="813" t="str">
        <f>IF(T17="","",T17)</f>
        <v>Добавить централизованную систему для дифференциации</v>
      </c>
      <c r="BG17" s="813"/>
      <c r="BH17" s="813"/>
      <c r="BI17" s="542">
        <v>0</v>
      </c>
    </row>
    <row s="1666" customFormat="1" customHeight="1" ht="14.25" hidden="1">
      <c r="A18" s="1367"/>
      <c r="B18" s="1367"/>
      <c r="C18" s="1367"/>
      <c r="D18" s="1367"/>
      <c r="E18" s="2282"/>
      <c r="F18" s="1367"/>
      <c r="G18" s="1367"/>
      <c r="H18" s="1367"/>
      <c r="I18" s="1367"/>
      <c r="J18" s="1367"/>
      <c r="K18" s="1367"/>
      <c r="L18" s="1370"/>
      <c r="M18" s="1345"/>
      <c r="N18" s="1345"/>
      <c r="O18" s="542"/>
      <c r="P18" s="404"/>
      <c r="Q18" s="1368"/>
      <c r="R18" s="404"/>
      <c r="S18" s="1346"/>
      <c r="T18" s="1349" t="s">
        <v>500</v>
      </c>
      <c r="U18" s="1348"/>
      <c r="V18" s="1348"/>
      <c r="W18" s="1348"/>
      <c r="X18" s="1348"/>
      <c r="Y18" s="1348"/>
      <c r="Z18" s="1348"/>
      <c r="AA18" s="1348"/>
      <c r="AB18" s="1348"/>
      <c r="AC18" s="1348"/>
      <c r="AD18" s="1348"/>
      <c r="AE18" s="1348"/>
      <c r="AF18" s="1348"/>
      <c r="AG18" s="1348"/>
      <c r="AH18" s="1348"/>
      <c r="AI18" s="1348"/>
      <c r="AJ18" s="1348"/>
      <c r="AK18" s="1348"/>
      <c r="AL18" s="1348"/>
      <c r="AM18" s="1348"/>
      <c r="AN18" s="1348"/>
      <c r="AO18" s="1348"/>
      <c r="AP18" s="1348"/>
      <c r="AQ18" s="1348"/>
      <c r="AR18" s="1348"/>
      <c r="AS18" s="1348"/>
      <c r="AT18" s="1348"/>
      <c r="AU18" s="1348"/>
      <c r="AV18" s="1348"/>
      <c r="AW18" s="1348"/>
      <c r="AX18" s="1348"/>
      <c r="AY18" s="1348"/>
      <c r="AZ18" s="1348"/>
      <c r="BA18" s="1348"/>
      <c r="BB18" s="1348"/>
      <c r="BC18" s="1348"/>
      <c r="BE18" s="524"/>
      <c r="BF18" s="524" t="str">
        <f>IF(T18="","",T18)</f>
        <v>Добавить территорию для дифференциации</v>
      </c>
      <c r="BG18" s="524"/>
      <c r="BH18" s="524"/>
      <c r="BI18" s="535">
        <v>0</v>
      </c>
    </row>
    <row customHeight="1" ht="14.25" hidden="1">
      <c r="AC19" s="351"/>
      <c r="BA19" s="351"/>
      <c r="BI19" s="1179">
        <v>0</v>
      </c>
    </row>
    <row customHeight="1" ht="14.25" hidden="1">
      <c r="AD20" s="1348" t="s">
        <v>19</v>
      </c>
      <c r="AE20" s="1525"/>
      <c r="AF20" s="572">
        <v>1</v>
      </c>
      <c r="AG20" s="1526"/>
      <c r="AH20" s="1348" t="s">
        <v>19</v>
      </c>
      <c r="AI20" s="1525"/>
      <c r="AJ20" s="572">
        <v>1</v>
      </c>
      <c r="AK20" s="1526"/>
      <c r="AL20" s="1348" t="s">
        <v>19</v>
      </c>
      <c r="AM20" s="1527"/>
      <c r="AN20" s="572">
        <v>1</v>
      </c>
      <c r="AO20" s="1528"/>
      <c r="AP20" s="1348" t="s">
        <v>19</v>
      </c>
      <c r="AQ20" s="1527"/>
      <c r="AR20" s="572">
        <v>1</v>
      </c>
      <c r="AS20" s="1528"/>
      <c r="AT20" s="349"/>
      <c r="AU20" s="408"/>
      <c r="AV20" s="349"/>
      <c r="AW20" s="408"/>
      <c r="AX20" s="1760"/>
      <c r="AY20" s="1509" t="s">
        <v>66</v>
      </c>
      <c r="AZ20" s="1760"/>
      <c r="BA20" s="1509" t="s">
        <v>66</v>
      </c>
      <c r="BI20" s="1179">
        <v>0</v>
      </c>
    </row>
    <row customHeight="1" ht="14.25" hidden="1">
      <c r="BD21" s="520"/>
      <c r="BE21" s="520"/>
      <c r="BF21" s="520"/>
      <c r="BG21" s="520"/>
      <c r="BH21" s="520"/>
      <c r="BI21" s="1179">
        <v>0</v>
      </c>
    </row>
    <row customHeight="1" ht="14.25" hidden="1">
      <c r="O22" s="1391" t="s">
        <v>501</v>
      </c>
      <c r="Z22" s="1369"/>
      <c r="AB22" s="1369"/>
      <c r="AC22" s="351"/>
      <c r="AX22" s="1369"/>
      <c r="AZ22" s="1369"/>
      <c r="BA22" s="351"/>
      <c r="BD22" s="520"/>
      <c r="BE22" s="520"/>
      <c r="BF22" s="520"/>
      <c r="BG22" s="520"/>
      <c r="BH22" s="520"/>
      <c r="BI22" s="1179">
        <v>0</v>
      </c>
    </row>
    <row customHeight="1" ht="14.25" hidden="1">
      <c r="AC23" s="351"/>
      <c r="BA23" s="351"/>
      <c r="BD23" s="520"/>
      <c r="BE23" s="520"/>
      <c r="BF23" s="520"/>
      <c r="BG23" s="520"/>
      <c r="BH23" s="520"/>
      <c r="BI23" s="1179">
        <v>0</v>
      </c>
    </row>
    <row s="1533" customFormat="1" customHeight="1" ht="14.25" hidden="1">
      <c r="M24" s="1532"/>
      <c r="N24" s="1532"/>
      <c r="O24" s="1533" t="s">
        <v>502</v>
      </c>
      <c r="P24" s="1532"/>
      <c r="Q24" s="1534"/>
      <c r="R24" s="1534"/>
      <c r="AA24" s="1531" t="s">
        <v>504</v>
      </c>
      <c r="AC24" s="1531" t="s">
        <v>505</v>
      </c>
      <c r="AD24" s="1531" t="s">
        <v>553</v>
      </c>
      <c r="AH24" s="1531" t="s">
        <v>553</v>
      </c>
      <c r="AK24" s="1531" t="s">
        <v>590</v>
      </c>
      <c r="AL24" s="1531" t="s">
        <v>553</v>
      </c>
      <c r="AP24" s="1531" t="s">
        <v>553</v>
      </c>
      <c r="AY24" s="1531" t="s">
        <v>504</v>
      </c>
      <c r="BA24" s="1531" t="s">
        <v>505</v>
      </c>
      <c r="BD24" s="1535"/>
      <c r="BE24" s="1535"/>
      <c r="BF24" s="1535"/>
      <c r="BG24" s="1535"/>
      <c r="BH24" s="1535"/>
      <c r="BI24" s="1531">
        <v>0</v>
      </c>
    </row>
    <row customHeight="1" ht="14.25" hidden="1">
      <c r="O25" s="1388"/>
      <c r="BD25" s="520"/>
      <c r="BE25" s="520"/>
      <c r="BF25" s="520"/>
      <c r="BG25" s="520"/>
      <c r="BH25" s="520"/>
      <c r="BI25" s="1179">
        <v>0</v>
      </c>
    </row>
    <row customHeight="1" ht="14.25" hidden="1">
      <c r="O26" s="1388"/>
      <c r="BD26" s="520"/>
      <c r="BE26" s="520"/>
      <c r="BF26" s="520"/>
      <c r="BG26" s="520"/>
      <c r="BH26" s="520"/>
      <c r="BI26" s="1179">
        <v>0</v>
      </c>
    </row>
    <row customHeight="1" ht="14.699999999999998">
      <c r="Q27" s="315"/>
      <c r="R27" s="400"/>
      <c r="S27" s="1299"/>
      <c r="T27" s="387"/>
      <c r="U27" s="387"/>
      <c r="V27" s="533"/>
      <c r="W27" s="533"/>
      <c r="X27" s="533"/>
      <c r="Y27" s="533"/>
      <c r="Z27" s="533"/>
      <c r="AA27" s="533"/>
      <c r="AB27" s="533"/>
      <c r="AC27" s="533"/>
      <c r="AD27" s="533"/>
      <c r="AE27" s="533"/>
      <c r="AF27" s="533"/>
      <c r="AG27" s="533"/>
      <c r="AH27" s="533"/>
      <c r="AI27" s="533"/>
      <c r="AJ27" s="533"/>
      <c r="AK27" s="533"/>
      <c r="AL27" s="533"/>
      <c r="AM27" s="533"/>
      <c r="AN27" s="533"/>
      <c r="AO27" s="533"/>
      <c r="AP27" s="533"/>
      <c r="AQ27" s="533"/>
      <c r="AR27" s="533"/>
      <c r="AS27" s="533"/>
      <c r="AT27" s="533"/>
      <c r="AU27" s="533"/>
      <c r="AV27" s="533"/>
      <c r="AW27" s="533"/>
      <c r="AX27" s="533"/>
      <c r="AY27" s="533"/>
      <c r="AZ27" s="533"/>
      <c r="BA27" s="533"/>
      <c r="BI27" s="1179">
        <v>14</v>
      </c>
    </row>
    <row customHeight="1" ht="14.699999999999998">
      <c r="Q28" s="315"/>
      <c r="R28" s="400"/>
      <c r="S28" s="227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72"/>
      <c r="U28" s="2272"/>
      <c r="V28" s="2272"/>
      <c r="W28" s="2272"/>
      <c r="X28" s="2272"/>
      <c r="Y28" s="2272"/>
      <c r="Z28" s="2272"/>
      <c r="AA28" s="2272"/>
      <c r="AB28" s="2272"/>
      <c r="AC28" s="2272"/>
      <c r="AD28" s="2272"/>
      <c r="AE28" s="2272"/>
      <c r="AF28" s="2272"/>
      <c r="AG28" s="2272"/>
      <c r="AH28" s="2272"/>
      <c r="AI28" s="2272"/>
      <c r="AJ28" s="2272"/>
      <c r="AK28" s="2272"/>
      <c r="AL28" s="2272"/>
      <c r="AM28" s="2272"/>
      <c r="AN28" s="2272"/>
      <c r="AO28" s="2272"/>
      <c r="AP28" s="2272"/>
      <c r="AQ28" s="2272"/>
      <c r="AR28" s="2272"/>
      <c r="AS28" s="2272"/>
      <c r="AT28" s="2272"/>
      <c r="AU28" s="2272"/>
      <c r="AV28" s="2272"/>
      <c r="AW28" s="2272"/>
      <c r="AX28" s="2272"/>
      <c r="AY28" s="2272"/>
      <c r="AZ28" s="2272"/>
      <c r="BA28" s="1267"/>
      <c r="BI28" s="1179">
        <v>14</v>
      </c>
    </row>
    <row customHeight="1" ht="14.699999999999998">
      <c r="Q29" s="315"/>
      <c r="R29" s="400"/>
      <c r="S29" s="2273" t="str">
        <f>IF(org=0,"Не определено",org)</f>
        <v>АО "ДГК"</v>
      </c>
      <c r="T29" s="2273"/>
      <c r="U29" s="2273"/>
      <c r="V29" s="2273"/>
      <c r="W29" s="2273"/>
      <c r="X29" s="2273"/>
      <c r="Y29" s="2273"/>
      <c r="Z29" s="2273"/>
      <c r="AA29" s="2273"/>
      <c r="AB29" s="2273"/>
      <c r="AC29" s="2273"/>
      <c r="AD29" s="2273"/>
      <c r="AE29" s="2273"/>
      <c r="AF29" s="2273"/>
      <c r="AG29" s="2273"/>
      <c r="AH29" s="2273"/>
      <c r="AI29" s="2273"/>
      <c r="AJ29" s="2273"/>
      <c r="AK29" s="2273"/>
      <c r="AL29" s="2273"/>
      <c r="AM29" s="2273"/>
      <c r="AN29" s="2273"/>
      <c r="AO29" s="2273"/>
      <c r="AP29" s="2273"/>
      <c r="AQ29" s="2273"/>
      <c r="AR29" s="2273"/>
      <c r="AS29" s="2273"/>
      <c r="AT29" s="2273"/>
      <c r="AU29" s="2273"/>
      <c r="AV29" s="2273"/>
      <c r="AW29" s="2273"/>
      <c r="AX29" s="2273"/>
      <c r="AY29" s="2273"/>
      <c r="AZ29" s="2273"/>
      <c r="BA29" s="1267"/>
      <c r="BI29" s="1179">
        <v>14</v>
      </c>
    </row>
    <row customHeight="1" ht="14.25" hidden="1">
      <c r="Q30" s="315"/>
      <c r="R30" s="400"/>
      <c r="S30" s="1299"/>
      <c r="T30" s="387"/>
      <c r="U30" s="387"/>
      <c r="V30" s="346"/>
      <c r="W30" s="346"/>
      <c r="X30" s="346"/>
      <c r="Y30" s="346"/>
      <c r="Z30" s="346"/>
      <c r="AA30" s="346"/>
      <c r="AB30" s="346"/>
      <c r="AC30" s="346"/>
      <c r="AD30" s="346"/>
      <c r="AE30" s="346"/>
      <c r="AF30" s="346"/>
      <c r="AG30" s="346"/>
      <c r="AH30" s="346"/>
      <c r="AI30" s="346"/>
      <c r="AJ30" s="346"/>
      <c r="AK30" s="346"/>
      <c r="AL30" s="346"/>
      <c r="AM30" s="346"/>
      <c r="AN30" s="346"/>
      <c r="AO30" s="346"/>
      <c r="AP30" s="346"/>
      <c r="AQ30" s="346"/>
      <c r="AR30" s="346"/>
      <c r="AS30" s="346"/>
      <c r="AT30" s="346"/>
      <c r="AU30" s="346"/>
      <c r="AV30" s="346"/>
      <c r="AW30" s="346"/>
      <c r="AX30" s="346"/>
      <c r="AY30" s="346"/>
      <c r="AZ30" s="346"/>
      <c r="BA30" s="346"/>
      <c r="BB30" s="533"/>
      <c r="BI30" s="1179">
        <v>0</v>
      </c>
    </row>
    <row s="1877" customFormat="1" customHeight="1" ht="25.5" hidden="1">
      <c r="A31" s="1392"/>
      <c r="B31" s="1392"/>
      <c r="C31" s="1392"/>
      <c r="D31" s="1392"/>
      <c r="E31" s="1392"/>
      <c r="F31" s="1392"/>
      <c r="G31" s="1392"/>
      <c r="H31" s="1392"/>
      <c r="I31" s="1392"/>
      <c r="J31" s="1392"/>
      <c r="K31" s="1392"/>
      <c r="L31" s="1393"/>
      <c r="M31" s="1392"/>
      <c r="N31" s="1392"/>
      <c r="O31" s="1392"/>
      <c r="P31" s="1392"/>
      <c r="Q31" s="1392"/>
      <c r="S31" s="2274" t="s">
        <v>42</v>
      </c>
      <c r="T31" s="2274"/>
      <c r="U31" s="1396"/>
      <c r="V31" s="2275" t="str">
        <f>IF(TITLE_NAME_OR_PR_CHANGE="",IF(TITLE_NAME_OR_PR="","",TITLE_NAME_OR_PR),TITLE_NAME_OR_PR_CHANGE)</f>
        <v/>
      </c>
      <c r="W31" s="2275"/>
      <c r="X31" s="2275"/>
      <c r="Y31" s="2275"/>
      <c r="Z31" s="2275"/>
      <c r="AA31" s="2275"/>
      <c r="AB31" s="2275"/>
      <c r="AC31" s="350"/>
      <c r="AD31" s="2275" t="str">
        <f>IF(TITLE_NAME_OR_PR_CHANGE="",IF(TITLE_NAME_OR_PR="","",TITLE_NAME_OR_PR),TITLE_NAME_OR_PR_CHANGE)</f>
        <v/>
      </c>
      <c r="AE31" s="2275"/>
      <c r="AF31" s="2275"/>
      <c r="AG31" s="2275"/>
      <c r="AH31" s="2275"/>
      <c r="AI31" s="2275"/>
      <c r="AJ31" s="2275"/>
      <c r="AK31" s="2275"/>
      <c r="AL31" s="2275"/>
      <c r="AM31" s="2275"/>
      <c r="AN31" s="2275"/>
      <c r="AO31" s="2275"/>
      <c r="AP31" s="2275"/>
      <c r="AQ31" s="2275"/>
      <c r="AR31" s="2275"/>
      <c r="AS31" s="2275"/>
      <c r="AT31" s="2275"/>
      <c r="AU31" s="2275"/>
      <c r="AV31" s="2275"/>
      <c r="AW31" s="2275"/>
      <c r="AX31" s="2275"/>
      <c r="AY31" s="2275"/>
      <c r="AZ31" s="2275"/>
      <c r="BA31" s="350"/>
      <c r="BB31" s="350"/>
      <c r="BC31" s="304"/>
      <c r="BD31" s="392"/>
      <c r="BE31" s="392"/>
      <c r="BF31" s="392"/>
      <c r="BG31" s="392"/>
      <c r="BH31" s="392"/>
      <c r="BI31" s="442">
        <v>0</v>
      </c>
    </row>
    <row s="1877" customFormat="1" customHeight="1" ht="18.75" hidden="1">
      <c r="A32" s="1392"/>
      <c r="B32" s="1392"/>
      <c r="C32" s="1392"/>
      <c r="D32" s="1392"/>
      <c r="E32" s="1392"/>
      <c r="F32" s="1392"/>
      <c r="G32" s="1392"/>
      <c r="H32" s="1392"/>
      <c r="I32" s="1392"/>
      <c r="J32" s="1392"/>
      <c r="K32" s="1392"/>
      <c r="L32" s="1393"/>
      <c r="M32" s="1392"/>
      <c r="N32" s="1392"/>
      <c r="O32" s="1392"/>
      <c r="P32" s="1392"/>
      <c r="Q32" s="1392"/>
      <c r="S32" s="2274" t="s">
        <v>507</v>
      </c>
      <c r="T32" s="2274"/>
      <c r="U32" s="1396"/>
      <c r="V32" s="2288" t="str">
        <f>IF(TITLE_DATE_PR_CHANGE="",IF(TITLE_DATE_PR="","",TITLE_DATE_PR),TITLE_DATE_PR_CHANGE)</f>
        <v/>
      </c>
      <c r="W32" s="2288"/>
      <c r="X32" s="2288"/>
      <c r="Y32" s="2288"/>
      <c r="Z32" s="2288"/>
      <c r="AA32" s="2288"/>
      <c r="AB32" s="2288"/>
      <c r="AC32" s="350"/>
      <c r="AD32" s="2288" t="str">
        <f>IF(TITLE_DATE_PR_CHANGE="",IF(TITLE_DATE_PR="","",TITLE_DATE_PR),TITLE_DATE_PR_CHANGE)</f>
        <v/>
      </c>
      <c r="AE32" s="2288"/>
      <c r="AF32" s="2288"/>
      <c r="AG32" s="2288"/>
      <c r="AH32" s="2288"/>
      <c r="AI32" s="2288"/>
      <c r="AJ32" s="2288"/>
      <c r="AK32" s="2288"/>
      <c r="AL32" s="2288"/>
      <c r="AM32" s="2288"/>
      <c r="AN32" s="2288"/>
      <c r="AO32" s="2288"/>
      <c r="AP32" s="2288"/>
      <c r="AQ32" s="2288"/>
      <c r="AR32" s="2288"/>
      <c r="AS32" s="2288"/>
      <c r="AT32" s="2288"/>
      <c r="AU32" s="2288"/>
      <c r="AV32" s="2288"/>
      <c r="AW32" s="2288"/>
      <c r="AX32" s="2288"/>
      <c r="AY32" s="2288"/>
      <c r="AZ32" s="2288"/>
      <c r="BA32" s="350"/>
      <c r="BB32" s="350"/>
      <c r="BC32" s="304"/>
      <c r="BD32" s="392"/>
      <c r="BE32" s="392"/>
      <c r="BF32" s="392"/>
      <c r="BG32" s="392"/>
      <c r="BH32" s="392"/>
      <c r="BI32" s="442">
        <v>0</v>
      </c>
    </row>
    <row s="1877" customFormat="1" customHeight="1" ht="18.75" hidden="1">
      <c r="A33" s="1392"/>
      <c r="B33" s="1392"/>
      <c r="C33" s="1392"/>
      <c r="D33" s="1392"/>
      <c r="E33" s="1392"/>
      <c r="F33" s="1392"/>
      <c r="G33" s="1392"/>
      <c r="H33" s="1392"/>
      <c r="I33" s="1392"/>
      <c r="J33" s="1392"/>
      <c r="K33" s="1392"/>
      <c r="L33" s="1393"/>
      <c r="M33" s="1392"/>
      <c r="N33" s="1392"/>
      <c r="O33" s="1392"/>
      <c r="P33" s="1392"/>
      <c r="Q33" s="1392"/>
      <c r="S33" s="2274" t="s">
        <v>508</v>
      </c>
      <c r="T33" s="2274"/>
      <c r="U33" s="1396"/>
      <c r="V33" s="2275" t="str">
        <f>IF(TITLE_NUMBER_PR_CHANGE="",IF(TITLE_NUMBER_PR="","",TITLE_NUMBER_PR),TITLE_NUMBER_PR_CHANGE)</f>
        <v/>
      </c>
      <c r="W33" s="2275"/>
      <c r="X33" s="2275"/>
      <c r="Y33" s="2275"/>
      <c r="Z33" s="2275"/>
      <c r="AA33" s="2275"/>
      <c r="AB33" s="2275"/>
      <c r="AC33" s="350"/>
      <c r="AD33" s="2275" t="str">
        <f>IF(TITLE_NUMBER_PR_CHANGE="",IF(TITLE_NUMBER_PR="","",TITLE_NUMBER_PR),TITLE_NUMBER_PR_CHANGE)</f>
        <v/>
      </c>
      <c r="AE33" s="2275"/>
      <c r="AF33" s="2275"/>
      <c r="AG33" s="2275"/>
      <c r="AH33" s="2275"/>
      <c r="AI33" s="2275"/>
      <c r="AJ33" s="2275"/>
      <c r="AK33" s="2275"/>
      <c r="AL33" s="2275"/>
      <c r="AM33" s="2275"/>
      <c r="AN33" s="2275"/>
      <c r="AO33" s="2275"/>
      <c r="AP33" s="2275"/>
      <c r="AQ33" s="2275"/>
      <c r="AR33" s="2275"/>
      <c r="AS33" s="2275"/>
      <c r="AT33" s="2275"/>
      <c r="AU33" s="2275"/>
      <c r="AV33" s="2275"/>
      <c r="AW33" s="2275"/>
      <c r="AX33" s="2275"/>
      <c r="AY33" s="2275"/>
      <c r="AZ33" s="2275"/>
      <c r="BA33" s="350"/>
      <c r="BB33" s="350"/>
      <c r="BC33" s="304"/>
      <c r="BD33" s="392"/>
      <c r="BE33" s="392"/>
      <c r="BF33" s="392"/>
      <c r="BG33" s="392"/>
      <c r="BH33" s="392"/>
      <c r="BI33" s="442">
        <v>0</v>
      </c>
    </row>
    <row s="1877" customFormat="1" customHeight="1" ht="18.75" hidden="1">
      <c r="A34" s="1392"/>
      <c r="B34" s="1392"/>
      <c r="C34" s="1392"/>
      <c r="D34" s="1392"/>
      <c r="E34" s="1392"/>
      <c r="F34" s="1392"/>
      <c r="G34" s="1392"/>
      <c r="H34" s="1392"/>
      <c r="I34" s="1392"/>
      <c r="J34" s="1392"/>
      <c r="K34" s="1392"/>
      <c r="L34" s="1393"/>
      <c r="M34" s="1392"/>
      <c r="N34" s="1392"/>
      <c r="O34" s="1392"/>
      <c r="P34" s="1392"/>
      <c r="Q34" s="1392"/>
      <c r="S34" s="2274" t="s">
        <v>43</v>
      </c>
      <c r="T34" s="2274"/>
      <c r="U34" s="1396"/>
      <c r="V34" s="2275" t="str">
        <f>IF(TITLE_IST_PUB_CHANGE="",IF(TITLE_IST_PUB="","",TITLE_IST_PUB),TITLE_IST_PUB_CHANGE)</f>
        <v/>
      </c>
      <c r="W34" s="2275"/>
      <c r="X34" s="2275"/>
      <c r="Y34" s="2275"/>
      <c r="Z34" s="2275"/>
      <c r="AA34" s="2275"/>
      <c r="AB34" s="2275"/>
      <c r="AC34" s="350"/>
      <c r="AD34" s="2275" t="str">
        <f>IF(TITLE_IST_PUB_CHANGE="",IF(TITLE_IST_PUB="","",TITLE_IST_PUB),TITLE_IST_PUB_CHANGE)</f>
        <v/>
      </c>
      <c r="AE34" s="2275"/>
      <c r="AF34" s="2275"/>
      <c r="AG34" s="2275"/>
      <c r="AH34" s="2275"/>
      <c r="AI34" s="2275"/>
      <c r="AJ34" s="2275"/>
      <c r="AK34" s="2275"/>
      <c r="AL34" s="2275"/>
      <c r="AM34" s="2275"/>
      <c r="AN34" s="2275"/>
      <c r="AO34" s="2275"/>
      <c r="AP34" s="2275"/>
      <c r="AQ34" s="2275"/>
      <c r="AR34" s="2275"/>
      <c r="AS34" s="2275"/>
      <c r="AT34" s="2275"/>
      <c r="AU34" s="2275"/>
      <c r="AV34" s="2275"/>
      <c r="AW34" s="2275"/>
      <c r="AX34" s="2275"/>
      <c r="AY34" s="2275"/>
      <c r="AZ34" s="2275"/>
      <c r="BA34" s="350"/>
      <c r="BB34" s="350"/>
      <c r="BC34" s="304"/>
      <c r="BD34" s="392"/>
      <c r="BE34" s="392"/>
      <c r="BF34" s="392"/>
      <c r="BG34" s="392"/>
      <c r="BH34" s="392"/>
      <c r="BI34" s="442">
        <v>0</v>
      </c>
    </row>
    <row customHeight="1" ht="14.25" hidden="1">
      <c r="Q35" s="315"/>
      <c r="R35" s="400"/>
      <c r="S35" s="1299"/>
      <c r="T35" s="387"/>
      <c r="U35" s="387"/>
      <c r="V35" s="346"/>
      <c r="W35" s="346"/>
      <c r="X35" s="346"/>
      <c r="Y35" s="346"/>
      <c r="Z35" s="346"/>
      <c r="AA35" s="346"/>
      <c r="AB35" s="346"/>
      <c r="AC35" s="346"/>
      <c r="AD35" s="346"/>
      <c r="AE35" s="346"/>
      <c r="AF35" s="346"/>
      <c r="AG35" s="346"/>
      <c r="AH35" s="346"/>
      <c r="AI35" s="346"/>
      <c r="AJ35" s="346"/>
      <c r="AK35" s="346"/>
      <c r="AL35" s="346"/>
      <c r="AM35" s="346"/>
      <c r="AN35" s="346"/>
      <c r="AO35" s="346"/>
      <c r="AP35" s="346"/>
      <c r="AQ35" s="346"/>
      <c r="AR35" s="346"/>
      <c r="AS35" s="346"/>
      <c r="AT35" s="346"/>
      <c r="AU35" s="346"/>
      <c r="AV35" s="346"/>
      <c r="AW35" s="346"/>
      <c r="AX35" s="346"/>
      <c r="AY35" s="346"/>
      <c r="AZ35" s="346"/>
      <c r="BA35" s="346"/>
      <c r="BB35" s="533"/>
      <c r="BI35" s="1179">
        <v>0</v>
      </c>
    </row>
    <row s="1877" customFormat="1" customHeight="1" ht="18.75" hidden="1">
      <c r="A36" s="1392"/>
      <c r="B36" s="1392"/>
      <c r="C36" s="1392"/>
      <c r="D36" s="1392"/>
      <c r="E36" s="1392"/>
      <c r="F36" s="1392"/>
      <c r="G36" s="1392"/>
      <c r="H36" s="1392"/>
      <c r="I36" s="1392"/>
      <c r="J36" s="1392"/>
      <c r="K36" s="1392"/>
      <c r="L36" s="1393"/>
      <c r="M36" s="1392"/>
      <c r="N36" s="1392"/>
      <c r="O36" s="1392"/>
      <c r="P36" s="1392"/>
      <c r="Q36" s="1392"/>
      <c r="S36" s="2274" t="s">
        <v>507</v>
      </c>
      <c r="T36" s="2274"/>
      <c r="U36" s="1396"/>
      <c r="V36" s="2288" t="str">
        <f>IF(TITLE_DATE_PR_CHANGE="",IF(TITLE_DATE_PR="","",TITLE_DATE_PR),TITLE_DATE_PR_CHANGE)</f>
        <v/>
      </c>
      <c r="W36" s="2288"/>
      <c r="X36" s="2288"/>
      <c r="Y36" s="2288"/>
      <c r="Z36" s="2288"/>
      <c r="AA36" s="2288"/>
      <c r="AB36" s="2288"/>
      <c r="AC36" s="350"/>
      <c r="AD36" s="2288" t="str">
        <f>IF(TITLE_DATE_PR_CHANGE="",IF(TITLE_DATE_PR="","",TITLE_DATE_PR),TITLE_DATE_PR_CHANGE)</f>
        <v/>
      </c>
      <c r="AE36" s="2288"/>
      <c r="AF36" s="2288"/>
      <c r="AG36" s="2288"/>
      <c r="AH36" s="2288"/>
      <c r="AI36" s="2288"/>
      <c r="AJ36" s="2288"/>
      <c r="AK36" s="2288"/>
      <c r="AL36" s="2288"/>
      <c r="AM36" s="2288"/>
      <c r="AN36" s="2288"/>
      <c r="AO36" s="2288"/>
      <c r="AP36" s="2288"/>
      <c r="AQ36" s="2288"/>
      <c r="AR36" s="2288"/>
      <c r="AS36" s="2288"/>
      <c r="AT36" s="2288"/>
      <c r="AU36" s="2288"/>
      <c r="AV36" s="2288"/>
      <c r="AW36" s="2288"/>
      <c r="AX36" s="2288"/>
      <c r="AY36" s="2288"/>
      <c r="AZ36" s="2288"/>
      <c r="BA36" s="350"/>
      <c r="BB36" s="350"/>
      <c r="BC36" s="304"/>
      <c r="BD36" s="392"/>
      <c r="BE36" s="392"/>
      <c r="BF36" s="392"/>
      <c r="BG36" s="392"/>
      <c r="BH36" s="392"/>
      <c r="BI36" s="442">
        <v>0</v>
      </c>
    </row>
    <row s="1877" customFormat="1" customHeight="1" ht="18.75" hidden="1">
      <c r="A37" s="1392"/>
      <c r="B37" s="1392"/>
      <c r="C37" s="1392"/>
      <c r="D37" s="1392"/>
      <c r="E37" s="1392"/>
      <c r="F37" s="1392"/>
      <c r="G37" s="1392"/>
      <c r="H37" s="1392"/>
      <c r="I37" s="1392"/>
      <c r="J37" s="1392"/>
      <c r="K37" s="1392"/>
      <c r="L37" s="1393"/>
      <c r="M37" s="1392"/>
      <c r="N37" s="1392"/>
      <c r="O37" s="1392"/>
      <c r="P37" s="1392"/>
      <c r="Q37" s="1392"/>
      <c r="S37" s="2274" t="s">
        <v>508</v>
      </c>
      <c r="T37" s="2274"/>
      <c r="U37" s="1396"/>
      <c r="V37" s="2275" t="str">
        <f>IF(TITLE_NUMBER_PR_CHANGE="",IF(TITLE_NUMBER_PR="","",TITLE_NUMBER_PR),TITLE_NUMBER_PR_CHANGE)</f>
        <v/>
      </c>
      <c r="W37" s="2275"/>
      <c r="X37" s="2275"/>
      <c r="Y37" s="2275"/>
      <c r="Z37" s="2275"/>
      <c r="AA37" s="2275"/>
      <c r="AB37" s="2275"/>
      <c r="AC37" s="350"/>
      <c r="AD37" s="2275" t="str">
        <f>IF(TITLE_NUMBER_PR_CHANGE="",IF(TITLE_NUMBER_PR="","",TITLE_NUMBER_PR),TITLE_NUMBER_PR_CHANGE)</f>
        <v/>
      </c>
      <c r="AE37" s="2275"/>
      <c r="AF37" s="2275"/>
      <c r="AG37" s="2275"/>
      <c r="AH37" s="2275"/>
      <c r="AI37" s="2275"/>
      <c r="AJ37" s="2275"/>
      <c r="AK37" s="2275"/>
      <c r="AL37" s="2275"/>
      <c r="AM37" s="2275"/>
      <c r="AN37" s="2275"/>
      <c r="AO37" s="2275"/>
      <c r="AP37" s="2275"/>
      <c r="AQ37" s="2275"/>
      <c r="AR37" s="2275"/>
      <c r="AS37" s="2275"/>
      <c r="AT37" s="2275"/>
      <c r="AU37" s="2275"/>
      <c r="AV37" s="2275"/>
      <c r="AW37" s="2275"/>
      <c r="AX37" s="2275"/>
      <c r="AY37" s="2275"/>
      <c r="AZ37" s="2275"/>
      <c r="BA37" s="350"/>
      <c r="BB37" s="350"/>
      <c r="BC37" s="304"/>
      <c r="BD37" s="392"/>
      <c r="BE37" s="392"/>
      <c r="BF37" s="392"/>
      <c r="BG37" s="392"/>
      <c r="BH37" s="392"/>
      <c r="BI37" s="442">
        <v>0</v>
      </c>
    </row>
    <row s="1877" customFormat="1" customHeight="1" ht="0">
      <c r="A38" s="1392"/>
      <c r="B38" s="1392"/>
      <c r="C38" s="1392"/>
      <c r="D38" s="1392"/>
      <c r="E38" s="1392"/>
      <c r="F38" s="1392"/>
      <c r="G38" s="1392"/>
      <c r="H38" s="1392"/>
      <c r="I38" s="1392"/>
      <c r="J38" s="1392"/>
      <c r="K38" s="1392"/>
      <c r="L38" s="1393"/>
      <c r="M38" s="1392"/>
      <c r="N38" s="1392"/>
      <c r="O38" s="1392"/>
      <c r="P38" s="1392"/>
      <c r="Q38" s="1392"/>
      <c r="S38" s="347"/>
      <c r="T38" s="347"/>
      <c r="U38" s="1512"/>
      <c r="V38" s="350"/>
      <c r="W38" s="350"/>
      <c r="X38" s="350"/>
      <c r="Y38" s="350"/>
      <c r="Z38" s="350"/>
      <c r="AA38" s="350"/>
      <c r="AB38" s="350"/>
      <c r="AC38" s="302" t="s">
        <v>511</v>
      </c>
      <c r="AD38" s="350"/>
      <c r="AE38" s="350"/>
      <c r="AF38" s="350"/>
      <c r="AG38" s="350"/>
      <c r="AH38" s="350"/>
      <c r="AI38" s="350"/>
      <c r="AJ38" s="350"/>
      <c r="AK38" s="350"/>
      <c r="AL38" s="350"/>
      <c r="AM38" s="350"/>
      <c r="AN38" s="350"/>
      <c r="AO38" s="350"/>
      <c r="AP38" s="350"/>
      <c r="AQ38" s="350"/>
      <c r="AR38" s="350"/>
      <c r="AS38" s="350"/>
      <c r="AT38" s="350"/>
      <c r="AU38" s="350"/>
      <c r="AV38" s="350"/>
      <c r="AW38" s="350"/>
      <c r="AX38" s="350"/>
      <c r="AY38" s="350"/>
      <c r="AZ38" s="350"/>
      <c r="BA38" s="302" t="s">
        <v>511</v>
      </c>
      <c r="BD38" s="392"/>
      <c r="BE38" s="392"/>
      <c r="BF38" s="392"/>
      <c r="BG38" s="392"/>
      <c r="BH38" s="392"/>
      <c r="BI38" s="442">
        <v>0</v>
      </c>
    </row>
    <row customHeight="1" ht="14.699999999999998">
      <c r="Q39" s="315"/>
      <c r="R39" s="400"/>
      <c r="S39" s="1299"/>
      <c r="T39" s="387"/>
      <c r="U39" s="1268"/>
      <c r="V39" s="2276"/>
      <c r="W39" s="2276"/>
      <c r="X39" s="2276"/>
      <c r="Y39" s="2276"/>
      <c r="Z39" s="2276"/>
      <c r="AA39" s="2276"/>
      <c r="AB39" s="2276"/>
      <c r="AC39" s="2276"/>
      <c r="AD39" s="2276"/>
      <c r="AE39" s="2276"/>
      <c r="AF39" s="2276"/>
      <c r="AG39" s="2276"/>
      <c r="AH39" s="2276"/>
      <c r="AI39" s="2276"/>
      <c r="AJ39" s="2276"/>
      <c r="AK39" s="2276"/>
      <c r="AL39" s="2276"/>
      <c r="AM39" s="2276"/>
      <c r="AN39" s="2276"/>
      <c r="AO39" s="2276"/>
      <c r="AP39" s="2276"/>
      <c r="AQ39" s="2276"/>
      <c r="AR39" s="2276"/>
      <c r="AS39" s="2276"/>
      <c r="AT39" s="2276"/>
      <c r="AU39" s="2276"/>
      <c r="AV39" s="2276"/>
      <c r="AW39" s="2276"/>
      <c r="AX39" s="2276"/>
      <c r="AY39" s="2276"/>
      <c r="AZ39" s="2276"/>
      <c r="BA39" s="2276"/>
      <c r="BI39" s="1179">
        <v>14</v>
      </c>
    </row>
    <row customHeight="1" ht="14.699999999999998">
      <c r="Q40" s="315"/>
      <c r="R40" s="400"/>
      <c r="S40" s="2151" t="s">
        <v>384</v>
      </c>
      <c r="T40" s="2151"/>
      <c r="U40" s="2151"/>
      <c r="V40" s="2151"/>
      <c r="W40" s="2151"/>
      <c r="X40" s="2151"/>
      <c r="Y40" s="2151"/>
      <c r="Z40" s="2151"/>
      <c r="AA40" s="2151"/>
      <c r="AB40" s="2151"/>
      <c r="AC40" s="2151"/>
      <c r="AD40" s="2151"/>
      <c r="AE40" s="2151"/>
      <c r="AF40" s="2151"/>
      <c r="AG40" s="2151"/>
      <c r="AH40" s="2151"/>
      <c r="AI40" s="2151"/>
      <c r="AJ40" s="2151"/>
      <c r="AK40" s="2151"/>
      <c r="AL40" s="2151"/>
      <c r="AM40" s="2151"/>
      <c r="AN40" s="2151"/>
      <c r="AO40" s="2151"/>
      <c r="AP40" s="2151"/>
      <c r="AQ40" s="2151"/>
      <c r="AR40" s="2151"/>
      <c r="AS40" s="2151"/>
      <c r="AT40" s="2151"/>
      <c r="AU40" s="2151"/>
      <c r="AV40" s="2151"/>
      <c r="AW40" s="2151"/>
      <c r="AX40" s="2151"/>
      <c r="AY40" s="2151"/>
      <c r="AZ40" s="2151"/>
      <c r="BA40" s="2151"/>
      <c r="BB40" s="2151"/>
      <c r="BC40" s="2151" t="s">
        <v>385</v>
      </c>
      <c r="BI40" s="1179">
        <v>14</v>
      </c>
    </row>
    <row customHeight="1" ht="14.699999999999998">
      <c r="Q41" s="315"/>
      <c r="R41" s="400"/>
      <c r="S41" s="2297" t="s">
        <v>88</v>
      </c>
      <c r="T41" s="2233" t="s">
        <v>591</v>
      </c>
      <c r="U41" s="325"/>
      <c r="V41" s="2298" t="s">
        <v>513</v>
      </c>
      <c r="W41" s="2299"/>
      <c r="X41" s="2299"/>
      <c r="Y41" s="2299"/>
      <c r="Z41" s="2299"/>
      <c r="AA41" s="2299"/>
      <c r="AB41" s="2300"/>
      <c r="AC41" s="2301" t="s">
        <v>514</v>
      </c>
      <c r="AD41" s="2352" t="s">
        <v>608</v>
      </c>
      <c r="AE41" s="2315"/>
      <c r="AF41" s="2315"/>
      <c r="AG41" s="2353"/>
      <c r="AH41" s="2352" t="s">
        <v>609</v>
      </c>
      <c r="AI41" s="2315"/>
      <c r="AJ41" s="2315"/>
      <c r="AK41" s="2353"/>
      <c r="AL41" s="2352" t="s">
        <v>610</v>
      </c>
      <c r="AM41" s="2315"/>
      <c r="AN41" s="2315"/>
      <c r="AO41" s="2353"/>
      <c r="AP41" s="2352" t="s">
        <v>595</v>
      </c>
      <c r="AQ41" s="2315"/>
      <c r="AR41" s="2315"/>
      <c r="AS41" s="2353"/>
      <c r="AT41" s="2298" t="s">
        <v>513</v>
      </c>
      <c r="AU41" s="2299"/>
      <c r="AV41" s="2299"/>
      <c r="AW41" s="2299"/>
      <c r="AX41" s="2299"/>
      <c r="AY41" s="2299"/>
      <c r="AZ41" s="2300"/>
      <c r="BA41" s="2301" t="s">
        <v>514</v>
      </c>
      <c r="BB41" s="2304" t="s">
        <v>516</v>
      </c>
      <c r="BC41" s="2151"/>
      <c r="BI41" s="1179">
        <v>14</v>
      </c>
    </row>
    <row customHeight="1" ht="35.699999999999996">
      <c r="Q42" s="315"/>
      <c r="R42" s="400"/>
      <c r="S42" s="2297"/>
      <c r="T42" s="2233"/>
      <c r="U42" s="1055"/>
      <c r="V42" s="2216" t="s">
        <v>596</v>
      </c>
      <c r="W42" s="2217"/>
      <c r="X42" s="2216" t="s">
        <v>597</v>
      </c>
      <c r="Y42" s="2217"/>
      <c r="Z42" s="2318" t="s">
        <v>598</v>
      </c>
      <c r="AA42" s="2337"/>
      <c r="AB42" s="2338"/>
      <c r="AC42" s="2302"/>
      <c r="AD42" s="2354"/>
      <c r="AE42" s="2355"/>
      <c r="AF42" s="2355"/>
      <c r="AG42" s="2356"/>
      <c r="AH42" s="2354"/>
      <c r="AI42" s="2355"/>
      <c r="AJ42" s="2355"/>
      <c r="AK42" s="2356"/>
      <c r="AL42" s="2354"/>
      <c r="AM42" s="2355"/>
      <c r="AN42" s="2355"/>
      <c r="AO42" s="2356"/>
      <c r="AP42" s="2354"/>
      <c r="AQ42" s="2355"/>
      <c r="AR42" s="2355"/>
      <c r="AS42" s="2356"/>
      <c r="AT42" s="2216" t="s">
        <v>611</v>
      </c>
      <c r="AU42" s="2217"/>
      <c r="AV42" s="2216" t="s">
        <v>612</v>
      </c>
      <c r="AW42" s="2217"/>
      <c r="AX42" s="2318" t="s">
        <v>598</v>
      </c>
      <c r="AY42" s="2337"/>
      <c r="AZ42" s="2338"/>
      <c r="BA42" s="2302"/>
      <c r="BB42" s="2305"/>
      <c r="BC42" s="2151"/>
      <c r="BI42" s="1179">
        <v>34</v>
      </c>
    </row>
    <row customHeight="1" ht="14.699999999999998">
      <c r="Q43" s="315"/>
      <c r="R43" s="400"/>
      <c r="S43" s="2297"/>
      <c r="T43" s="2233"/>
      <c r="U43" s="1055"/>
      <c r="V43" s="2224"/>
      <c r="W43" s="2225"/>
      <c r="X43" s="2224"/>
      <c r="Y43" s="2225"/>
      <c r="Z43" s="2319"/>
      <c r="AA43" s="2339"/>
      <c r="AB43" s="2340"/>
      <c r="AC43" s="2302"/>
      <c r="AD43" s="2354"/>
      <c r="AE43" s="2355"/>
      <c r="AF43" s="2355"/>
      <c r="AG43" s="2356"/>
      <c r="AH43" s="2354"/>
      <c r="AI43" s="2355"/>
      <c r="AJ43" s="2355"/>
      <c r="AK43" s="2356"/>
      <c r="AL43" s="2354"/>
      <c r="AM43" s="2355"/>
      <c r="AN43" s="2355"/>
      <c r="AO43" s="2356"/>
      <c r="AP43" s="2354"/>
      <c r="AQ43" s="2355"/>
      <c r="AR43" s="2355"/>
      <c r="AS43" s="2356"/>
      <c r="AT43" s="2224"/>
      <c r="AU43" s="2225"/>
      <c r="AV43" s="2224"/>
      <c r="AW43" s="2225"/>
      <c r="AX43" s="2319"/>
      <c r="AY43" s="2339"/>
      <c r="AZ43" s="2340"/>
      <c r="BA43" s="2302"/>
      <c r="BB43" s="2305"/>
      <c r="BC43" s="2151"/>
      <c r="BI43" s="1179">
        <v>14</v>
      </c>
    </row>
    <row customHeight="1" ht="14.699999999999998">
      <c r="A44" s="1394"/>
      <c r="B44" s="1394" t="s">
        <v>223</v>
      </c>
      <c r="C44" s="1394" t="s">
        <v>224</v>
      </c>
      <c r="D44" s="1394" t="s">
        <v>225</v>
      </c>
      <c r="E44" s="1388" t="s">
        <v>521</v>
      </c>
      <c r="F44" s="1388" t="s">
        <v>522</v>
      </c>
      <c r="G44" s="1388" t="s">
        <v>523</v>
      </c>
      <c r="H44" s="1388" t="s">
        <v>524</v>
      </c>
      <c r="I44" s="1388" t="s">
        <v>525</v>
      </c>
      <c r="J44" s="1388" t="s">
        <v>526</v>
      </c>
      <c r="K44" s="1388" t="s">
        <v>527</v>
      </c>
      <c r="L44" s="1388" t="s">
        <v>502</v>
      </c>
      <c r="Q44" s="315"/>
      <c r="R44" s="400"/>
      <c r="S44" s="2297"/>
      <c r="T44" s="2233"/>
      <c r="U44" s="326"/>
      <c r="V44" s="1503" t="s">
        <v>562</v>
      </c>
      <c r="W44" s="1503" t="s">
        <v>563</v>
      </c>
      <c r="X44" s="1503" t="s">
        <v>562</v>
      </c>
      <c r="Y44" s="1503" t="s">
        <v>563</v>
      </c>
      <c r="Z44" s="1513" t="s">
        <v>530</v>
      </c>
      <c r="AA44" s="2294" t="s">
        <v>531</v>
      </c>
      <c r="AB44" s="2295"/>
      <c r="AC44" s="2303"/>
      <c r="AD44" s="2357"/>
      <c r="AE44" s="2358"/>
      <c r="AF44" s="2358"/>
      <c r="AG44" s="2359"/>
      <c r="AH44" s="2357"/>
      <c r="AI44" s="2358"/>
      <c r="AJ44" s="2358"/>
      <c r="AK44" s="2359"/>
      <c r="AL44" s="2357"/>
      <c r="AM44" s="2358"/>
      <c r="AN44" s="2358"/>
      <c r="AO44" s="2359"/>
      <c r="AP44" s="2357"/>
      <c r="AQ44" s="2358"/>
      <c r="AR44" s="2358"/>
      <c r="AS44" s="2359"/>
      <c r="AT44" s="1503" t="s">
        <v>562</v>
      </c>
      <c r="AU44" s="1503" t="s">
        <v>563</v>
      </c>
      <c r="AV44" s="1503" t="s">
        <v>562</v>
      </c>
      <c r="AW44" s="1503" t="s">
        <v>563</v>
      </c>
      <c r="AX44" s="1513" t="s">
        <v>530</v>
      </c>
      <c r="AY44" s="2294" t="s">
        <v>531</v>
      </c>
      <c r="AZ44" s="2295"/>
      <c r="BA44" s="2303"/>
      <c r="BB44" s="2306"/>
      <c r="BC44" s="2151"/>
      <c r="BI44" s="1179">
        <v>14</v>
      </c>
    </row>
    <row s="1665" customFormat="1" customHeight="1" ht="11.25" hidden="1">
      <c r="A45" s="1394"/>
      <c r="B45" s="1394"/>
      <c r="C45" s="1394"/>
      <c r="D45" s="1394"/>
      <c r="E45" s="1394"/>
      <c r="F45" s="1394"/>
      <c r="G45" s="1394"/>
      <c r="H45" s="1394"/>
      <c r="I45" s="1394"/>
      <c r="J45" s="1394"/>
      <c r="K45" s="1394"/>
      <c r="L45" s="1388"/>
      <c r="M45" s="1386"/>
      <c r="N45" s="1386"/>
      <c r="O45" s="1386"/>
      <c r="P45" s="534"/>
      <c r="Q45" s="1278"/>
      <c r="R45" s="1278">
        <v>1</v>
      </c>
      <c r="S45" s="1301" t="s">
        <v>170</v>
      </c>
      <c r="T45" s="1279" t="s">
        <v>103</v>
      </c>
      <c r="U45" s="1269" t="str">
        <f>OFFSET(U45,0,-1)</f>
        <v>2</v>
      </c>
      <c r="V45" s="1506">
        <f>OFFSET(V45,0,-1)+1</f>
        <v>3</v>
      </c>
      <c r="W45" s="1506">
        <f>OFFSET(W45,0,-1)+1</f>
        <v>4</v>
      </c>
      <c r="X45" s="1506">
        <f>OFFSET(X45,0,-1)+1</f>
        <v>5</v>
      </c>
      <c r="Y45" s="1506">
        <f>OFFSET(Y45,0,-1)+1</f>
        <v>6</v>
      </c>
      <c r="Z45" s="1506">
        <f>OFFSET(Z45,0,-1)+1</f>
        <v>7</v>
      </c>
      <c r="AA45" s="2296">
        <f>OFFSET(AA45,0,-1)+1</f>
        <v>8</v>
      </c>
      <c r="AB45" s="2296"/>
      <c r="AC45" s="1506">
        <f>OFFSET(AC45,0,-2)+1</f>
        <v>9</v>
      </c>
      <c r="AD45" s="1506">
        <f>OFFSET(AD45,0,-1)+1</f>
        <v>10</v>
      </c>
      <c r="AE45" s="1506"/>
      <c r="AF45" s="1506"/>
      <c r="AG45" s="1506"/>
      <c r="AH45" s="1506"/>
      <c r="AI45" s="1506"/>
      <c r="AJ45" s="1506"/>
      <c r="AK45" s="1506"/>
      <c r="AL45" s="1506"/>
      <c r="AM45" s="1506"/>
      <c r="AN45" s="1506"/>
      <c r="AO45" s="1506"/>
      <c r="AP45" s="1506"/>
      <c r="AQ45" s="1506"/>
      <c r="AR45" s="1506"/>
      <c r="AS45" s="1506"/>
      <c r="AT45" s="1506"/>
      <c r="AU45" s="1506"/>
      <c r="AV45" s="1506"/>
      <c r="AW45" s="1506">
        <f>OFFSET(AW45,0,-1)+1</f>
        <v>1</v>
      </c>
      <c r="AX45" s="1506">
        <f>OFFSET(AX45,0,-1)+1</f>
        <v>2</v>
      </c>
      <c r="AY45" s="2296">
        <f>OFFSET(AY45,0,-1)+1</f>
        <v>3</v>
      </c>
      <c r="AZ45" s="2296"/>
      <c r="BA45" s="1506">
        <f>OFFSET(BA45,0,-2)+1</f>
        <v>4</v>
      </c>
      <c r="BB45" s="1269">
        <f>OFFSET(BB45,0,-1)</f>
        <v>4</v>
      </c>
      <c r="BC45" s="1506">
        <f>OFFSET(BC45,0,-1)+1</f>
        <v>5</v>
      </c>
      <c r="BD45" s="535"/>
      <c r="BE45" s="535"/>
      <c r="BF45" s="535"/>
      <c r="BG45" s="535"/>
      <c r="BH45" s="535"/>
      <c r="BI45" s="520">
        <v>0</v>
      </c>
    </row>
    <row customHeight="1" ht="22.049999999999997">
      <c r="A46" s="1387" t="s">
        <v>360</v>
      </c>
      <c r="B46" s="1387"/>
      <c r="C46" s="1387"/>
      <c r="D46" s="1387"/>
      <c r="E46" s="2282">
        <v>1</v>
      </c>
      <c r="F46" s="1387"/>
      <c r="G46" s="1387"/>
      <c r="H46" s="1387"/>
      <c r="I46" s="1387"/>
      <c r="J46" s="1387"/>
      <c r="K46" s="1387"/>
      <c r="L46" s="1388"/>
      <c r="M46" s="1389"/>
      <c r="N46" s="1389"/>
      <c r="O46" s="1389"/>
      <c r="P46" s="1433"/>
      <c r="Q46" s="897"/>
      <c r="R46" s="379"/>
      <c r="S46" s="1517">
        <f>INDEX(PT_DIFFERENTIATION_NUM_NTAR,MATCH(A46,PT_DIFFERENTIATION_NTAR_ID,0))</f>
        <v>0</v>
      </c>
      <c r="T46" s="322" t="s">
        <v>211</v>
      </c>
      <c r="U46" s="324"/>
      <c r="V46" s="2267"/>
      <c r="W46" s="2267"/>
      <c r="X46" s="2267"/>
      <c r="Y46" s="2267"/>
      <c r="Z46" s="2267"/>
      <c r="AA46" s="2267"/>
      <c r="AB46" s="2267"/>
      <c r="AC46" s="2268"/>
      <c r="AD46" s="2266" t="str">
        <f>INDEX(PT_DIFFERENTIATION_NTAR,MATCH(A46,PT_DIFFERENTIATION_NTAR_ID,0))</f>
        <v/>
      </c>
      <c r="AE46" s="2267"/>
      <c r="AF46" s="2267"/>
      <c r="AG46" s="2267"/>
      <c r="AH46" s="2267"/>
      <c r="AI46" s="2267"/>
      <c r="AJ46" s="2267"/>
      <c r="AK46" s="2267"/>
      <c r="AL46" s="2267"/>
      <c r="AM46" s="2267"/>
      <c r="AN46" s="2267"/>
      <c r="AO46" s="2267"/>
      <c r="AP46" s="2267"/>
      <c r="AQ46" s="2267"/>
      <c r="AR46" s="2267"/>
      <c r="AS46" s="2267"/>
      <c r="AT46" s="2267"/>
      <c r="AU46" s="2267"/>
      <c r="AV46" s="2267"/>
      <c r="AW46" s="2267"/>
      <c r="AX46" s="2267"/>
      <c r="AY46" s="2267"/>
      <c r="AZ46" s="2267"/>
      <c r="BA46" s="2267"/>
      <c r="BB46" s="2268"/>
      <c r="BC46"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24"/>
      <c r="BF46" s="524" t="str">
        <f>IF(T46="","",T46)</f>
        <v>Наименование тарифа</v>
      </c>
      <c r="BG46" s="524"/>
      <c r="BH46" s="524"/>
      <c r="BI46" s="1179">
        <v>21</v>
      </c>
    </row>
    <row customHeight="1" ht="22.049999999999997">
      <c r="A47" s="1387" t="s">
        <v>360</v>
      </c>
      <c r="B47" s="1387" t="s">
        <v>361</v>
      </c>
      <c r="C47" s="1387"/>
      <c r="D47" s="1387"/>
      <c r="E47" s="2283"/>
      <c r="F47" s="2282">
        <v>1</v>
      </c>
      <c r="G47" s="1387"/>
      <c r="H47" s="1387"/>
      <c r="I47" s="1387"/>
      <c r="J47" s="1387"/>
      <c r="K47" s="1387"/>
      <c r="L47" s="1388"/>
      <c r="M47" s="1389"/>
      <c r="N47" s="1389"/>
      <c r="O47" s="1389"/>
      <c r="P47" s="1434"/>
      <c r="Q47" s="1435"/>
      <c r="R47" s="377"/>
      <c r="S47" s="1517" t="str">
        <f>INDEX(PT_DIFFERENTIATION_NUM_TER,MATCH(B47,PT_DIFFERENTIATION_TER_ID,0))</f>
        <v>.</v>
      </c>
      <c r="T47" s="332" t="s">
        <v>481</v>
      </c>
      <c r="U47" s="324"/>
      <c r="V47" s="2267"/>
      <c r="W47" s="2267"/>
      <c r="X47" s="2267"/>
      <c r="Y47" s="2267"/>
      <c r="Z47" s="2267"/>
      <c r="AA47" s="2267"/>
      <c r="AB47" s="2267"/>
      <c r="AC47" s="2268"/>
      <c r="AD47" s="2266" t="str">
        <f>INDEX(PT_DIFFERENTIATION_TER,MATCH(B47,PT_DIFFERENTIATION_TER_ID,0))</f>
        <v/>
      </c>
      <c r="AE47" s="2267"/>
      <c r="AF47" s="2267"/>
      <c r="AG47" s="2267"/>
      <c r="AH47" s="2267"/>
      <c r="AI47" s="2267"/>
      <c r="AJ47" s="2267"/>
      <c r="AK47" s="2267"/>
      <c r="AL47" s="2267"/>
      <c r="AM47" s="2267"/>
      <c r="AN47" s="2267"/>
      <c r="AO47" s="2267"/>
      <c r="AP47" s="2267"/>
      <c r="AQ47" s="2267"/>
      <c r="AR47" s="2267"/>
      <c r="AS47" s="2267"/>
      <c r="AT47" s="2267"/>
      <c r="AU47" s="2267"/>
      <c r="AV47" s="2267"/>
      <c r="AW47" s="2267"/>
      <c r="AX47" s="2267"/>
      <c r="AY47" s="2267"/>
      <c r="AZ47" s="2267"/>
      <c r="BA47" s="2267"/>
      <c r="BB47" s="2268"/>
      <c r="BC47" s="1282" t="s">
        <v>482</v>
      </c>
      <c r="BE47" s="524"/>
      <c r="BF47" s="524" t="str">
        <f>IF(T47="","",T47)</f>
        <v>Территория действия тарифа</v>
      </c>
      <c r="BG47" s="524"/>
      <c r="BH47" s="524"/>
      <c r="BI47" s="1179">
        <v>21</v>
      </c>
    </row>
    <row customHeight="1" ht="35.699999999999996">
      <c r="A48" s="1387" t="s">
        <v>360</v>
      </c>
      <c r="B48" s="1387" t="s">
        <v>361</v>
      </c>
      <c r="C48" s="1387" t="s">
        <v>362</v>
      </c>
      <c r="D48" s="1387"/>
      <c r="E48" s="2283"/>
      <c r="F48" s="2283"/>
      <c r="G48" s="2282">
        <v>1</v>
      </c>
      <c r="H48" s="1387"/>
      <c r="I48" s="1387"/>
      <c r="J48" s="1387"/>
      <c r="K48" s="1387"/>
      <c r="L48" s="1388"/>
      <c r="M48" s="1389"/>
      <c r="N48" s="1389"/>
      <c r="O48" s="1389"/>
      <c r="P48" s="1436"/>
      <c r="Q48" s="1435"/>
      <c r="R48" s="377"/>
      <c r="S48" s="1517" t="str">
        <f>INDEX(PT_DIFFERENTIATION_NUM_CS,MATCH(C48,PT_DIFFERENTIATION_CS_ID,0))</f>
        <v>..</v>
      </c>
      <c r="T48" s="333" t="s">
        <v>600</v>
      </c>
      <c r="U48" s="324"/>
      <c r="V48" s="2267"/>
      <c r="W48" s="2267"/>
      <c r="X48" s="2267"/>
      <c r="Y48" s="2267"/>
      <c r="Z48" s="2267"/>
      <c r="AA48" s="2267"/>
      <c r="AB48" s="2267"/>
      <c r="AC48" s="2268"/>
      <c r="AD48" s="2266" t="str">
        <f>INDEX(PT_DIFFERENTIATION_CS,MATCH(C48,PT_DIFFERENTIATION_CS_ID,0))</f>
        <v/>
      </c>
      <c r="AE48" s="2267"/>
      <c r="AF48" s="2267"/>
      <c r="AG48" s="2267"/>
      <c r="AH48" s="2267"/>
      <c r="AI48" s="2267"/>
      <c r="AJ48" s="2267"/>
      <c r="AK48" s="2267"/>
      <c r="AL48" s="2267"/>
      <c r="AM48" s="2267"/>
      <c r="AN48" s="2267"/>
      <c r="AO48" s="2267"/>
      <c r="AP48" s="2267"/>
      <c r="AQ48" s="2267"/>
      <c r="AR48" s="2267"/>
      <c r="AS48" s="2267"/>
      <c r="AT48" s="2267"/>
      <c r="AU48" s="2267"/>
      <c r="AV48" s="2267"/>
      <c r="AW48" s="2267"/>
      <c r="AX48" s="2267"/>
      <c r="AY48" s="2267"/>
      <c r="AZ48" s="2267"/>
      <c r="BA48" s="2267"/>
      <c r="BB48" s="2268"/>
      <c r="BC48" s="1282" t="s">
        <v>601</v>
      </c>
      <c r="BE48" s="524"/>
      <c r="BF48" s="524" t="str">
        <f>IF(T48="","",T48)</f>
        <v>Наименование централизованной системы водоотведения</v>
      </c>
      <c r="BG48" s="524"/>
      <c r="BH48" s="524"/>
      <c r="BI48" s="1179">
        <v>34</v>
      </c>
    </row>
    <row s="1666" customFormat="1" customHeight="1" ht="0">
      <c r="A49" s="1367" t="s">
        <v>360</v>
      </c>
      <c r="B49" s="1367" t="s">
        <v>361</v>
      </c>
      <c r="C49" s="1367" t="s">
        <v>362</v>
      </c>
      <c r="D49" s="1367" t="s">
        <v>613</v>
      </c>
      <c r="E49" s="2283"/>
      <c r="F49" s="2283"/>
      <c r="G49" s="2283"/>
      <c r="H49" s="2282">
        <v>1</v>
      </c>
      <c r="I49" s="1367"/>
      <c r="J49" s="1367"/>
      <c r="K49" s="1367"/>
      <c r="L49" s="1370"/>
      <c r="M49" s="1339"/>
      <c r="N49" s="1339"/>
      <c r="O49" s="1339"/>
      <c r="P49" s="1521"/>
      <c r="Q49" s="1522"/>
      <c r="R49" s="381"/>
      <c r="S49" s="1066"/>
      <c r="T49" s="1523"/>
      <c r="U49" s="1408"/>
      <c r="V49" s="2321"/>
      <c r="W49" s="2321"/>
      <c r="X49" s="2321"/>
      <c r="Y49" s="2321"/>
      <c r="Z49" s="2321"/>
      <c r="AA49" s="2321"/>
      <c r="AB49" s="2321"/>
      <c r="AC49" s="2322"/>
      <c r="AD49" s="2320"/>
      <c r="AE49" s="2321"/>
      <c r="AF49" s="2321"/>
      <c r="AG49" s="2321"/>
      <c r="AH49" s="2321"/>
      <c r="AI49" s="2321"/>
      <c r="AJ49" s="2321"/>
      <c r="AK49" s="2321"/>
      <c r="AL49" s="2321"/>
      <c r="AM49" s="2321"/>
      <c r="AN49" s="2321"/>
      <c r="AO49" s="2321"/>
      <c r="AP49" s="2321"/>
      <c r="AQ49" s="2321"/>
      <c r="AR49" s="2321"/>
      <c r="AS49" s="2321"/>
      <c r="AT49" s="2321"/>
      <c r="AU49" s="2321"/>
      <c r="AV49" s="2321"/>
      <c r="AW49" s="2321"/>
      <c r="AX49" s="2321"/>
      <c r="AY49" s="2321"/>
      <c r="AZ49" s="2321"/>
      <c r="BA49" s="2321"/>
      <c r="BB49" s="2322"/>
      <c r="BC49" s="1409" t="s">
        <v>486</v>
      </c>
      <c r="BE49" s="524"/>
      <c r="BF49" s="524" t="str">
        <f>IF(T49="","",T49)</f>
        <v/>
      </c>
      <c r="BG49" s="524"/>
      <c r="BH49" s="524"/>
      <c r="BI49" s="535">
        <v>0</v>
      </c>
    </row>
    <row s="1666" customFormat="1" customHeight="1" ht="0">
      <c r="A50" s="1367" t="s">
        <v>360</v>
      </c>
      <c r="B50" s="1367" t="s">
        <v>361</v>
      </c>
      <c r="C50" s="1367" t="s">
        <v>362</v>
      </c>
      <c r="D50" s="1367" t="s">
        <v>613</v>
      </c>
      <c r="E50" s="2283"/>
      <c r="F50" s="2283"/>
      <c r="G50" s="2283"/>
      <c r="H50" s="2283"/>
      <c r="I50" s="2280" t="str">
        <f>S49&amp;".1"</f>
        <v>.1</v>
      </c>
      <c r="J50" s="1367"/>
      <c r="K50" s="1367"/>
      <c r="L50" s="1370" t="s">
        <v>487</v>
      </c>
      <c r="M50" s="534"/>
      <c r="N50" s="534"/>
      <c r="O50" s="534"/>
      <c r="P50" s="2281">
        <v>1</v>
      </c>
      <c r="Q50" s="1505"/>
      <c r="R50" s="380"/>
      <c r="S50" s="1066"/>
      <c r="T50" s="1407"/>
      <c r="U50" s="1408"/>
      <c r="V50" s="2321"/>
      <c r="W50" s="2321"/>
      <c r="X50" s="2321"/>
      <c r="Y50" s="2321"/>
      <c r="Z50" s="2321"/>
      <c r="AA50" s="2321"/>
      <c r="AB50" s="2321"/>
      <c r="AC50" s="2322"/>
      <c r="AD50" s="2320"/>
      <c r="AE50" s="2321"/>
      <c r="AF50" s="2321"/>
      <c r="AG50" s="2321"/>
      <c r="AH50" s="2321"/>
      <c r="AI50" s="2321"/>
      <c r="AJ50" s="2321"/>
      <c r="AK50" s="2321"/>
      <c r="AL50" s="2321"/>
      <c r="AM50" s="2321"/>
      <c r="AN50" s="2321"/>
      <c r="AO50" s="2321"/>
      <c r="AP50" s="2321"/>
      <c r="AQ50" s="2321"/>
      <c r="AR50" s="2321"/>
      <c r="AS50" s="2321"/>
      <c r="AT50" s="2321"/>
      <c r="AU50" s="2321"/>
      <c r="AV50" s="2321"/>
      <c r="AW50" s="2321"/>
      <c r="AX50" s="2321"/>
      <c r="AY50" s="2321"/>
      <c r="AZ50" s="2321"/>
      <c r="BA50" s="2321"/>
      <c r="BB50" s="2322"/>
      <c r="BC50" s="1409"/>
      <c r="BE50" s="524"/>
      <c r="BF50" s="524" t="str">
        <f>IF(T50="","",T50)</f>
        <v/>
      </c>
      <c r="BG50" s="524"/>
      <c r="BH50" s="524"/>
      <c r="BI50" s="535">
        <v>0</v>
      </c>
    </row>
    <row s="1666" customFormat="1" customHeight="1" ht="0">
      <c r="A51" s="1367" t="s">
        <v>360</v>
      </c>
      <c r="B51" s="1367" t="s">
        <v>361</v>
      </c>
      <c r="C51" s="1367" t="s">
        <v>362</v>
      </c>
      <c r="D51" s="1367" t="s">
        <v>613</v>
      </c>
      <c r="E51" s="2283"/>
      <c r="F51" s="2283"/>
      <c r="G51" s="2283"/>
      <c r="H51" s="2283"/>
      <c r="I51" s="2310"/>
      <c r="J51" s="2280" t="str">
        <f>S49&amp;".1"</f>
        <v>.1</v>
      </c>
      <c r="K51" s="1367"/>
      <c r="L51" s="1370"/>
      <c r="M51" s="534"/>
      <c r="N51" s="534"/>
      <c r="O51" s="534"/>
      <c r="P51" s="2281"/>
      <c r="Q51" s="2281">
        <v>1</v>
      </c>
      <c r="R51" s="381"/>
      <c r="S51" s="1066"/>
      <c r="T51" s="1423"/>
      <c r="U51" s="1408"/>
      <c r="V51" s="2321"/>
      <c r="W51" s="2321"/>
      <c r="X51" s="2321"/>
      <c r="Y51" s="2321"/>
      <c r="Z51" s="2321"/>
      <c r="AA51" s="2321"/>
      <c r="AB51" s="2321"/>
      <c r="AC51" s="2322"/>
      <c r="AD51" s="2320"/>
      <c r="AE51" s="2321"/>
      <c r="AF51" s="2321"/>
      <c r="AG51" s="2321"/>
      <c r="AH51" s="2321"/>
      <c r="AI51" s="2321"/>
      <c r="AJ51" s="2321"/>
      <c r="AK51" s="2321"/>
      <c r="AL51" s="2321"/>
      <c r="AM51" s="2321"/>
      <c r="AN51" s="2388"/>
      <c r="AO51" s="2388"/>
      <c r="AP51" s="2321"/>
      <c r="AQ51" s="2321"/>
      <c r="AR51" s="2321"/>
      <c r="AS51" s="2321"/>
      <c r="AT51" s="2321"/>
      <c r="AU51" s="2321"/>
      <c r="AV51" s="2321"/>
      <c r="AW51" s="2321"/>
      <c r="AX51" s="2321"/>
      <c r="AY51" s="2321"/>
      <c r="AZ51" s="2321"/>
      <c r="BA51" s="2321"/>
      <c r="BB51" s="2322"/>
      <c r="BC51" s="1409"/>
      <c r="BE51" s="524"/>
      <c r="BF51" s="524" t="str">
        <f>IF(T51="","",T51)</f>
        <v/>
      </c>
      <c r="BG51" s="524"/>
      <c r="BH51" s="524"/>
      <c r="BI51" s="535">
        <v>0</v>
      </c>
    </row>
    <row customHeight="1" ht="11.549999999999999">
      <c r="A52" s="1387" t="s">
        <v>360</v>
      </c>
      <c r="B52" s="1387" t="s">
        <v>361</v>
      </c>
      <c r="C52" s="1387" t="s">
        <v>362</v>
      </c>
      <c r="D52" s="1387" t="s">
        <v>613</v>
      </c>
      <c r="E52" s="2283"/>
      <c r="F52" s="2283"/>
      <c r="G52" s="2283"/>
      <c r="H52" s="2283"/>
      <c r="I52" s="2310"/>
      <c r="J52" s="2310"/>
      <c r="K52" s="2280" t="str">
        <f>S48&amp;".1"</f>
        <v>...1</v>
      </c>
      <c r="L52" s="1388"/>
      <c r="P52" s="2281"/>
      <c r="Q52" s="2281"/>
      <c r="R52" s="381">
        <v>1</v>
      </c>
      <c r="S52" s="2365" t="str">
        <f>$K52</f>
        <v>...1</v>
      </c>
      <c r="T52" s="2384"/>
      <c r="U52" s="324"/>
      <c r="V52" s="775"/>
      <c r="W52" s="1281"/>
      <c r="X52" s="775"/>
      <c r="Y52" s="1281"/>
      <c r="Z52" s="1758"/>
      <c r="AA52" s="1493" t="s">
        <v>66</v>
      </c>
      <c r="AB52" s="1758"/>
      <c r="AC52" s="1493" t="s">
        <v>66</v>
      </c>
      <c r="AD52" s="2209" t="s">
        <v>66</v>
      </c>
      <c r="AE52" s="2350"/>
      <c r="AF52" s="2229">
        <v>1</v>
      </c>
      <c r="AG52" s="2387"/>
      <c r="AH52" s="2131" t="s">
        <v>66</v>
      </c>
      <c r="AI52" s="2350"/>
      <c r="AJ52" s="2229">
        <v>1</v>
      </c>
      <c r="AK52" s="2351" t="s">
        <v>22</v>
      </c>
      <c r="AL52" s="2131" t="s">
        <v>66</v>
      </c>
      <c r="AM52" s="2216"/>
      <c r="AN52" s="2229">
        <v>1</v>
      </c>
      <c r="AO52" s="2381"/>
      <c r="AP52" s="2382" t="s">
        <v>66</v>
      </c>
      <c r="AQ52" s="335"/>
      <c r="AR52" s="1510">
        <v>1</v>
      </c>
      <c r="AS52" s="1516" t="s">
        <v>22</v>
      </c>
      <c r="AT52" s="775"/>
      <c r="AU52" s="1281"/>
      <c r="AV52" s="775"/>
      <c r="AW52" s="1281"/>
      <c r="AX52" s="1758"/>
      <c r="AY52" s="1493" t="s">
        <v>66</v>
      </c>
      <c r="AZ52" s="1758"/>
      <c r="BA52" s="1493" t="s">
        <v>66</v>
      </c>
      <c r="BB52" s="1372"/>
      <c r="BC52" s="2277" t="s">
        <v>585</v>
      </c>
      <c r="BE52" s="524"/>
      <c r="BF52" s="524" t="str">
        <f>IF(T52="","",T52)</f>
        <v/>
      </c>
      <c r="BG52" s="524"/>
      <c r="BH52" s="524"/>
      <c r="BI52" s="1179">
        <v>11</v>
      </c>
    </row>
    <row customHeight="1" ht="11.549999999999999">
      <c r="A53" s="1387"/>
      <c r="B53" s="1387"/>
      <c r="C53" s="1387"/>
      <c r="D53" s="1387"/>
      <c r="E53" s="2283"/>
      <c r="F53" s="2283"/>
      <c r="G53" s="2283"/>
      <c r="H53" s="2283"/>
      <c r="I53" s="2310"/>
      <c r="J53" s="2310"/>
      <c r="K53" s="2280"/>
      <c r="L53" s="1388"/>
      <c r="P53" s="2281"/>
      <c r="Q53" s="2281"/>
      <c r="R53" s="381"/>
      <c r="S53" s="2366"/>
      <c r="T53" s="2385"/>
      <c r="U53" s="324"/>
      <c r="V53" s="1417"/>
      <c r="W53" s="1520"/>
      <c r="X53" s="1417"/>
      <c r="Y53" s="1520"/>
      <c r="Z53" s="1417"/>
      <c r="AA53" s="1417"/>
      <c r="AB53" s="1417"/>
      <c r="AC53" s="1417"/>
      <c r="AD53" s="2210"/>
      <c r="AE53" s="2350"/>
      <c r="AF53" s="2229"/>
      <c r="AG53" s="2387"/>
      <c r="AH53" s="2131"/>
      <c r="AI53" s="2350"/>
      <c r="AJ53" s="2229"/>
      <c r="AK53" s="2351"/>
      <c r="AL53" s="2131"/>
      <c r="AM53" s="2224"/>
      <c r="AN53" s="2229"/>
      <c r="AO53" s="2381"/>
      <c r="AP53" s="2383"/>
      <c r="AQ53" s="340"/>
      <c r="AR53" s="440"/>
      <c r="AS53" s="440" t="s">
        <v>586</v>
      </c>
      <c r="AT53" s="1417"/>
      <c r="AU53" s="1520"/>
      <c r="AV53" s="1417"/>
      <c r="AW53" s="1520"/>
      <c r="AX53" s="1417"/>
      <c r="AY53" s="1417"/>
      <c r="AZ53" s="1417"/>
      <c r="BA53" s="1417"/>
      <c r="BB53" s="1421"/>
      <c r="BC53" s="2278"/>
      <c r="BE53" s="524"/>
      <c r="BF53" s="524"/>
      <c r="BG53" s="524"/>
      <c r="BH53" s="524"/>
      <c r="BI53" s="1179">
        <v>11</v>
      </c>
    </row>
    <row customHeight="1" ht="11.549999999999999">
      <c r="A54" s="1387" t="s">
        <v>360</v>
      </c>
      <c r="B54" s="1387"/>
      <c r="C54" s="1387"/>
      <c r="D54" s="1387"/>
      <c r="E54" s="2283"/>
      <c r="F54" s="2283"/>
      <c r="G54" s="2283"/>
      <c r="H54" s="2283"/>
      <c r="I54" s="2310"/>
      <c r="J54" s="2310"/>
      <c r="K54" s="2280"/>
      <c r="L54" s="1388"/>
      <c r="P54" s="2281"/>
      <c r="Q54" s="2281"/>
      <c r="R54" s="381"/>
      <c r="S54" s="2366"/>
      <c r="T54" s="2385"/>
      <c r="U54" s="324"/>
      <c r="V54" s="1417"/>
      <c r="W54" s="1520"/>
      <c r="X54" s="1417"/>
      <c r="Y54" s="1520"/>
      <c r="Z54" s="1417"/>
      <c r="AA54" s="1417"/>
      <c r="AB54" s="1417"/>
      <c r="AC54" s="1417"/>
      <c r="AD54" s="2210"/>
      <c r="AE54" s="2350"/>
      <c r="AF54" s="2229"/>
      <c r="AG54" s="2387"/>
      <c r="AH54" s="2131"/>
      <c r="AI54" s="2350"/>
      <c r="AJ54" s="2229"/>
      <c r="AK54" s="2351"/>
      <c r="AL54" s="2131"/>
      <c r="AM54" s="340"/>
      <c r="AN54" s="1524"/>
      <c r="AO54" s="1524" t="s">
        <v>606</v>
      </c>
      <c r="AP54" s="440"/>
      <c r="AQ54" s="440"/>
      <c r="AR54" s="440"/>
      <c r="AS54" s="1417"/>
      <c r="AT54" s="1417"/>
      <c r="AU54" s="1520"/>
      <c r="AV54" s="1417"/>
      <c r="AW54" s="1520"/>
      <c r="AX54" s="1417"/>
      <c r="AY54" s="1417"/>
      <c r="AZ54" s="1417"/>
      <c r="BA54" s="1417"/>
      <c r="BB54" s="1421"/>
      <c r="BC54" s="2278"/>
      <c r="BE54" s="524"/>
      <c r="BF54" s="524"/>
      <c r="BG54" s="524"/>
      <c r="BH54" s="524"/>
      <c r="BI54" s="1179">
        <v>11</v>
      </c>
    </row>
    <row customHeight="1" ht="11.549999999999999">
      <c r="A55" s="1387" t="s">
        <v>360</v>
      </c>
      <c r="B55" s="1387"/>
      <c r="C55" s="1387"/>
      <c r="D55" s="1387"/>
      <c r="E55" s="2283"/>
      <c r="F55" s="2283"/>
      <c r="G55" s="2283"/>
      <c r="H55" s="2283"/>
      <c r="I55" s="2310"/>
      <c r="J55" s="2310"/>
      <c r="K55" s="2280"/>
      <c r="L55" s="1388"/>
      <c r="P55" s="2281"/>
      <c r="Q55" s="2281"/>
      <c r="R55" s="381"/>
      <c r="S55" s="2366"/>
      <c r="T55" s="2385"/>
      <c r="U55" s="324"/>
      <c r="V55" s="1417"/>
      <c r="W55" s="1520"/>
      <c r="X55" s="1417"/>
      <c r="Y55" s="1520"/>
      <c r="Z55" s="1417"/>
      <c r="AA55" s="1417"/>
      <c r="AB55" s="1417"/>
      <c r="AC55" s="1417"/>
      <c r="AD55" s="2210"/>
      <c r="AE55" s="2350"/>
      <c r="AF55" s="2229"/>
      <c r="AG55" s="2387"/>
      <c r="AH55" s="2131"/>
      <c r="AI55" s="318"/>
      <c r="AJ55" s="439"/>
      <c r="AK55" s="337" t="s">
        <v>607</v>
      </c>
      <c r="AL55" s="1417"/>
      <c r="AM55" s="1417"/>
      <c r="AN55" s="1417"/>
      <c r="AO55" s="1417"/>
      <c r="AP55" s="1417"/>
      <c r="AQ55" s="1417"/>
      <c r="AR55" s="1417"/>
      <c r="AS55" s="1417"/>
      <c r="AT55" s="1417"/>
      <c r="AU55" s="1520"/>
      <c r="AV55" s="1417"/>
      <c r="AW55" s="1520"/>
      <c r="AX55" s="1417"/>
      <c r="AY55" s="1417"/>
      <c r="AZ55" s="1417"/>
      <c r="BA55" s="1417"/>
      <c r="BB55" s="1421"/>
      <c r="BC55" s="2278"/>
      <c r="BE55" s="524"/>
      <c r="BF55" s="524"/>
      <c r="BG55" s="524"/>
      <c r="BH55" s="524"/>
      <c r="BI55" s="1179">
        <v>11</v>
      </c>
    </row>
    <row customHeight="1" ht="11.549999999999999">
      <c r="A56" s="1387" t="s">
        <v>360</v>
      </c>
      <c r="B56" s="1387" t="s">
        <v>361</v>
      </c>
      <c r="C56" s="1387" t="s">
        <v>362</v>
      </c>
      <c r="D56" s="1387" t="s">
        <v>613</v>
      </c>
      <c r="E56" s="2283"/>
      <c r="F56" s="2283"/>
      <c r="G56" s="2283"/>
      <c r="H56" s="2283"/>
      <c r="I56" s="2310"/>
      <c r="J56" s="2310"/>
      <c r="K56" s="2280"/>
      <c r="L56" s="1388"/>
      <c r="P56" s="2281"/>
      <c r="Q56" s="2281"/>
      <c r="R56" s="381"/>
      <c r="S56" s="2367"/>
      <c r="T56" s="2386"/>
      <c r="U56" s="324"/>
      <c r="V56" s="1417"/>
      <c r="W56" s="1418" t="str">
        <f>Z52&amp;"-"&amp;AB52</f>
        <v>-</v>
      </c>
      <c r="X56" s="1417"/>
      <c r="Y56" s="1418" t="str">
        <f>AB52&amp;"-"&amp;AD52</f>
        <v>-да</v>
      </c>
      <c r="Z56" s="1417"/>
      <c r="AA56" s="1417"/>
      <c r="AB56" s="1417"/>
      <c r="AC56" s="1417"/>
      <c r="AD56" s="2136"/>
      <c r="AE56" s="336"/>
      <c r="AF56" s="338"/>
      <c r="AG56" s="440" t="s">
        <v>589</v>
      </c>
      <c r="AH56" s="1417"/>
      <c r="AI56" s="1417"/>
      <c r="AJ56" s="1417"/>
      <c r="AK56" s="1417"/>
      <c r="AL56" s="1417"/>
      <c r="AM56" s="1417"/>
      <c r="AN56" s="1417"/>
      <c r="AO56" s="1417"/>
      <c r="AP56" s="1417"/>
      <c r="AQ56" s="1417"/>
      <c r="AR56" s="1417"/>
      <c r="AS56" s="1417"/>
      <c r="AT56" s="1417"/>
      <c r="AU56" s="1418" t="str">
        <f>AX52&amp;"-"&amp;AZ52</f>
        <v>-</v>
      </c>
      <c r="AV56" s="1417"/>
      <c r="AW56" s="1418" t="str">
        <f>AZ52&amp;"-"&amp;BB52</f>
        <v>-</v>
      </c>
      <c r="AX56" s="1417"/>
      <c r="AY56" s="1417"/>
      <c r="AZ56" s="1417"/>
      <c r="BA56" s="1417"/>
      <c r="BB56" s="1420" t="str">
        <f>BE52&amp;"-"&amp;BG52</f>
        <v>-</v>
      </c>
      <c r="BC56" s="2278"/>
      <c r="BE56" s="524"/>
      <c r="BF56" s="524" t="str">
        <f>IF(T56="","",T56)</f>
        <v/>
      </c>
      <c r="BG56" s="524"/>
      <c r="BH56" s="524"/>
      <c r="BI56" s="1179">
        <v>11</v>
      </c>
    </row>
    <row customHeight="1" ht="11.549999999999999">
      <c r="A57" s="1387" t="s">
        <v>360</v>
      </c>
      <c r="B57" s="1387" t="s">
        <v>361</v>
      </c>
      <c r="C57" s="1387" t="s">
        <v>362</v>
      </c>
      <c r="D57" s="1387" t="s">
        <v>613</v>
      </c>
      <c r="E57" s="2283"/>
      <c r="F57" s="2283"/>
      <c r="G57" s="2283"/>
      <c r="H57" s="2283"/>
      <c r="I57" s="2310"/>
      <c r="J57" s="2280"/>
      <c r="K57" s="1387"/>
      <c r="L57" s="1388"/>
      <c r="P57" s="2281"/>
      <c r="Q57" s="2281"/>
      <c r="R57" s="380"/>
      <c r="S57" s="1302"/>
      <c r="T57" s="311" t="s">
        <v>552</v>
      </c>
      <c r="U57" s="391"/>
      <c r="V57" s="391"/>
      <c r="W57" s="391"/>
      <c r="X57" s="391"/>
      <c r="Y57" s="391"/>
      <c r="Z57" s="391"/>
      <c r="AA57" s="391"/>
      <c r="AB57" s="391"/>
      <c r="AC57" s="348"/>
      <c r="AD57" s="1529"/>
      <c r="AE57" s="391"/>
      <c r="AF57" s="391"/>
      <c r="AG57" s="391"/>
      <c r="AH57" s="391"/>
      <c r="AI57" s="391"/>
      <c r="AJ57" s="391"/>
      <c r="AK57" s="391"/>
      <c r="AL57" s="391"/>
      <c r="AM57" s="391"/>
      <c r="AN57" s="391"/>
      <c r="AO57" s="391"/>
      <c r="AP57" s="391"/>
      <c r="AQ57" s="391"/>
      <c r="AR57" s="391"/>
      <c r="AS57" s="391"/>
      <c r="AT57" s="391"/>
      <c r="AU57" s="391"/>
      <c r="AV57" s="391"/>
      <c r="AW57" s="391"/>
      <c r="AX57" s="391"/>
      <c r="AY57" s="391"/>
      <c r="AZ57" s="391"/>
      <c r="BA57" s="391"/>
      <c r="BB57" s="348"/>
      <c r="BC57" s="2279"/>
      <c r="BE57" s="524"/>
      <c r="BF57" s="524" t="str">
        <f>IF(T57="","",T57)</f>
        <v>Добавить строку</v>
      </c>
      <c r="BG57" s="524"/>
      <c r="BH57" s="524"/>
      <c r="BI57" s="1179">
        <v>11</v>
      </c>
    </row>
    <row s="1666" customFormat="1" customHeight="1" ht="0">
      <c r="A58" s="1367" t="s">
        <v>360</v>
      </c>
      <c r="B58" s="1367" t="s">
        <v>361</v>
      </c>
      <c r="C58" s="1367" t="s">
        <v>362</v>
      </c>
      <c r="D58" s="1367" t="s">
        <v>613</v>
      </c>
      <c r="E58" s="2283"/>
      <c r="F58" s="2283"/>
      <c r="G58" s="2283"/>
      <c r="H58" s="2283"/>
      <c r="I58" s="2280"/>
      <c r="J58" s="1367"/>
      <c r="K58" s="1367"/>
      <c r="L58" s="1370"/>
      <c r="M58" s="534"/>
      <c r="N58" s="534"/>
      <c r="O58" s="534"/>
      <c r="P58" s="2281"/>
      <c r="Q58" s="1505"/>
      <c r="R58" s="380"/>
      <c r="S58" s="1410"/>
      <c r="T58" s="1411"/>
      <c r="U58" s="1412"/>
      <c r="V58" s="1412"/>
      <c r="W58" s="1412"/>
      <c r="X58" s="1412"/>
      <c r="Y58" s="1412"/>
      <c r="Z58" s="1412"/>
      <c r="AA58" s="1412"/>
      <c r="AB58" s="1412"/>
      <c r="AC58" s="1412"/>
      <c r="AD58" s="1412"/>
      <c r="AE58" s="1412"/>
      <c r="AF58" s="1412"/>
      <c r="AG58" s="1412"/>
      <c r="AH58" s="1412"/>
      <c r="AI58" s="1412"/>
      <c r="AJ58" s="1412"/>
      <c r="AK58" s="1412"/>
      <c r="AL58" s="1412"/>
      <c r="AM58" s="1412"/>
      <c r="AN58" s="1412"/>
      <c r="AO58" s="1412"/>
      <c r="AP58" s="1412"/>
      <c r="AQ58" s="1412"/>
      <c r="AR58" s="1412"/>
      <c r="AS58" s="1412"/>
      <c r="AT58" s="1412"/>
      <c r="AU58" s="1412"/>
      <c r="AV58" s="1412"/>
      <c r="AW58" s="1412"/>
      <c r="AX58" s="1412"/>
      <c r="AY58" s="1412"/>
      <c r="AZ58" s="1412"/>
      <c r="BA58" s="1412"/>
      <c r="BB58" s="1412"/>
      <c r="BC58" s="1413"/>
      <c r="BE58" s="524"/>
      <c r="BF58" s="524" t="str">
        <f>IF(T58="","",T58)</f>
        <v/>
      </c>
      <c r="BG58" s="524"/>
      <c r="BH58" s="524"/>
      <c r="BI58" s="535">
        <v>0</v>
      </c>
    </row>
    <row s="1666" customFormat="1" customHeight="1" ht="0">
      <c r="A59" s="1367" t="s">
        <v>360</v>
      </c>
      <c r="B59" s="1367" t="s">
        <v>361</v>
      </c>
      <c r="C59" s="1367" t="s">
        <v>362</v>
      </c>
      <c r="D59" s="1367" t="s">
        <v>613</v>
      </c>
      <c r="E59" s="2283"/>
      <c r="F59" s="2283"/>
      <c r="G59" s="2283"/>
      <c r="H59" s="2282"/>
      <c r="I59" s="1367"/>
      <c r="J59" s="1367"/>
      <c r="K59" s="1367"/>
      <c r="L59" s="1370"/>
      <c r="M59" s="1339"/>
      <c r="N59" s="1339"/>
      <c r="O59" s="542"/>
      <c r="P59" s="404"/>
      <c r="Q59" s="1368"/>
      <c r="R59" s="1425"/>
      <c r="S59" s="1410"/>
      <c r="T59" s="1411"/>
      <c r="U59" s="1412"/>
      <c r="V59" s="1412"/>
      <c r="W59" s="1412"/>
      <c r="X59" s="1412"/>
      <c r="Y59" s="1412"/>
      <c r="Z59" s="1412"/>
      <c r="AA59" s="1412"/>
      <c r="AB59" s="1412"/>
      <c r="AC59" s="1412"/>
      <c r="AD59" s="1412"/>
      <c r="AE59" s="1412"/>
      <c r="AF59" s="1412"/>
      <c r="AG59" s="1412"/>
      <c r="AH59" s="1412"/>
      <c r="AI59" s="1412"/>
      <c r="AJ59" s="1412"/>
      <c r="AK59" s="1412"/>
      <c r="AL59" s="1412"/>
      <c r="AM59" s="1412"/>
      <c r="AN59" s="1412"/>
      <c r="AO59" s="1412"/>
      <c r="AP59" s="1412"/>
      <c r="AQ59" s="1412"/>
      <c r="AR59" s="1412"/>
      <c r="AS59" s="1412"/>
      <c r="AT59" s="1412"/>
      <c r="AU59" s="1412"/>
      <c r="AV59" s="1412"/>
      <c r="AW59" s="1412"/>
      <c r="AX59" s="1412"/>
      <c r="AY59" s="1412"/>
      <c r="AZ59" s="1412"/>
      <c r="BA59" s="1412"/>
      <c r="BB59" s="1412"/>
      <c r="BC59" s="1413"/>
      <c r="BE59" s="524"/>
      <c r="BF59" s="524" t="str">
        <f>IF(T59="","",T59)</f>
        <v/>
      </c>
      <c r="BG59" s="524"/>
      <c r="BH59" s="524"/>
      <c r="BI59" s="535">
        <v>0</v>
      </c>
    </row>
    <row s="1666" customFormat="1" customHeight="1" ht="0">
      <c r="A60" s="1367" t="s">
        <v>360</v>
      </c>
      <c r="B60" s="1367" t="s">
        <v>361</v>
      </c>
      <c r="C60" s="1367" t="s">
        <v>362</v>
      </c>
      <c r="D60" s="1338"/>
      <c r="E60" s="2283"/>
      <c r="F60" s="2283"/>
      <c r="G60" s="2282"/>
      <c r="H60" s="1338"/>
      <c r="I60" s="1338"/>
      <c r="J60" s="1338"/>
      <c r="K60" s="1338"/>
      <c r="L60" s="1518"/>
      <c r="M60" s="1339"/>
      <c r="N60" s="1339"/>
      <c r="P60" s="1340"/>
      <c r="Q60" s="1341"/>
      <c r="R60" s="1340"/>
      <c r="S60" s="1346"/>
      <c r="T60" s="1349"/>
      <c r="U60" s="1348"/>
      <c r="V60" s="1348"/>
      <c r="W60" s="1348"/>
      <c r="X60" s="1348"/>
      <c r="Y60" s="1348"/>
      <c r="Z60" s="1348"/>
      <c r="AA60" s="1348"/>
      <c r="AB60" s="1348"/>
      <c r="AC60" s="1348"/>
      <c r="AD60" s="1348"/>
      <c r="AE60" s="1348"/>
      <c r="AF60" s="1348"/>
      <c r="AG60" s="1348"/>
      <c r="AH60" s="1348"/>
      <c r="AI60" s="1348"/>
      <c r="AJ60" s="1348"/>
      <c r="AK60" s="1348"/>
      <c r="AL60" s="1348"/>
      <c r="AM60" s="1348"/>
      <c r="AN60" s="1348"/>
      <c r="AO60" s="1348"/>
      <c r="AP60" s="1348"/>
      <c r="AQ60" s="1348"/>
      <c r="AR60" s="1348"/>
      <c r="AS60" s="1348"/>
      <c r="AT60" s="1348"/>
      <c r="AU60" s="1348"/>
      <c r="AV60" s="1348"/>
      <c r="AW60" s="1348"/>
      <c r="AX60" s="1348"/>
      <c r="AY60" s="1348"/>
      <c r="AZ60" s="1348"/>
      <c r="BA60" s="1348"/>
      <c r="BB60" s="1348"/>
      <c r="BC60" s="1348"/>
      <c r="BE60" s="813"/>
      <c r="BF60" s="813" t="str">
        <f>IF(T60="","",T60)</f>
        <v/>
      </c>
      <c r="BG60" s="813"/>
      <c r="BH60" s="813"/>
      <c r="BI60" s="542">
        <v>0</v>
      </c>
    </row>
    <row s="1666" customFormat="1" customHeight="1" ht="0">
      <c r="A61" s="1367" t="s">
        <v>360</v>
      </c>
      <c r="B61" s="1367" t="s">
        <v>361</v>
      </c>
      <c r="C61" s="1338"/>
      <c r="D61" s="1338"/>
      <c r="E61" s="2283"/>
      <c r="F61" s="2282"/>
      <c r="G61" s="1338"/>
      <c r="H61" s="1338"/>
      <c r="I61" s="1338"/>
      <c r="J61" s="1338"/>
      <c r="K61" s="1338"/>
      <c r="L61" s="1518"/>
      <c r="M61" s="1345"/>
      <c r="N61" s="1345"/>
      <c r="P61" s="1340"/>
      <c r="Q61" s="1341"/>
      <c r="R61" s="1340"/>
      <c r="S61" s="1346"/>
      <c r="T61" s="1349" t="s">
        <v>499</v>
      </c>
      <c r="U61" s="1348"/>
      <c r="V61" s="1348"/>
      <c r="W61" s="1348"/>
      <c r="X61" s="1348"/>
      <c r="Y61" s="1348"/>
      <c r="Z61" s="1348"/>
      <c r="AA61" s="1348"/>
      <c r="AB61" s="1348"/>
      <c r="AC61" s="1348"/>
      <c r="AD61" s="1348"/>
      <c r="AE61" s="1348"/>
      <c r="AF61" s="1348"/>
      <c r="AG61" s="1348"/>
      <c r="AH61" s="1348"/>
      <c r="AI61" s="1348"/>
      <c r="AJ61" s="1348"/>
      <c r="AK61" s="1348"/>
      <c r="AL61" s="1348"/>
      <c r="AM61" s="1348"/>
      <c r="AN61" s="1348"/>
      <c r="AO61" s="1348"/>
      <c r="AP61" s="1348"/>
      <c r="AQ61" s="1348"/>
      <c r="AR61" s="1348"/>
      <c r="AS61" s="1348"/>
      <c r="AT61" s="1348"/>
      <c r="AU61" s="1348"/>
      <c r="AV61" s="1348"/>
      <c r="AW61" s="1348"/>
      <c r="AX61" s="1348"/>
      <c r="AY61" s="1348"/>
      <c r="AZ61" s="1348"/>
      <c r="BA61" s="1348"/>
      <c r="BB61" s="1348"/>
      <c r="BC61" s="1348"/>
      <c r="BE61" s="813"/>
      <c r="BF61" s="813" t="str">
        <f>IF(T61="","",T61)</f>
        <v>Добавить централизованную систему для дифференциации</v>
      </c>
      <c r="BG61" s="813"/>
      <c r="BH61" s="813"/>
      <c r="BI61" s="542">
        <v>0</v>
      </c>
    </row>
    <row s="1666" customFormat="1" customHeight="1" ht="0">
      <c r="A62" s="1367" t="s">
        <v>360</v>
      </c>
      <c r="B62" s="1367"/>
      <c r="C62" s="1367"/>
      <c r="D62" s="1367"/>
      <c r="E62" s="2282"/>
      <c r="F62" s="1367"/>
      <c r="G62" s="1367"/>
      <c r="H62" s="1367"/>
      <c r="I62" s="1367"/>
      <c r="J62" s="1367"/>
      <c r="K62" s="1367"/>
      <c r="L62" s="1370"/>
      <c r="M62" s="1345"/>
      <c r="N62" s="1345"/>
      <c r="O62" s="542"/>
      <c r="P62" s="404"/>
      <c r="Q62" s="1368"/>
      <c r="R62" s="404"/>
      <c r="S62" s="1346"/>
      <c r="T62" s="1349" t="s">
        <v>500</v>
      </c>
      <c r="U62" s="1348"/>
      <c r="V62" s="1348"/>
      <c r="W62" s="1348"/>
      <c r="X62" s="1348"/>
      <c r="Y62" s="1348"/>
      <c r="Z62" s="1348"/>
      <c r="AA62" s="1348"/>
      <c r="AB62" s="1348"/>
      <c r="AC62" s="1348"/>
      <c r="AD62" s="1348"/>
      <c r="AE62" s="1348"/>
      <c r="AF62" s="1348"/>
      <c r="AG62" s="1348"/>
      <c r="AH62" s="1348"/>
      <c r="AI62" s="1348"/>
      <c r="AJ62" s="1348"/>
      <c r="AK62" s="1348"/>
      <c r="AL62" s="1348"/>
      <c r="AM62" s="1348"/>
      <c r="AN62" s="1348"/>
      <c r="AO62" s="1348"/>
      <c r="AP62" s="1348"/>
      <c r="AQ62" s="1348"/>
      <c r="AR62" s="1348"/>
      <c r="AS62" s="1348"/>
      <c r="AT62" s="1348"/>
      <c r="AU62" s="1348"/>
      <c r="AV62" s="1348"/>
      <c r="AW62" s="1348"/>
      <c r="AX62" s="1348"/>
      <c r="AY62" s="1348"/>
      <c r="AZ62" s="1348"/>
      <c r="BA62" s="1348"/>
      <c r="BB62" s="1348"/>
      <c r="BC62" s="1348"/>
      <c r="BE62" s="524"/>
      <c r="BF62" s="524" t="str">
        <f>IF(T62="","",T62)</f>
        <v>Добавить территорию для дифференциации</v>
      </c>
      <c r="BG62" s="524"/>
      <c r="BH62" s="524"/>
      <c r="BI62" s="535">
        <v>0</v>
      </c>
    </row>
    <row s="1666" customFormat="1" customHeight="1" ht="0">
      <c r="A63" s="1338"/>
      <c r="B63" s="1338"/>
      <c r="C63" s="1338"/>
      <c r="D63" s="1338"/>
      <c r="E63" s="1367"/>
      <c r="F63" s="1338"/>
      <c r="G63" s="1338"/>
      <c r="H63" s="1338"/>
      <c r="I63" s="1338"/>
      <c r="J63" s="1338"/>
      <c r="K63" s="1338"/>
      <c r="L63" s="1518"/>
      <c r="M63" s="1345"/>
      <c r="N63" s="1345"/>
      <c r="P63" s="1340"/>
      <c r="Q63" s="1341"/>
      <c r="R63" s="1340"/>
      <c r="S63" s="1346"/>
      <c r="T63" s="1349" t="s">
        <v>532</v>
      </c>
      <c r="U63" s="1348"/>
      <c r="V63" s="1348"/>
      <c r="W63" s="1348"/>
      <c r="X63" s="1348"/>
      <c r="Y63" s="1348"/>
      <c r="Z63" s="1348"/>
      <c r="AA63" s="1348"/>
      <c r="AB63" s="1348"/>
      <c r="AC63" s="1348"/>
      <c r="AD63" s="1348"/>
      <c r="AE63" s="1348"/>
      <c r="AF63" s="1348"/>
      <c r="AG63" s="1348"/>
      <c r="AH63" s="1348"/>
      <c r="AI63" s="1348"/>
      <c r="AJ63" s="1348"/>
      <c r="AK63" s="1348"/>
      <c r="AL63" s="1348"/>
      <c r="AM63" s="1348"/>
      <c r="AN63" s="1348"/>
      <c r="AO63" s="1348"/>
      <c r="AP63" s="1348"/>
      <c r="AQ63" s="1348"/>
      <c r="AR63" s="1348"/>
      <c r="AS63" s="1348"/>
      <c r="AT63" s="1348"/>
      <c r="AU63" s="1348"/>
      <c r="AV63" s="1348"/>
      <c r="AW63" s="1348"/>
      <c r="AX63" s="1348"/>
      <c r="AY63" s="1348"/>
      <c r="AZ63" s="1348"/>
      <c r="BA63" s="1348"/>
      <c r="BB63" s="1348"/>
      <c r="BC63" s="1348"/>
      <c r="BE63" s="813"/>
      <c r="BF63" s="813" t="str">
        <f>IF(T63="","",T63)</f>
        <v>Добавить наименование тарифа</v>
      </c>
      <c r="BG63" s="813"/>
      <c r="BH63" s="813"/>
      <c r="BI63" s="542">
        <v>0</v>
      </c>
    </row>
    <row customHeight="1" ht="11.549999999999999">
      <c r="M64" s="1184"/>
      <c r="N64" s="1184"/>
      <c r="O64" s="561"/>
      <c r="P64" s="1184"/>
      <c r="Q64" s="1184"/>
      <c r="R64" s="1179"/>
      <c r="S64" s="1179"/>
      <c r="BD64" s="1179"/>
      <c r="BE64" s="1179"/>
      <c r="BF64" s="1179"/>
      <c r="BG64" s="1179"/>
      <c r="BH64" s="1179"/>
      <c r="BI64" s="1179">
        <v>11</v>
      </c>
    </row>
    <row customHeight="1" ht="14.699999999999998">
      <c r="O65" s="561"/>
      <c r="S65" s="1277"/>
      <c r="T65" s="2309"/>
      <c r="U65" s="2309"/>
      <c r="V65" s="2309"/>
      <c r="W65" s="2309"/>
      <c r="X65" s="2309"/>
      <c r="Y65" s="2309"/>
      <c r="Z65" s="2309"/>
      <c r="AA65" s="2309"/>
      <c r="AB65" s="2309"/>
      <c r="AC65" s="2309"/>
      <c r="AD65" s="2309"/>
      <c r="AE65" s="2309"/>
      <c r="AF65" s="2309"/>
      <c r="AG65" s="2309"/>
      <c r="AH65" s="2309"/>
      <c r="AI65" s="2309"/>
      <c r="AJ65" s="2309"/>
      <c r="AK65" s="2309"/>
      <c r="AL65" s="2309"/>
      <c r="AM65" s="2309"/>
      <c r="AN65" s="2309"/>
      <c r="AO65" s="2309"/>
      <c r="AP65" s="2309"/>
      <c r="AQ65" s="2309"/>
      <c r="AR65" s="2309"/>
      <c r="AS65" s="2309"/>
      <c r="AT65" s="2309"/>
      <c r="AU65" s="2309"/>
      <c r="AV65" s="2309"/>
      <c r="AW65" s="2309"/>
      <c r="AX65" s="2309"/>
      <c r="AY65" s="2309"/>
      <c r="AZ65" s="2309"/>
      <c r="BA65" s="2309"/>
      <c r="BB65" s="2309"/>
      <c r="BC65" s="2309"/>
      <c r="BI65" s="1179">
        <v>14</v>
      </c>
    </row>
    <row customHeight="1" ht="14.699999999999998">
      <c r="O66" s="561"/>
      <c r="T66" s="1504"/>
      <c r="U66" s="1504"/>
      <c r="V66" s="1504"/>
      <c r="W66" s="1504"/>
      <c r="X66" s="1504"/>
      <c r="Y66" s="1504"/>
      <c r="Z66" s="1504"/>
      <c r="AA66" s="1504"/>
      <c r="AB66" s="1504"/>
      <c r="AC66" s="1504"/>
      <c r="AD66" s="1504"/>
      <c r="AE66" s="1504"/>
      <c r="AF66" s="1504"/>
      <c r="AG66" s="1504"/>
      <c r="AH66" s="1504"/>
      <c r="AI66" s="1504"/>
      <c r="AJ66" s="1504"/>
      <c r="AK66" s="1504"/>
      <c r="AL66" s="1504"/>
      <c r="AM66" s="1504"/>
      <c r="AN66" s="1504"/>
      <c r="AO66" s="1504"/>
      <c r="AP66" s="1504"/>
      <c r="AQ66" s="1504"/>
      <c r="AR66" s="1504"/>
      <c r="AS66" s="1504"/>
      <c r="AT66" s="1504"/>
      <c r="AU66" s="1504"/>
      <c r="AV66" s="1504"/>
      <c r="AW66" s="1504"/>
      <c r="AX66" s="1504"/>
      <c r="AY66" s="1504"/>
      <c r="AZ66" s="1504"/>
      <c r="BA66" s="1504"/>
      <c r="BB66" s="1504"/>
      <c r="BC66" s="1504"/>
      <c r="BI66" s="1179">
        <v>14</v>
      </c>
    </row>
    <row customHeight="1" ht="14.699999999999998">
      <c r="O67" s="561"/>
      <c r="S67" s="1277"/>
      <c r="T67" s="2309"/>
      <c r="U67" s="2309"/>
      <c r="V67" s="2309"/>
      <c r="W67" s="2309"/>
      <c r="X67" s="2309"/>
      <c r="Y67" s="2309"/>
      <c r="Z67" s="2309"/>
      <c r="AA67" s="2309"/>
      <c r="AB67" s="2309"/>
      <c r="AC67" s="2309"/>
      <c r="AD67" s="2309"/>
      <c r="AE67" s="2309"/>
      <c r="AF67" s="2309"/>
      <c r="AG67" s="2309"/>
      <c r="AH67" s="2309"/>
      <c r="AI67" s="2309"/>
      <c r="AJ67" s="2309"/>
      <c r="AK67" s="2309"/>
      <c r="AL67" s="2309"/>
      <c r="AM67" s="2309"/>
      <c r="AN67" s="2309"/>
      <c r="AO67" s="2309"/>
      <c r="AP67" s="2309"/>
      <c r="AQ67" s="2309"/>
      <c r="AR67" s="2309"/>
      <c r="AS67" s="2309"/>
      <c r="AT67" s="2309"/>
      <c r="AU67" s="2309"/>
      <c r="AV67" s="2309"/>
      <c r="AW67" s="2309"/>
      <c r="AX67" s="2309"/>
      <c r="AY67" s="2309"/>
      <c r="AZ67" s="2309"/>
      <c r="BA67" s="2309"/>
      <c r="BB67" s="2309"/>
      <c r="BC67" s="2309"/>
      <c r="BI67" s="1179">
        <v>14</v>
      </c>
    </row>
    <row customHeight="1" ht="14.699999999999998">
      <c r="O68" s="561"/>
      <c r="BI68" s="1179">
        <v>14</v>
      </c>
    </row>
    <row customHeight="1" ht="14.25" hidden="1">
      <c r="A69" s="1184" t="s">
        <v>82</v>
      </c>
      <c r="B69" s="1184">
        <v>0</v>
      </c>
      <c r="C69" s="1184">
        <v>0</v>
      </c>
      <c r="D69" s="1184">
        <v>0</v>
      </c>
      <c r="E69" s="1184">
        <v>0</v>
      </c>
      <c r="F69" s="1184">
        <v>0</v>
      </c>
      <c r="G69" s="1184">
        <v>0</v>
      </c>
      <c r="H69" s="1184">
        <v>0</v>
      </c>
      <c r="I69" s="1184">
        <v>0</v>
      </c>
      <c r="J69" s="1184">
        <v>0</v>
      </c>
      <c r="K69" s="1184">
        <v>0</v>
      </c>
      <c r="L69" s="1502">
        <v>0</v>
      </c>
      <c r="M69" s="1386">
        <v>0</v>
      </c>
      <c r="N69" s="1386">
        <v>0</v>
      </c>
      <c r="O69" s="1386">
        <v>0</v>
      </c>
      <c r="P69" s="1386">
        <v>0</v>
      </c>
      <c r="Q69" s="1395">
        <v>0</v>
      </c>
      <c r="R69" s="368">
        <v>3</v>
      </c>
      <c r="S69" s="605">
        <v>12</v>
      </c>
      <c r="T69" s="1179">
        <v>31</v>
      </c>
      <c r="U69" s="1179">
        <v>0</v>
      </c>
      <c r="V69" s="1179">
        <v>0</v>
      </c>
      <c r="W69" s="1179">
        <v>0</v>
      </c>
      <c r="X69" s="1179">
        <v>0</v>
      </c>
      <c r="Y69" s="1179">
        <v>0</v>
      </c>
      <c r="Z69" s="1179">
        <v>0</v>
      </c>
      <c r="AA69" s="1179">
        <v>0</v>
      </c>
      <c r="AB69" s="1179">
        <v>0</v>
      </c>
      <c r="AC69" s="1179">
        <v>0</v>
      </c>
      <c r="AD69" s="1179">
        <v>3</v>
      </c>
      <c r="AE69" s="1179">
        <v>3</v>
      </c>
      <c r="AF69" s="1179">
        <v>3</v>
      </c>
      <c r="AG69" s="1179">
        <v>24</v>
      </c>
      <c r="AH69" s="1179">
        <v>3</v>
      </c>
      <c r="AI69" s="1179">
        <v>3</v>
      </c>
      <c r="AJ69" s="1179">
        <v>3</v>
      </c>
      <c r="AK69" s="1179">
        <v>24</v>
      </c>
      <c r="AL69" s="1179">
        <v>3</v>
      </c>
      <c r="AM69" s="1179">
        <v>3</v>
      </c>
      <c r="AN69" s="1179">
        <v>3</v>
      </c>
      <c r="AO69" s="1179">
        <v>18</v>
      </c>
      <c r="AP69" s="1179">
        <v>3</v>
      </c>
      <c r="AQ69" s="1179">
        <v>3</v>
      </c>
      <c r="AR69" s="1179">
        <v>3</v>
      </c>
      <c r="AS69" s="1179">
        <v>18</v>
      </c>
      <c r="AT69" s="1179">
        <v>21</v>
      </c>
      <c r="AU69" s="1179">
        <v>21</v>
      </c>
      <c r="AV69" s="1179">
        <v>21</v>
      </c>
      <c r="AW69" s="1179">
        <v>21</v>
      </c>
      <c r="AX69" s="1179">
        <v>11</v>
      </c>
      <c r="AY69" s="1179">
        <v>3</v>
      </c>
      <c r="AZ69" s="1179">
        <v>11</v>
      </c>
      <c r="BA69" s="1179">
        <v>0</v>
      </c>
      <c r="BB69" s="1179">
        <v>4</v>
      </c>
      <c r="BC69" s="1179">
        <v>115</v>
      </c>
      <c r="BD69" s="535">
        <v>10</v>
      </c>
      <c r="BE69" s="535">
        <v>10</v>
      </c>
      <c r="BF69" s="535">
        <v>10</v>
      </c>
      <c r="BG69" s="535">
        <v>10</v>
      </c>
      <c r="BH69" s="535">
        <v>10</v>
      </c>
      <c r="BI69" s="1179">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16D83D-BA49-7A26-8DCA-0.233CC5EE}" mc:Ignorable="x14ac xr xr2 xr3">
  <sheetPr>
    <tabColor rgb="FFCCCCFF"/>
    <pageSetUpPr fitToPage="1"/>
  </sheetPr>
  <dimension ref="A1:AC63"/>
  <sheetViews>
    <sheetView showGridLines="0" workbookViewId="0">
      <pane xSplit="6" ySplit="11" topLeftCell="G12" activePane="bottomRight" state="frozen"/>
      <selection pane="bottomLeft" activeCell="A12" sqref="A12"/>
      <selection pane="topRight" activeCell="G1" sqref="G1"/>
      <selection pane="bottomRight" activeCell="G47" sqref="G47"/>
    </sheetView>
  </sheetViews>
  <sheetFormatPr defaultColWidth="9.140625" customHeight="1" defaultRowHeight="14.25"/>
  <cols>
    <col min="1" max="1" style="1659" width="8.00390625" hidden="1" customWidth="1"/>
    <col min="2" max="2" style="1390" width="6.00390625" hidden="1" customWidth="1"/>
    <col min="3" max="3" style="1659" width="3.00390625" customWidth="1"/>
    <col min="4" max="4" style="1866" width="3.00390625" customWidth="1"/>
    <col min="5" max="5" style="1659" width="6.00390625" customWidth="1"/>
    <col min="6" max="6" style="1659" width="2.7109375" hidden="1" customWidth="1"/>
    <col min="7" max="7" style="1659" width="46.7109375" customWidth="1"/>
    <col min="8" max="8" style="1659" width="42.00390625" customWidth="1"/>
    <col min="9" max="9" style="1659" width="14.00390625" customWidth="1"/>
    <col min="10" max="10" style="1648" width="3.00390625" customWidth="1"/>
    <col min="11" max="13" style="1648" width="9.140625" hidden="1"/>
    <col min="14" max="14" style="1648" width="25.7109375" hidden="1" customWidth="1"/>
    <col min="15" max="15" style="1648" width="14.421875" hidden="1" customWidth="1"/>
    <col min="16" max="19" style="249" width="9.140625" hidden="1"/>
    <col min="20" max="27" style="1659" width="9.140625" hidden="1"/>
    <col min="28" max="28" style="1659" width="8.00390625" customWidth="1"/>
    <col min="29" max="29" style="1659" width="9.140625" hidden="1"/>
  </cols>
  <sheetData>
    <row s="1666" customFormat="1" customHeight="1" ht="5.25" hidden="1">
      <c r="A1" s="520"/>
      <c r="B1" s="535"/>
      <c r="C1" s="535"/>
      <c r="D1" s="245"/>
      <c r="F1" s="535"/>
      <c r="G1" s="271" t="s">
        <v>83</v>
      </c>
      <c r="H1" s="518" t="s">
        <v>84</v>
      </c>
      <c r="I1" s="251" t="s">
        <v>85</v>
      </c>
      <c r="J1" s="271" t="s">
        <v>83</v>
      </c>
      <c r="K1" s="271"/>
      <c r="L1" s="271"/>
      <c r="M1" s="271"/>
      <c r="N1" s="272"/>
      <c r="O1" s="271"/>
      <c r="P1" s="271"/>
      <c r="Q1" s="271"/>
      <c r="R1" s="271"/>
      <c r="S1" s="271"/>
      <c r="T1" s="251"/>
      <c r="U1" s="251"/>
      <c r="V1" s="251"/>
      <c r="W1" s="251"/>
      <c r="X1" s="251"/>
      <c r="Y1" s="251"/>
      <c r="Z1" s="251"/>
      <c r="AA1" s="251"/>
      <c r="AB1" s="251"/>
      <c r="AC1" s="176" t="s">
        <v>14</v>
      </c>
    </row>
    <row s="1436" customFormat="1" customHeight="1" ht="11.25">
      <c r="A2" s="855"/>
      <c r="B2" s="252"/>
      <c r="C2" s="252"/>
      <c r="D2" s="253"/>
      <c r="E2" s="252"/>
      <c r="F2" s="252"/>
      <c r="G2" s="252"/>
      <c r="H2" s="252"/>
      <c r="I2" s="252"/>
      <c r="J2" s="271"/>
      <c r="K2" s="271"/>
      <c r="L2" s="271"/>
      <c r="M2" s="271"/>
      <c r="N2" s="272"/>
      <c r="O2" s="271"/>
      <c r="P2" s="254"/>
      <c r="Q2" s="254"/>
      <c r="R2" s="254"/>
      <c r="S2" s="254"/>
      <c r="T2" s="253"/>
      <c r="U2" s="253"/>
      <c r="V2" s="253"/>
      <c r="W2" s="253"/>
      <c r="X2" s="253"/>
      <c r="Y2" s="253"/>
      <c r="Z2" s="253"/>
      <c r="AA2" s="253"/>
      <c r="AB2" s="253"/>
      <c r="AC2" s="255">
        <v>11</v>
      </c>
    </row>
    <row s="1843" customFormat="1" customHeight="1" ht="3">
      <c r="A3" s="782"/>
      <c r="B3" s="441"/>
      <c r="C3" s="782"/>
      <c r="D3" s="188"/>
      <c r="E3" s="127"/>
      <c r="F3" s="533"/>
      <c r="G3" s="127"/>
      <c r="H3" s="127"/>
      <c r="I3" s="190"/>
      <c r="J3" s="271"/>
      <c r="K3" s="179"/>
      <c r="L3" s="179"/>
      <c r="M3" s="179"/>
      <c r="N3" s="250"/>
      <c r="O3" s="179"/>
      <c r="P3" s="249"/>
      <c r="Q3" s="249"/>
      <c r="R3" s="249"/>
      <c r="S3" s="249"/>
      <c r="AC3" s="140">
        <v>3</v>
      </c>
    </row>
    <row s="1843" customFormat="1" customHeight="1" ht="27.299999999999997">
      <c r="A4" s="782"/>
      <c r="B4" s="441"/>
      <c r="C4" s="782"/>
      <c r="D4" s="188"/>
      <c r="E4" s="2124" t="str">
        <f>NameTemplatesInListMO</f>
        <v>Перечень муниципальных районов и муниципальных образований (территорий действия тарифа)</v>
      </c>
      <c r="F4" s="2124"/>
      <c r="G4" s="2124"/>
      <c r="H4" s="2124"/>
      <c r="I4" s="2124"/>
      <c r="J4" s="271"/>
      <c r="K4" s="179"/>
      <c r="L4" s="179"/>
      <c r="M4" s="179"/>
      <c r="N4" s="250"/>
      <c r="O4" s="179"/>
      <c r="P4" s="249"/>
      <c r="Q4" s="249"/>
      <c r="R4" s="249"/>
      <c r="S4" s="249"/>
      <c r="AC4" s="140">
        <v>26</v>
      </c>
    </row>
    <row s="1843" customFormat="1" customHeight="1" ht="3">
      <c r="A5" s="782"/>
      <c r="B5" s="441"/>
      <c r="C5" s="782"/>
      <c r="D5" s="188"/>
      <c r="E5" s="127"/>
      <c r="F5" s="533"/>
      <c r="G5" s="191"/>
      <c r="H5" s="191"/>
      <c r="I5" s="192"/>
      <c r="J5" s="179"/>
      <c r="K5" s="179"/>
      <c r="L5" s="179"/>
      <c r="M5" s="179"/>
      <c r="N5" s="250"/>
      <c r="O5" s="179"/>
      <c r="P5" s="249"/>
      <c r="Q5" s="249"/>
      <c r="R5" s="249"/>
      <c r="S5" s="249"/>
      <c r="AC5" s="140">
        <v>3</v>
      </c>
    </row>
    <row s="1843" customFormat="1" customHeight="1" ht="20.25" hidden="1">
      <c r="A6" s="861"/>
      <c r="B6" s="857"/>
      <c r="C6" s="193"/>
      <c r="D6" s="188"/>
      <c r="E6" s="803"/>
      <c r="F6" s="803"/>
      <c r="G6" s="191"/>
      <c r="H6" s="194"/>
      <c r="I6" s="194"/>
      <c r="J6" s="179"/>
      <c r="K6" s="179"/>
      <c r="L6" s="179"/>
      <c r="M6" s="179"/>
      <c r="N6" s="250"/>
      <c r="O6" s="179"/>
      <c r="P6" s="249"/>
      <c r="Q6" s="249"/>
      <c r="R6" s="249"/>
      <c r="S6" s="249"/>
      <c r="AC6" s="140">
        <v>0</v>
      </c>
    </row>
    <row customHeight="1" ht="25.5" hidden="1">
      <c r="AC7" s="107">
        <v>0</v>
      </c>
    </row>
    <row s="1843" customFormat="1" customHeight="1" ht="14.699999999999998">
      <c r="A8" s="782"/>
      <c r="B8" s="441"/>
      <c r="C8" s="782"/>
      <c r="D8" s="188"/>
      <c r="E8" s="2125" t="s">
        <v>86</v>
      </c>
      <c r="F8" s="2126"/>
      <c r="G8" s="2127"/>
      <c r="H8" s="2128" t="s">
        <v>87</v>
      </c>
      <c r="I8" s="2128"/>
      <c r="J8" s="179"/>
      <c r="K8" s="179"/>
      <c r="L8" s="179"/>
      <c r="M8" s="179"/>
      <c r="N8" s="250"/>
      <c r="O8" s="179"/>
      <c r="P8" s="249"/>
      <c r="Q8" s="249"/>
      <c r="R8" s="249"/>
      <c r="S8" s="249"/>
      <c r="AC8" s="140">
        <v>14</v>
      </c>
    </row>
    <row s="1843" customFormat="1" customHeight="1" ht="21">
      <c r="A9" s="782"/>
      <c r="B9" s="441"/>
      <c r="C9" s="782"/>
      <c r="D9" s="188"/>
      <c r="E9" s="801" t="s">
        <v>88</v>
      </c>
      <c r="F9" s="801"/>
      <c r="G9" s="196" t="s">
        <v>89</v>
      </c>
      <c r="H9" s="196" t="s">
        <v>89</v>
      </c>
      <c r="I9" s="196" t="s">
        <v>85</v>
      </c>
      <c r="J9" s="179"/>
      <c r="K9" s="179"/>
      <c r="L9" s="179"/>
      <c r="M9" s="179"/>
      <c r="N9" s="250"/>
      <c r="O9" s="179"/>
      <c r="P9" s="249"/>
      <c r="Q9" s="249"/>
      <c r="R9" s="249"/>
      <c r="S9" s="249"/>
      <c r="AC9" s="140">
        <v>20</v>
      </c>
    </row>
    <row customHeight="1" ht="11.549999999999999">
      <c r="D10" s="200"/>
      <c r="E10" s="802" t="s">
        <v>90</v>
      </c>
      <c r="F10" s="802"/>
      <c r="G10" s="247" t="s">
        <v>91</v>
      </c>
      <c r="H10" s="247" t="s">
        <v>92</v>
      </c>
      <c r="I10" s="247" t="s">
        <v>93</v>
      </c>
      <c r="J10" s="210"/>
      <c r="K10" s="210"/>
      <c r="L10" s="210"/>
      <c r="M10" s="210"/>
      <c r="N10" s="195"/>
      <c r="O10" s="210"/>
      <c r="P10" s="248"/>
      <c r="Q10" s="248"/>
      <c r="R10" s="248"/>
      <c r="S10" s="248"/>
      <c r="AC10" s="107">
        <v>11</v>
      </c>
    </row>
    <row s="1843" customFormat="1" customHeight="1" ht="1.05">
      <c r="A11" s="782"/>
      <c r="B11" s="441"/>
      <c r="C11" s="782"/>
      <c r="D11" s="188"/>
      <c r="E11" s="814"/>
      <c r="F11" s="814"/>
      <c r="G11" s="197"/>
      <c r="H11" s="197"/>
      <c r="I11" s="199"/>
      <c r="J11" s="273" t="s">
        <v>94</v>
      </c>
      <c r="K11" s="179"/>
      <c r="L11" s="179"/>
      <c r="M11" s="179" t="s">
        <v>95</v>
      </c>
      <c r="N11" s="250" t="s">
        <v>96</v>
      </c>
      <c r="O11" s="179" t="s">
        <v>97</v>
      </c>
      <c r="P11" s="249"/>
      <c r="Q11" s="249"/>
      <c r="R11" s="249"/>
      <c r="S11" s="249"/>
      <c r="AC11" s="140">
        <v>1</v>
      </c>
    </row>
    <row s="1843" customFormat="1" customHeight="1" ht="15">
      <c r="A12" s="2123">
        <v>1</v>
      </c>
      <c r="B12" s="441"/>
      <c r="C12" s="782"/>
      <c r="D12" s="806"/>
      <c r="E12" s="243">
        <f>A12</f>
        <v>1</v>
      </c>
      <c r="F12" s="826" t="s">
        <v>98</v>
      </c>
      <c r="G12" s="564" t="str">
        <f>"Территория "&amp;E12</f>
        <v>Территория 1</v>
      </c>
      <c r="H12" s="816"/>
      <c r="I12" s="816"/>
      <c r="J12" s="813"/>
      <c r="K12" s="524"/>
      <c r="L12" s="524"/>
      <c r="M12" s="524"/>
      <c r="N12" s="250"/>
      <c r="O12" s="524"/>
      <c r="P12" s="249"/>
      <c r="Q12" s="249"/>
      <c r="R12" s="249"/>
      <c r="S12" s="249"/>
      <c r="AC12" s="531">
        <v>14</v>
      </c>
    </row>
    <row s="1874" customFormat="1" customHeight="1" ht="15.75">
      <c r="A13" s="2123"/>
      <c r="B13" s="441">
        <v>1</v>
      </c>
      <c r="C13" s="441"/>
      <c r="D13" s="824"/>
      <c r="E13" s="804" t="str">
        <f>A12&amp;"."&amp;B13</f>
        <v>1.1</v>
      </c>
      <c r="F13" s="819" t="s">
        <v>91</v>
      </c>
      <c r="G13" s="817" t="s">
        <v>99</v>
      </c>
      <c r="H13" s="817" t="s">
        <v>100</v>
      </c>
      <c r="I13" s="815" t="s">
        <v>101</v>
      </c>
      <c r="J13" s="524">
        <f>MERGEVALUE(G13)</f>
      </c>
      <c r="K13" s="535"/>
      <c r="L13" s="535"/>
      <c r="M13" s="524" t="str">
        <f t="array" ref="M13:M13">IF(ISERROR(MATCH(MID(N13,1,250),MID(note_ter,1,250),0)),"n","y")</f>
        <v>n</v>
      </c>
      <c r="N13" s="535"/>
      <c r="O13" s="524" t="str">
        <f>H13&amp;"("&amp;I13&amp;")"</f>
        <v>Город Амурск(08603101)</v>
      </c>
      <c r="P13" s="441"/>
      <c r="Q13" s="441"/>
      <c r="R13" s="444"/>
      <c r="S13" s="441"/>
      <c r="T13" s="441"/>
      <c r="U13" s="441"/>
      <c r="V13" s="446"/>
      <c r="W13" s="446"/>
      <c r="X13" s="443"/>
      <c r="Y13" s="443"/>
      <c r="Z13" s="443"/>
      <c r="AA13" s="443"/>
      <c r="AB13" s="443"/>
      <c r="AC13" s="447">
        <v>15</v>
      </c>
    </row>
    <row s="1874" customFormat="1" customHeight="1" ht="15.75">
      <c r="A14" s="2123"/>
      <c r="B14" s="441"/>
      <c r="C14" s="436"/>
      <c r="D14" s="825"/>
      <c r="E14" s="445"/>
      <c r="F14" s="201"/>
      <c r="G14" s="439" t="s">
        <v>102</v>
      </c>
      <c r="H14" s="211"/>
      <c r="I14" s="448"/>
      <c r="J14" s="535"/>
      <c r="K14" s="535"/>
      <c r="L14" s="535"/>
      <c r="M14" s="535"/>
      <c r="N14" s="524"/>
      <c r="O14" s="535"/>
      <c r="P14" s="441"/>
      <c r="Q14" s="441"/>
      <c r="R14" s="444"/>
      <c r="S14" s="441"/>
      <c r="T14" s="441"/>
      <c r="U14" s="441"/>
      <c r="V14" s="446"/>
      <c r="W14" s="446"/>
      <c r="X14" s="443"/>
      <c r="Y14" s="443"/>
      <c r="Z14" s="443"/>
      <c r="AA14" s="443"/>
      <c r="AB14" s="443"/>
      <c r="AC14" s="447">
        <v>15</v>
      </c>
    </row>
    <row customHeight="1" ht="15">
      <c r="A15" s="2241" t="s">
        <v>103</v>
      </c>
      <c r="B15" s="1184"/>
      <c r="C15" s="825" t="s">
        <v>104</v>
      </c>
      <c r="D15" s="1842"/>
      <c r="E15" s="1829" t="str">
        <f>A15</f>
        <v>2</v>
      </c>
      <c r="F15" s="828" t="s">
        <v>105</v>
      </c>
      <c r="G15" s="564" t="str">
        <f>"Территория "&amp;E15</f>
        <v>Территория 2</v>
      </c>
      <c r="H15" s="816"/>
      <c r="I15" s="816"/>
      <c r="J15" s="813"/>
      <c r="K15" s="1648"/>
      <c r="L15" s="1648"/>
      <c r="M15" s="1648"/>
      <c r="N15" s="250"/>
      <c r="O15" s="1648"/>
      <c r="P15" s="249"/>
      <c r="Q15" s="249"/>
      <c r="R15" s="249"/>
      <c r="S15" s="249"/>
      <c r="T15" s="1843"/>
      <c r="U15" s="1843"/>
      <c r="V15" s="1843"/>
      <c r="W15" s="1843"/>
      <c r="X15" s="1843"/>
      <c r="Y15" s="1843"/>
      <c r="Z15" s="1843"/>
      <c r="AA15" s="1843"/>
      <c r="AB15" s="1843"/>
      <c r="AC15" s="1843"/>
    </row>
    <row customHeight="1" ht="15">
      <c r="A16" s="2241"/>
      <c r="B16" s="1184">
        <v>1</v>
      </c>
      <c r="C16" s="1184"/>
      <c r="D16" s="824"/>
      <c r="E16" s="1837" t="str">
        <f>A15&amp;"."&amp;B16</f>
        <v>2.1</v>
      </c>
      <c r="F16" s="827" t="s">
        <v>106</v>
      </c>
      <c r="G16" s="817" t="s">
        <v>107</v>
      </c>
      <c r="H16" s="817" t="s">
        <v>108</v>
      </c>
      <c r="I16" s="815" t="s">
        <v>109</v>
      </c>
      <c r="J16" s="1648"/>
      <c r="K16" s="1660"/>
      <c r="L16" s="1660"/>
      <c r="M16" s="1648" t="str">
        <f t="array" ref="M16:M16">IF(ISERROR(MATCH(MID(N16,1,250),MID(note_ter,1,250),0)),"n","y")</f>
        <v>n</v>
      </c>
      <c r="N16" s="1660"/>
      <c r="O16" s="1648" t="str">
        <f>H16&amp;"("&amp;I16&amp;")"</f>
        <v>Город Николаевск-на-Амуре(08631101)</v>
      </c>
      <c r="P16" s="1184"/>
      <c r="Q16" s="1184"/>
      <c r="R16" s="444"/>
      <c r="S16" s="1184"/>
      <c r="T16" s="1184"/>
      <c r="U16" s="1184"/>
      <c r="V16" s="446"/>
      <c r="W16" s="446"/>
      <c r="X16" s="443"/>
      <c r="Y16" s="443"/>
      <c r="Z16" s="443"/>
      <c r="AA16" s="443"/>
      <c r="AB16" s="443"/>
      <c r="AC16" s="443"/>
    </row>
    <row customHeight="1" ht="15">
      <c r="A17" s="2241"/>
      <c r="B17" s="1184"/>
      <c r="C17" s="436"/>
      <c r="D17" s="825"/>
      <c r="E17" s="445"/>
      <c r="F17" s="201"/>
      <c r="G17" s="439" t="s">
        <v>102</v>
      </c>
      <c r="H17" s="211"/>
      <c r="I17" s="448"/>
      <c r="J17" s="1660"/>
      <c r="K17" s="1660"/>
      <c r="L17" s="1660"/>
      <c r="M17" s="1660"/>
      <c r="N17" s="1648"/>
      <c r="O17" s="1660"/>
      <c r="P17" s="1184"/>
      <c r="Q17" s="1184"/>
      <c r="R17" s="444"/>
      <c r="S17" s="1184"/>
      <c r="T17" s="1184"/>
      <c r="U17" s="1184"/>
      <c r="V17" s="446"/>
      <c r="W17" s="446"/>
      <c r="X17" s="443"/>
      <c r="Y17" s="443"/>
      <c r="Z17" s="443"/>
      <c r="AA17" s="443"/>
      <c r="AB17" s="443"/>
      <c r="AC17" s="443"/>
    </row>
    <row customHeight="1" ht="15">
      <c r="A18" s="2241" t="s">
        <v>90</v>
      </c>
      <c r="B18" s="1184"/>
      <c r="C18" s="825" t="s">
        <v>104</v>
      </c>
      <c r="D18" s="1842"/>
      <c r="E18" s="1829" t="str">
        <f>A18</f>
        <v>3</v>
      </c>
      <c r="F18" s="828" t="s">
        <v>110</v>
      </c>
      <c r="G18" s="564" t="str">
        <f>"Территория "&amp;E18</f>
        <v>Территория 3</v>
      </c>
      <c r="H18" s="816"/>
      <c r="I18" s="816"/>
      <c r="J18" s="813"/>
      <c r="K18" s="1648"/>
      <c r="L18" s="1648"/>
      <c r="M18" s="1648"/>
      <c r="N18" s="250"/>
      <c r="O18" s="1648"/>
      <c r="P18" s="249"/>
      <c r="Q18" s="249"/>
      <c r="R18" s="249"/>
      <c r="S18" s="249"/>
      <c r="T18" s="1843"/>
      <c r="U18" s="1843"/>
      <c r="V18" s="1843"/>
      <c r="W18" s="1843"/>
      <c r="X18" s="1843"/>
      <c r="Y18" s="1843"/>
      <c r="Z18" s="1843"/>
      <c r="AA18" s="1843"/>
      <c r="AB18" s="1843"/>
      <c r="AC18" s="1843"/>
    </row>
    <row customHeight="1" ht="15">
      <c r="A19" s="2241"/>
      <c r="B19" s="1184">
        <v>1</v>
      </c>
      <c r="C19" s="1184"/>
      <c r="D19" s="824"/>
      <c r="E19" s="1837" t="str">
        <f>A18&amp;"."&amp;B19</f>
        <v>3.1</v>
      </c>
      <c r="F19" s="827" t="s">
        <v>111</v>
      </c>
      <c r="G19" s="817" t="s">
        <v>112</v>
      </c>
      <c r="H19" s="817" t="s">
        <v>112</v>
      </c>
      <c r="I19" s="815" t="s">
        <v>113</v>
      </c>
      <c r="J19" s="1648"/>
      <c r="K19" s="1660"/>
      <c r="L19" s="1660"/>
      <c r="M19" s="1648" t="str">
        <f t="array" ref="M19:M19">IF(ISERROR(MATCH(MID(N19,1,250),MID(note_ter,1,250),0)),"n","y")</f>
        <v>n</v>
      </c>
      <c r="N19" s="1660"/>
      <c r="O19" s="1648" t="str">
        <f>H19&amp;"("&amp;I19&amp;")"</f>
        <v>Город Комсомольск-на-Амуре(08709000)</v>
      </c>
      <c r="P19" s="1184"/>
      <c r="Q19" s="1184"/>
      <c r="R19" s="444"/>
      <c r="S19" s="1184"/>
      <c r="T19" s="1184"/>
      <c r="U19" s="1184"/>
      <c r="V19" s="446"/>
      <c r="W19" s="446"/>
      <c r="X19" s="443"/>
      <c r="Y19" s="443"/>
      <c r="Z19" s="443"/>
      <c r="AA19" s="443"/>
      <c r="AB19" s="443"/>
      <c r="AC19" s="443"/>
    </row>
    <row customHeight="1" ht="15">
      <c r="A20" s="2241"/>
      <c r="B20" s="1184"/>
      <c r="C20" s="436"/>
      <c r="D20" s="825"/>
      <c r="E20" s="445"/>
      <c r="F20" s="201"/>
      <c r="G20" s="439" t="s">
        <v>102</v>
      </c>
      <c r="H20" s="211"/>
      <c r="I20" s="448"/>
      <c r="J20" s="1660"/>
      <c r="K20" s="1660"/>
      <c r="L20" s="1660"/>
      <c r="M20" s="1660"/>
      <c r="N20" s="1648"/>
      <c r="O20" s="1660"/>
      <c r="P20" s="1184"/>
      <c r="Q20" s="1184"/>
      <c r="R20" s="444"/>
      <c r="S20" s="1184"/>
      <c r="T20" s="1184"/>
      <c r="U20" s="1184"/>
      <c r="V20" s="446"/>
      <c r="W20" s="446"/>
      <c r="X20" s="443"/>
      <c r="Y20" s="443"/>
      <c r="Z20" s="443"/>
      <c r="AA20" s="443"/>
      <c r="AB20" s="443"/>
      <c r="AC20" s="443"/>
    </row>
    <row customHeight="1" ht="15">
      <c r="A21" s="2241" t="s">
        <v>91</v>
      </c>
      <c r="B21" s="1184"/>
      <c r="C21" s="825" t="s">
        <v>104</v>
      </c>
      <c r="D21" s="1842"/>
      <c r="E21" s="1829" t="str">
        <f>A21</f>
        <v>4</v>
      </c>
      <c r="F21" s="828" t="s">
        <v>114</v>
      </c>
      <c r="G21" s="564" t="str">
        <f>"Территория "&amp;E21</f>
        <v>Территория 4</v>
      </c>
      <c r="H21" s="816"/>
      <c r="I21" s="816"/>
      <c r="J21" s="813"/>
      <c r="K21" s="1648"/>
      <c r="L21" s="1648"/>
      <c r="M21" s="1648"/>
      <c r="N21" s="250"/>
      <c r="O21" s="1648"/>
      <c r="P21" s="249"/>
      <c r="Q21" s="249"/>
      <c r="R21" s="249"/>
      <c r="S21" s="249"/>
      <c r="T21" s="1843"/>
      <c r="U21" s="1843"/>
      <c r="V21" s="1843"/>
      <c r="W21" s="1843"/>
      <c r="X21" s="1843"/>
      <c r="Y21" s="1843"/>
      <c r="Z21" s="1843"/>
      <c r="AA21" s="1843"/>
      <c r="AB21" s="1843"/>
      <c r="AC21" s="1843"/>
    </row>
    <row customHeight="1" ht="15">
      <c r="A22" s="2241"/>
      <c r="B22" s="1184">
        <v>1</v>
      </c>
      <c r="C22" s="1184"/>
      <c r="D22" s="824"/>
      <c r="E22" s="1837" t="str">
        <f>A21&amp;"."&amp;B22</f>
        <v>4.1</v>
      </c>
      <c r="F22" s="827" t="s">
        <v>115</v>
      </c>
      <c r="G22" s="817" t="s">
        <v>116</v>
      </c>
      <c r="H22" s="817" t="s">
        <v>117</v>
      </c>
      <c r="I22" s="815" t="s">
        <v>118</v>
      </c>
      <c r="J22" s="1648"/>
      <c r="K22" s="1660"/>
      <c r="L22" s="1660"/>
      <c r="M22" s="1648" t="str">
        <f t="array" ref="M22:M22">IF(ISERROR(MATCH(MID(N22,1,250),MID(note_ter,1,250),0)),"n","y")</f>
        <v>n</v>
      </c>
      <c r="N22" s="1660"/>
      <c r="O22" s="1648" t="str">
        <f>H22&amp;"("&amp;I22&amp;")"</f>
        <v>Город Советская Гавань(08642101)</v>
      </c>
      <c r="P22" s="1184"/>
      <c r="Q22" s="1184"/>
      <c r="R22" s="444"/>
      <c r="S22" s="1184"/>
      <c r="T22" s="1184"/>
      <c r="U22" s="1184"/>
      <c r="V22" s="446"/>
      <c r="W22" s="446"/>
      <c r="X22" s="443"/>
      <c r="Y22" s="443"/>
      <c r="Z22" s="443"/>
      <c r="AA22" s="443"/>
      <c r="AB22" s="443"/>
      <c r="AC22" s="443"/>
    </row>
    <row customHeight="1" ht="15">
      <c r="A23" s="2241"/>
      <c r="B23" s="1184"/>
      <c r="C23" s="436"/>
      <c r="D23" s="825"/>
      <c r="E23" s="445"/>
      <c r="F23" s="201"/>
      <c r="G23" s="439" t="s">
        <v>102</v>
      </c>
      <c r="H23" s="211"/>
      <c r="I23" s="448"/>
      <c r="J23" s="1660"/>
      <c r="K23" s="1660"/>
      <c r="L23" s="1660"/>
      <c r="M23" s="1660"/>
      <c r="N23" s="1648"/>
      <c r="O23" s="1660"/>
      <c r="P23" s="1184"/>
      <c r="Q23" s="1184"/>
      <c r="R23" s="444"/>
      <c r="S23" s="1184"/>
      <c r="T23" s="1184"/>
      <c r="U23" s="1184"/>
      <c r="V23" s="446"/>
      <c r="W23" s="446"/>
      <c r="X23" s="443"/>
      <c r="Y23" s="443"/>
      <c r="Z23" s="443"/>
      <c r="AA23" s="443"/>
      <c r="AB23" s="443"/>
      <c r="AC23" s="443"/>
    </row>
    <row customHeight="1" ht="15">
      <c r="A24" s="2241" t="s">
        <v>119</v>
      </c>
      <c r="B24" s="1184"/>
      <c r="C24" s="825" t="s">
        <v>104</v>
      </c>
      <c r="D24" s="1842"/>
      <c r="E24" s="1829" t="str">
        <f>A24</f>
        <v>5</v>
      </c>
      <c r="F24" s="828" t="s">
        <v>120</v>
      </c>
      <c r="G24" s="564" t="str">
        <f>"Территория "&amp;E24</f>
        <v>Территория 5</v>
      </c>
      <c r="H24" s="816"/>
      <c r="I24" s="816"/>
      <c r="J24" s="813"/>
      <c r="K24" s="1648"/>
      <c r="L24" s="1648"/>
      <c r="M24" s="1648"/>
      <c r="N24" s="250"/>
      <c r="O24" s="1648"/>
      <c r="P24" s="249"/>
      <c r="Q24" s="249"/>
      <c r="R24" s="249"/>
      <c r="S24" s="249"/>
      <c r="T24" s="1843"/>
      <c r="U24" s="1843"/>
      <c r="V24" s="1843"/>
      <c r="W24" s="1843"/>
      <c r="X24" s="1843"/>
      <c r="Y24" s="1843"/>
      <c r="Z24" s="1843"/>
      <c r="AA24" s="1843"/>
      <c r="AB24" s="1843"/>
      <c r="AC24" s="1843"/>
    </row>
    <row customHeight="1" ht="15">
      <c r="A25" s="2241"/>
      <c r="B25" s="1184">
        <v>1</v>
      </c>
      <c r="C25" s="1184"/>
      <c r="D25" s="824"/>
      <c r="E25" s="1837" t="str">
        <f>A24&amp;"."&amp;B25</f>
        <v>5.1</v>
      </c>
      <c r="F25" s="827" t="s">
        <v>121</v>
      </c>
      <c r="G25" s="817" t="s">
        <v>116</v>
      </c>
      <c r="H25" s="817" t="s">
        <v>122</v>
      </c>
      <c r="I25" s="815" t="s">
        <v>123</v>
      </c>
      <c r="J25" s="1648"/>
      <c r="K25" s="1660"/>
      <c r="L25" s="1660"/>
      <c r="M25" s="1648" t="str">
        <f t="array" ref="M25:M25">IF(ISERROR(MATCH(MID(N25,1,250),MID(note_ter,1,250),0)),"n","y")</f>
        <v>n</v>
      </c>
      <c r="N25" s="1660"/>
      <c r="O25" s="1648" t="str">
        <f>H25&amp;"("&amp;I25&amp;")"</f>
        <v>Поселок Майский(08642165)</v>
      </c>
      <c r="P25" s="1184"/>
      <c r="Q25" s="1184"/>
      <c r="R25" s="444"/>
      <c r="S25" s="1184"/>
      <c r="T25" s="1184"/>
      <c r="U25" s="1184"/>
      <c r="V25" s="446"/>
      <c r="W25" s="446"/>
      <c r="X25" s="443"/>
      <c r="Y25" s="443"/>
      <c r="Z25" s="443"/>
      <c r="AA25" s="443"/>
      <c r="AB25" s="443"/>
      <c r="AC25" s="443"/>
    </row>
    <row customHeight="1" ht="15">
      <c r="A26" s="2241"/>
      <c r="B26" s="1184"/>
      <c r="C26" s="436"/>
      <c r="D26" s="825"/>
      <c r="E26" s="445"/>
      <c r="F26" s="201"/>
      <c r="G26" s="439" t="s">
        <v>102</v>
      </c>
      <c r="H26" s="211"/>
      <c r="I26" s="448"/>
      <c r="J26" s="1660"/>
      <c r="K26" s="1660"/>
      <c r="L26" s="1660"/>
      <c r="M26" s="1660"/>
      <c r="N26" s="1648"/>
      <c r="O26" s="1660"/>
      <c r="P26" s="1184"/>
      <c r="Q26" s="1184"/>
      <c r="R26" s="444"/>
      <c r="S26" s="1184"/>
      <c r="T26" s="1184"/>
      <c r="U26" s="1184"/>
      <c r="V26" s="446"/>
      <c r="W26" s="446"/>
      <c r="X26" s="443"/>
      <c r="Y26" s="443"/>
      <c r="Z26" s="443"/>
      <c r="AA26" s="443"/>
      <c r="AB26" s="443"/>
      <c r="AC26" s="443"/>
    </row>
    <row customHeight="1" ht="15">
      <c r="A27" s="2241" t="s">
        <v>92</v>
      </c>
      <c r="B27" s="1184"/>
      <c r="C27" s="825" t="s">
        <v>104</v>
      </c>
      <c r="D27" s="1842"/>
      <c r="E27" s="1829" t="str">
        <f>A27</f>
        <v>6</v>
      </c>
      <c r="F27" s="828" t="s">
        <v>124</v>
      </c>
      <c r="G27" s="564" t="str">
        <f>"Территория "&amp;E27</f>
        <v>Территория 6</v>
      </c>
      <c r="H27" s="816"/>
      <c r="I27" s="816"/>
      <c r="J27" s="813"/>
      <c r="K27" s="1648"/>
      <c r="L27" s="1648"/>
      <c r="M27" s="1648"/>
      <c r="N27" s="250"/>
      <c r="O27" s="1648"/>
      <c r="P27" s="249"/>
      <c r="Q27" s="249"/>
      <c r="R27" s="249"/>
      <c r="S27" s="249"/>
      <c r="T27" s="1843"/>
      <c r="U27" s="1843"/>
      <c r="V27" s="1843"/>
      <c r="W27" s="1843"/>
      <c r="X27" s="1843"/>
      <c r="Y27" s="1843"/>
      <c r="Z27" s="1843"/>
      <c r="AA27" s="1843"/>
      <c r="AB27" s="1843"/>
      <c r="AC27" s="1843"/>
    </row>
    <row customHeight="1" ht="15">
      <c r="A28" s="2241"/>
      <c r="B28" s="1184">
        <v>1</v>
      </c>
      <c r="C28" s="1184"/>
      <c r="D28" s="824"/>
      <c r="E28" s="1837" t="str">
        <f>A27&amp;"."&amp;B28</f>
        <v>6.1</v>
      </c>
      <c r="F28" s="827" t="s">
        <v>125</v>
      </c>
      <c r="G28" s="817" t="s">
        <v>126</v>
      </c>
      <c r="H28" s="817" t="s">
        <v>127</v>
      </c>
      <c r="I28" s="815" t="s">
        <v>128</v>
      </c>
      <c r="J28" s="1648"/>
      <c r="K28" s="1660"/>
      <c r="L28" s="1660"/>
      <c r="M28" s="1648" t="str">
        <f t="array" ref="M28:M28">IF(ISERROR(MATCH(MID(N28,1,250),MID(note_ter,1,250),0)),"n","y")</f>
        <v>n</v>
      </c>
      <c r="N28" s="1660"/>
      <c r="O28" s="1648" t="str">
        <f>H28&amp;"("&amp;I28&amp;")"</f>
        <v>Поселок Чегдомын(08614151)</v>
      </c>
      <c r="P28" s="1184"/>
      <c r="Q28" s="1184"/>
      <c r="R28" s="444"/>
      <c r="S28" s="1184"/>
      <c r="T28" s="1184"/>
      <c r="U28" s="1184"/>
      <c r="V28" s="446"/>
      <c r="W28" s="446"/>
      <c r="X28" s="443"/>
      <c r="Y28" s="443"/>
      <c r="Z28" s="443"/>
      <c r="AA28" s="443"/>
      <c r="AB28" s="443"/>
      <c r="AC28" s="443"/>
    </row>
    <row customHeight="1" ht="15">
      <c r="A29" s="2241"/>
      <c r="B29" s="1184"/>
      <c r="C29" s="436"/>
      <c r="D29" s="825"/>
      <c r="E29" s="445"/>
      <c r="F29" s="201"/>
      <c r="G29" s="439" t="s">
        <v>102</v>
      </c>
      <c r="H29" s="211"/>
      <c r="I29" s="448"/>
      <c r="J29" s="1660"/>
      <c r="K29" s="1660"/>
      <c r="L29" s="1660"/>
      <c r="M29" s="1660"/>
      <c r="N29" s="1648"/>
      <c r="O29" s="1660"/>
      <c r="P29" s="1184"/>
      <c r="Q29" s="1184"/>
      <c r="R29" s="444"/>
      <c r="S29" s="1184"/>
      <c r="T29" s="1184"/>
      <c r="U29" s="1184"/>
      <c r="V29" s="446"/>
      <c r="W29" s="446"/>
      <c r="X29" s="443"/>
      <c r="Y29" s="443"/>
      <c r="Z29" s="443"/>
      <c r="AA29" s="443"/>
      <c r="AB29" s="443"/>
      <c r="AC29" s="443"/>
    </row>
    <row customHeight="1" ht="15">
      <c r="A30" s="2241" t="s">
        <v>93</v>
      </c>
      <c r="B30" s="1184"/>
      <c r="C30" s="825" t="s">
        <v>104</v>
      </c>
      <c r="D30" s="1842"/>
      <c r="E30" s="1829" t="str">
        <f>A30</f>
        <v>7</v>
      </c>
      <c r="F30" s="828" t="s">
        <v>129</v>
      </c>
      <c r="G30" s="564" t="str">
        <f>"Территория "&amp;E30</f>
        <v>Территория 7</v>
      </c>
      <c r="H30" s="816"/>
      <c r="I30" s="816"/>
      <c r="J30" s="813"/>
      <c r="K30" s="1648"/>
      <c r="L30" s="1648"/>
      <c r="M30" s="1648"/>
      <c r="N30" s="250"/>
      <c r="O30" s="1648"/>
      <c r="P30" s="249"/>
      <c r="Q30" s="249"/>
      <c r="R30" s="249"/>
      <c r="S30" s="249"/>
      <c r="T30" s="1843"/>
      <c r="U30" s="1843"/>
      <c r="V30" s="1843"/>
      <c r="W30" s="1843"/>
      <c r="X30" s="1843"/>
      <c r="Y30" s="1843"/>
      <c r="Z30" s="1843"/>
      <c r="AA30" s="1843"/>
      <c r="AB30" s="1843"/>
      <c r="AC30" s="1843"/>
    </row>
    <row customHeight="1" ht="15">
      <c r="A31" s="2241"/>
      <c r="B31" s="1184">
        <v>1</v>
      </c>
      <c r="C31" s="1184"/>
      <c r="D31" s="824"/>
      <c r="E31" s="1837" t="str">
        <f>A30&amp;"."&amp;B31</f>
        <v>7.1</v>
      </c>
      <c r="F31" s="827" t="s">
        <v>130</v>
      </c>
      <c r="G31" s="817" t="s">
        <v>131</v>
      </c>
      <c r="H31" s="817" t="s">
        <v>131</v>
      </c>
      <c r="I31" s="815" t="s">
        <v>132</v>
      </c>
      <c r="J31" s="1648"/>
      <c r="K31" s="1660"/>
      <c r="L31" s="1660"/>
      <c r="M31" s="1648" t="str">
        <f t="array" ref="M31:M31">IF(ISERROR(MATCH(MID(N31,1,250),MID(note_ter,1,250),0)),"n","y")</f>
        <v>n</v>
      </c>
      <c r="N31" s="1660"/>
      <c r="O31" s="1648" t="str">
        <f>H31&amp;"("&amp;I31&amp;")"</f>
        <v>Город Хабаровск(08701000)</v>
      </c>
      <c r="P31" s="1184"/>
      <c r="Q31" s="1184"/>
      <c r="R31" s="444"/>
      <c r="S31" s="1184"/>
      <c r="T31" s="1184"/>
      <c r="U31" s="1184"/>
      <c r="V31" s="446"/>
      <c r="W31" s="446"/>
      <c r="X31" s="443"/>
      <c r="Y31" s="443"/>
      <c r="Z31" s="443"/>
      <c r="AA31" s="443"/>
      <c r="AB31" s="443"/>
      <c r="AC31" s="443"/>
    </row>
    <row customHeight="1" ht="15">
      <c r="A32" s="1906"/>
      <c r="B32" s="1390" t="s">
        <v>103</v>
      </c>
      <c r="C32" s="1390"/>
      <c r="D32" s="824" t="s">
        <v>104</v>
      </c>
      <c r="E32" s="1902" t="str">
        <f>A30&amp;"."&amp;B32</f>
        <v>7.2</v>
      </c>
      <c r="F32" s="1907" t="s">
        <v>133</v>
      </c>
      <c r="G32" s="1911" t="s">
        <v>134</v>
      </c>
      <c r="H32" s="1911" t="s">
        <v>135</v>
      </c>
      <c r="I32" s="1909" t="s">
        <v>136</v>
      </c>
      <c r="J32" s="1648"/>
      <c r="K32" s="1660"/>
      <c r="L32" s="1660"/>
      <c r="M32" s="1648" t="str">
        <f t="array" ref="M32:M32">IF(ISERROR(MATCH(MID(N32,1,250),MID(note_ter,1,250),0)),"n","y")</f>
        <v>n</v>
      </c>
      <c r="N32" s="1660"/>
      <c r="O32" s="1648" t="str">
        <f>H32&amp;"("&amp;I32&amp;")"</f>
        <v>Ильинское(08655419)</v>
      </c>
      <c r="P32" s="1390"/>
      <c r="Q32" s="1390"/>
      <c r="R32" s="444"/>
      <c r="S32" s="1390"/>
      <c r="T32" s="1390"/>
      <c r="U32" s="1390"/>
      <c r="V32" s="857"/>
      <c r="W32" s="857"/>
      <c r="X32" s="651"/>
      <c r="Y32" s="651"/>
      <c r="Z32" s="651"/>
      <c r="AA32" s="651"/>
      <c r="AB32" s="651"/>
      <c r="AC32" s="651"/>
    </row>
    <row customHeight="1" ht="15">
      <c r="A33" s="1906"/>
      <c r="B33" s="1390" t="s">
        <v>90</v>
      </c>
      <c r="C33" s="1390"/>
      <c r="D33" s="824" t="s">
        <v>104</v>
      </c>
      <c r="E33" s="1902" t="str">
        <f>A30&amp;"."&amp;B33</f>
        <v>7.3</v>
      </c>
      <c r="F33" s="1907" t="s">
        <v>137</v>
      </c>
      <c r="G33" s="1911" t="s">
        <v>134</v>
      </c>
      <c r="H33" s="1911" t="s">
        <v>138</v>
      </c>
      <c r="I33" s="1909" t="s">
        <v>139</v>
      </c>
      <c r="J33" s="1648"/>
      <c r="K33" s="1660"/>
      <c r="L33" s="1660"/>
      <c r="M33" s="1648" t="str">
        <f t="array" ref="M33:M33">IF(ISERROR(MATCH(MID(N33,1,250),MID(note_ter,1,250),0)),"n","y")</f>
        <v>n</v>
      </c>
      <c r="N33" s="1660"/>
      <c r="O33" s="1648" t="str">
        <f>H33&amp;"("&amp;I33&amp;")"</f>
        <v>Поселок Корфовский(08655155)</v>
      </c>
      <c r="P33" s="1390"/>
      <c r="Q33" s="1390"/>
      <c r="R33" s="444"/>
      <c r="S33" s="1390"/>
      <c r="T33" s="1390"/>
      <c r="U33" s="1390"/>
      <c r="V33" s="857"/>
      <c r="W33" s="857"/>
      <c r="X33" s="651"/>
      <c r="Y33" s="651"/>
      <c r="Z33" s="651"/>
      <c r="AA33" s="651"/>
      <c r="AB33" s="651"/>
      <c r="AC33" s="651"/>
    </row>
    <row customHeight="1" ht="15">
      <c r="A34" s="1906"/>
      <c r="B34" s="1390" t="s">
        <v>91</v>
      </c>
      <c r="C34" s="1390"/>
      <c r="D34" s="824" t="s">
        <v>104</v>
      </c>
      <c r="E34" s="1902" t="str">
        <f>A30&amp;"."&amp;B34</f>
        <v>7.4</v>
      </c>
      <c r="F34" s="1907" t="s">
        <v>140</v>
      </c>
      <c r="G34" s="1911" t="s">
        <v>134</v>
      </c>
      <c r="H34" s="1911" t="s">
        <v>141</v>
      </c>
      <c r="I34" s="1909" t="s">
        <v>142</v>
      </c>
      <c r="J34" s="1648"/>
      <c r="K34" s="1660"/>
      <c r="L34" s="1660"/>
      <c r="M34" s="1648" t="str">
        <f t="array" ref="M34:M34">IF(ISERROR(MATCH(MID(N34,1,250),MID(note_ter,1,250),0)),"n","y")</f>
        <v>n</v>
      </c>
      <c r="N34" s="1660"/>
      <c r="O34" s="1648" t="str">
        <f>H34&amp;"("&amp;I34&amp;")"</f>
        <v>Ракитненское(08655459)</v>
      </c>
      <c r="P34" s="1390"/>
      <c r="Q34" s="1390"/>
      <c r="R34" s="444"/>
      <c r="S34" s="1390"/>
      <c r="T34" s="1390"/>
      <c r="U34" s="1390"/>
      <c r="V34" s="857"/>
      <c r="W34" s="857"/>
      <c r="X34" s="651"/>
      <c r="Y34" s="651"/>
      <c r="Z34" s="651"/>
      <c r="AA34" s="651"/>
      <c r="AB34" s="651"/>
      <c r="AC34" s="651"/>
    </row>
    <row customHeight="1" ht="15">
      <c r="A35" s="2241"/>
      <c r="B35" s="1184"/>
      <c r="C35" s="436"/>
      <c r="D35" s="825"/>
      <c r="E35" s="445"/>
      <c r="F35" s="201"/>
      <c r="G35" s="439" t="s">
        <v>102</v>
      </c>
      <c r="H35" s="211"/>
      <c r="I35" s="448"/>
      <c r="J35" s="1660"/>
      <c r="K35" s="1660"/>
      <c r="L35" s="1660"/>
      <c r="M35" s="1660"/>
      <c r="N35" s="1648"/>
      <c r="O35" s="1660"/>
      <c r="P35" s="1184"/>
      <c r="Q35" s="1184"/>
      <c r="R35" s="444"/>
      <c r="S35" s="1184"/>
      <c r="T35" s="1184"/>
      <c r="U35" s="1184"/>
      <c r="V35" s="446"/>
      <c r="W35" s="446"/>
      <c r="X35" s="443"/>
      <c r="Y35" s="443"/>
      <c r="Z35" s="443"/>
      <c r="AA35" s="443"/>
      <c r="AB35" s="443"/>
      <c r="AC35" s="443"/>
    </row>
    <row customHeight="1" ht="15">
      <c r="A36" s="2241" t="s">
        <v>143</v>
      </c>
      <c r="B36" s="1184"/>
      <c r="C36" s="825" t="s">
        <v>104</v>
      </c>
      <c r="D36" s="1842"/>
      <c r="E36" s="1829" t="str">
        <f>A36</f>
        <v>8</v>
      </c>
      <c r="F36" s="828" t="s">
        <v>144</v>
      </c>
      <c r="G36" s="564" t="str">
        <f>"Территория "&amp;E36</f>
        <v>Территория 8</v>
      </c>
      <c r="H36" s="816"/>
      <c r="I36" s="816"/>
      <c r="J36" s="813"/>
      <c r="K36" s="1648"/>
      <c r="L36" s="1648"/>
      <c r="M36" s="1648"/>
      <c r="N36" s="250"/>
      <c r="O36" s="1648"/>
      <c r="P36" s="249"/>
      <c r="Q36" s="249"/>
      <c r="R36" s="249"/>
      <c r="S36" s="249"/>
      <c r="T36" s="1843"/>
      <c r="U36" s="1843"/>
      <c r="V36" s="1843"/>
      <c r="W36" s="1843"/>
      <c r="X36" s="1843"/>
      <c r="Y36" s="1843"/>
      <c r="Z36" s="1843"/>
      <c r="AA36" s="1843"/>
      <c r="AB36" s="1843"/>
      <c r="AC36" s="1843"/>
    </row>
    <row customHeight="1" ht="15">
      <c r="A37" s="2241"/>
      <c r="B37" s="1184">
        <v>1</v>
      </c>
      <c r="C37" s="1184"/>
      <c r="D37" s="824"/>
      <c r="E37" s="1837" t="str">
        <f>A36&amp;"."&amp;B37</f>
        <v>8.1</v>
      </c>
      <c r="F37" s="827" t="s">
        <v>130</v>
      </c>
      <c r="G37" s="817" t="s">
        <v>131</v>
      </c>
      <c r="H37" s="817" t="s">
        <v>131</v>
      </c>
      <c r="I37" s="815" t="s">
        <v>132</v>
      </c>
      <c r="J37" s="1648"/>
      <c r="K37" s="1660"/>
      <c r="L37" s="1660"/>
      <c r="M37" s="1648" t="str">
        <f t="array" ref="M37:M37">IF(ISERROR(MATCH(MID(N37,1,250),MID(note_ter,1,250),0)),"n","y")</f>
        <v>n</v>
      </c>
      <c r="N37" s="1660"/>
      <c r="O37" s="1648" t="str">
        <f>H37&amp;"("&amp;I37&amp;")"</f>
        <v>Город Хабаровск(08701000)</v>
      </c>
      <c r="P37" s="1184"/>
      <c r="Q37" s="1184"/>
      <c r="R37" s="444"/>
      <c r="S37" s="1184"/>
      <c r="T37" s="1184"/>
      <c r="U37" s="1184"/>
      <c r="V37" s="446"/>
      <c r="W37" s="446"/>
      <c r="X37" s="443"/>
      <c r="Y37" s="443"/>
      <c r="Z37" s="443"/>
      <c r="AA37" s="443"/>
      <c r="AB37" s="443"/>
      <c r="AC37" s="443"/>
    </row>
    <row customHeight="1" ht="15">
      <c r="A38" s="2241"/>
      <c r="B38" s="1184"/>
      <c r="C38" s="436"/>
      <c r="D38" s="825"/>
      <c r="E38" s="445"/>
      <c r="F38" s="201"/>
      <c r="G38" s="439" t="s">
        <v>102</v>
      </c>
      <c r="H38" s="211"/>
      <c r="I38" s="448"/>
      <c r="J38" s="1660"/>
      <c r="K38" s="1660"/>
      <c r="L38" s="1660"/>
      <c r="M38" s="1660"/>
      <c r="N38" s="1648"/>
      <c r="O38" s="1660"/>
      <c r="P38" s="1184"/>
      <c r="Q38" s="1184"/>
      <c r="R38" s="444"/>
      <c r="S38" s="1184"/>
      <c r="T38" s="1184"/>
      <c r="U38" s="1184"/>
      <c r="V38" s="446"/>
      <c r="W38" s="446"/>
      <c r="X38" s="443"/>
      <c r="Y38" s="443"/>
      <c r="Z38" s="443"/>
      <c r="AA38" s="443"/>
      <c r="AB38" s="443"/>
      <c r="AC38" s="443"/>
    </row>
    <row customHeight="1" ht="15">
      <c r="A39" s="2241" t="s">
        <v>145</v>
      </c>
      <c r="B39" s="1184"/>
      <c r="C39" s="825" t="s">
        <v>104</v>
      </c>
      <c r="D39" s="1842"/>
      <c r="E39" s="1829" t="str">
        <f>A39</f>
        <v>9</v>
      </c>
      <c r="F39" s="828" t="s">
        <v>146</v>
      </c>
      <c r="G39" s="564" t="str">
        <f>"Территория "&amp;E39</f>
        <v>Территория 9</v>
      </c>
      <c r="H39" s="816"/>
      <c r="I39" s="816"/>
      <c r="J39" s="813"/>
      <c r="K39" s="1648"/>
      <c r="L39" s="1648"/>
      <c r="M39" s="1648"/>
      <c r="N39" s="250"/>
      <c r="O39" s="1648"/>
      <c r="P39" s="249"/>
      <c r="Q39" s="249"/>
      <c r="R39" s="249"/>
      <c r="S39" s="249"/>
      <c r="T39" s="1843"/>
      <c r="U39" s="1843"/>
      <c r="V39" s="1843"/>
      <c r="W39" s="1843"/>
      <c r="X39" s="1843"/>
      <c r="Y39" s="1843"/>
      <c r="Z39" s="1843"/>
      <c r="AA39" s="1843"/>
      <c r="AB39" s="1843"/>
      <c r="AC39" s="1843"/>
    </row>
    <row customHeight="1" ht="15">
      <c r="A40" s="2241"/>
      <c r="B40" s="1184">
        <v>1</v>
      </c>
      <c r="C40" s="1184"/>
      <c r="D40" s="824"/>
      <c r="E40" s="1837" t="str">
        <f>A39&amp;"."&amp;B40</f>
        <v>9.1</v>
      </c>
      <c r="F40" s="827" t="s">
        <v>130</v>
      </c>
      <c r="G40" s="817" t="s">
        <v>131</v>
      </c>
      <c r="H40" s="817" t="s">
        <v>131</v>
      </c>
      <c r="I40" s="815" t="s">
        <v>132</v>
      </c>
      <c r="J40" s="1648"/>
      <c r="K40" s="1660"/>
      <c r="L40" s="1660"/>
      <c r="M40" s="1648" t="str">
        <f t="array" ref="M40:M40">IF(ISERROR(MATCH(MID(N40,1,250),MID(note_ter,1,250),0)),"n","y")</f>
        <v>n</v>
      </c>
      <c r="N40" s="1660"/>
      <c r="O40" s="1648" t="str">
        <f>H40&amp;"("&amp;I40&amp;")"</f>
        <v>Город Хабаровск(08701000)</v>
      </c>
      <c r="P40" s="1184"/>
      <c r="Q40" s="1184"/>
      <c r="R40" s="444"/>
      <c r="S40" s="1184"/>
      <c r="T40" s="1184"/>
      <c r="U40" s="1184"/>
      <c r="V40" s="446"/>
      <c r="W40" s="446"/>
      <c r="X40" s="443"/>
      <c r="Y40" s="443"/>
      <c r="Z40" s="443"/>
      <c r="AA40" s="443"/>
      <c r="AB40" s="443"/>
      <c r="AC40" s="443"/>
    </row>
    <row customHeight="1" ht="15">
      <c r="A41" s="1906"/>
      <c r="B41" s="1390" t="s">
        <v>103</v>
      </c>
      <c r="C41" s="1390"/>
      <c r="D41" s="824" t="s">
        <v>104</v>
      </c>
      <c r="E41" s="1902" t="str">
        <f>A39&amp;"."&amp;B41</f>
        <v>9.2</v>
      </c>
      <c r="F41" s="1907" t="s">
        <v>147</v>
      </c>
      <c r="G41" s="1911" t="s">
        <v>134</v>
      </c>
      <c r="H41" s="1911" t="s">
        <v>148</v>
      </c>
      <c r="I41" s="1909" t="s">
        <v>149</v>
      </c>
      <c r="J41" s="1648"/>
      <c r="K41" s="1660"/>
      <c r="L41" s="1660"/>
      <c r="M41" s="1648" t="str">
        <f t="array" ref="M41:M41">IF(ISERROR(MATCH(MID(N41,1,250),MID(note_ter,1,250),0)),"n","y")</f>
        <v>n</v>
      </c>
      <c r="N41" s="1660"/>
      <c r="O41" s="1648" t="str">
        <f>H41&amp;"("&amp;I41&amp;")"</f>
        <v>Восточное(08655476)</v>
      </c>
      <c r="P41" s="1390"/>
      <c r="Q41" s="1390"/>
      <c r="R41" s="444"/>
      <c r="S41" s="1390"/>
      <c r="T41" s="1390"/>
      <c r="U41" s="1390"/>
      <c r="V41" s="857"/>
      <c r="W41" s="857"/>
      <c r="X41" s="651"/>
      <c r="Y41" s="651"/>
      <c r="Z41" s="651"/>
      <c r="AA41" s="651"/>
      <c r="AB41" s="651"/>
      <c r="AC41" s="651"/>
    </row>
    <row customHeight="1" ht="15">
      <c r="A42" s="1906"/>
      <c r="B42" s="1390" t="s">
        <v>90</v>
      </c>
      <c r="C42" s="1390"/>
      <c r="D42" s="824" t="s">
        <v>104</v>
      </c>
      <c r="E42" s="1902" t="str">
        <f>A39&amp;"."&amp;B42</f>
        <v>9.3</v>
      </c>
      <c r="F42" s="1907" t="s">
        <v>150</v>
      </c>
      <c r="G42" s="1911" t="s">
        <v>134</v>
      </c>
      <c r="H42" s="1911" t="s">
        <v>151</v>
      </c>
      <c r="I42" s="1909" t="s">
        <v>152</v>
      </c>
      <c r="J42" s="1648"/>
      <c r="K42" s="1660"/>
      <c r="L42" s="1660"/>
      <c r="M42" s="1648" t="str">
        <f t="array" ref="M42:M42">IF(ISERROR(MATCH(MID(N42,1,250),MID(note_ter,1,250),0)),"n","y")</f>
        <v>n</v>
      </c>
      <c r="N42" s="1660"/>
      <c r="O42" s="1648" t="str">
        <f>H42&amp;"("&amp;I42&amp;")"</f>
        <v>Мирненское(08655440)</v>
      </c>
      <c r="P42" s="1390"/>
      <c r="Q42" s="1390"/>
      <c r="R42" s="444"/>
      <c r="S42" s="1390"/>
      <c r="T42" s="1390"/>
      <c r="U42" s="1390"/>
      <c r="V42" s="857"/>
      <c r="W42" s="857"/>
      <c r="X42" s="651"/>
      <c r="Y42" s="651"/>
      <c r="Z42" s="651"/>
      <c r="AA42" s="651"/>
      <c r="AB42" s="651"/>
      <c r="AC42" s="651"/>
    </row>
    <row customHeight="1" ht="15">
      <c r="A43" s="1906"/>
      <c r="B43" s="1390" t="s">
        <v>91</v>
      </c>
      <c r="C43" s="1390"/>
      <c r="D43" s="824" t="s">
        <v>104</v>
      </c>
      <c r="E43" s="1902" t="str">
        <f>A39&amp;"."&amp;B43</f>
        <v>9.4</v>
      </c>
      <c r="F43" s="1907" t="s">
        <v>153</v>
      </c>
      <c r="G43" s="1911" t="s">
        <v>134</v>
      </c>
      <c r="H43" s="1911" t="s">
        <v>154</v>
      </c>
      <c r="I43" s="1909" t="s">
        <v>155</v>
      </c>
      <c r="J43" s="1648"/>
      <c r="K43" s="1660"/>
      <c r="L43" s="1660"/>
      <c r="M43" s="1648" t="str">
        <f t="array" ref="M43:M43">IF(ISERROR(MATCH(MID(N43,1,250),MID(note_ter,1,250),0)),"n","y")</f>
        <v>n</v>
      </c>
      <c r="N43" s="1660"/>
      <c r="O43" s="1648" t="str">
        <f>H43&amp;"("&amp;I43&amp;")"</f>
        <v>Тополевское(08655465)</v>
      </c>
      <c r="P43" s="1390"/>
      <c r="Q43" s="1390"/>
      <c r="R43" s="444"/>
      <c r="S43" s="1390"/>
      <c r="T43" s="1390"/>
      <c r="U43" s="1390"/>
      <c r="V43" s="857"/>
      <c r="W43" s="857"/>
      <c r="X43" s="651"/>
      <c r="Y43" s="651"/>
      <c r="Z43" s="651"/>
      <c r="AA43" s="651"/>
      <c r="AB43" s="651"/>
      <c r="AC43" s="651"/>
    </row>
    <row customHeight="1" ht="15">
      <c r="A44" s="2241"/>
      <c r="B44" s="1184"/>
      <c r="C44" s="436"/>
      <c r="D44" s="825"/>
      <c r="E44" s="445"/>
      <c r="F44" s="201"/>
      <c r="G44" s="439" t="s">
        <v>102</v>
      </c>
      <c r="H44" s="211"/>
      <c r="I44" s="448"/>
      <c r="J44" s="1660"/>
      <c r="K44" s="1660"/>
      <c r="L44" s="1660"/>
      <c r="M44" s="1660"/>
      <c r="N44" s="1648"/>
      <c r="O44" s="1660"/>
      <c r="P44" s="1184"/>
      <c r="Q44" s="1184"/>
      <c r="R44" s="444"/>
      <c r="S44" s="1184"/>
      <c r="T44" s="1184"/>
      <c r="U44" s="1184"/>
      <c r="V44" s="446"/>
      <c r="W44" s="446"/>
      <c r="X44" s="443"/>
      <c r="Y44" s="443"/>
      <c r="Z44" s="443"/>
      <c r="AA44" s="443"/>
      <c r="AB44" s="443"/>
      <c r="AC44" s="443"/>
    </row>
    <row customHeight="1" ht="15">
      <c r="A45" s="2241" t="s">
        <v>156</v>
      </c>
      <c r="B45" s="1184"/>
      <c r="C45" s="825" t="s">
        <v>104</v>
      </c>
      <c r="D45" s="1842"/>
      <c r="E45" s="1829" t="str">
        <f>A45</f>
        <v>10</v>
      </c>
      <c r="F45" s="828" t="s">
        <v>157</v>
      </c>
      <c r="G45" s="564" t="str">
        <f>"Территория "&amp;E45</f>
        <v>Территория 10</v>
      </c>
      <c r="H45" s="816"/>
      <c r="I45" s="816"/>
      <c r="J45" s="813"/>
      <c r="K45" s="1648"/>
      <c r="L45" s="1648"/>
      <c r="M45" s="1648"/>
      <c r="N45" s="250"/>
      <c r="O45" s="1648"/>
      <c r="P45" s="249"/>
      <c r="Q45" s="249"/>
      <c r="R45" s="249"/>
      <c r="S45" s="249"/>
      <c r="T45" s="1843"/>
      <c r="U45" s="1843"/>
      <c r="V45" s="1843"/>
      <c r="W45" s="1843"/>
      <c r="X45" s="1843"/>
      <c r="Y45" s="1843"/>
      <c r="Z45" s="1843"/>
      <c r="AA45" s="1843"/>
      <c r="AB45" s="1843"/>
      <c r="AC45" s="1843"/>
    </row>
    <row customHeight="1" ht="15">
      <c r="A46" s="2241"/>
      <c r="B46" s="1184">
        <v>1</v>
      </c>
      <c r="C46" s="1184"/>
      <c r="D46" s="824"/>
      <c r="E46" s="1837" t="str">
        <f>A45&amp;"."&amp;B46</f>
        <v>10.1</v>
      </c>
      <c r="F46" s="827" t="s">
        <v>158</v>
      </c>
      <c r="G46" s="817" t="s">
        <v>134</v>
      </c>
      <c r="H46" s="817" t="s">
        <v>159</v>
      </c>
      <c r="I46" s="815" t="s">
        <v>160</v>
      </c>
      <c r="J46" s="1648"/>
      <c r="K46" s="1660"/>
      <c r="L46" s="1660"/>
      <c r="M46" s="1648" t="str">
        <f t="array" ref="M46:M46">IF(ISERROR(MATCH(MID(N46,1,250),MID(note_ter,1,250),0)),"n","y")</f>
        <v>n</v>
      </c>
      <c r="N46" s="1660"/>
      <c r="O46" s="1648" t="str">
        <f>H46&amp;"("&amp;I46&amp;")"</f>
        <v>Дружбинское(08655415)</v>
      </c>
      <c r="P46" s="1184"/>
      <c r="Q46" s="1184"/>
      <c r="R46" s="444"/>
      <c r="S46" s="1184"/>
      <c r="T46" s="1184"/>
      <c r="U46" s="1184"/>
      <c r="V46" s="446"/>
      <c r="W46" s="446"/>
      <c r="X46" s="443"/>
      <c r="Y46" s="443"/>
      <c r="Z46" s="443"/>
      <c r="AA46" s="443"/>
      <c r="AB46" s="443"/>
      <c r="AC46" s="443"/>
    </row>
    <row customHeight="1" ht="15">
      <c r="A47" s="1906"/>
      <c r="B47" s="1390" t="s">
        <v>103</v>
      </c>
      <c r="C47" s="1390"/>
      <c r="D47" s="824" t="s">
        <v>104</v>
      </c>
      <c r="E47" s="1902" t="str">
        <f>A45&amp;"."&amp;B47</f>
        <v>10.2</v>
      </c>
      <c r="F47" s="1907" t="s">
        <v>161</v>
      </c>
      <c r="G47" s="1911" t="s">
        <v>134</v>
      </c>
      <c r="H47" s="1911" t="s">
        <v>162</v>
      </c>
      <c r="I47" s="1909" t="s">
        <v>163</v>
      </c>
      <c r="J47" s="1648"/>
      <c r="K47" s="1660"/>
      <c r="L47" s="1660"/>
      <c r="M47" s="1648" t="str">
        <f t="array" ref="M47:M47">IF(ISERROR(MATCH(MID(N47,1,250),MID(note_ter,1,250),0)),"n","y")</f>
        <v>n</v>
      </c>
      <c r="N47" s="1660"/>
      <c r="O47" s="1648" t="str">
        <f>H47&amp;"("&amp;I47&amp;")"</f>
        <v>Некрасовское(08655448)</v>
      </c>
      <c r="P47" s="1390"/>
      <c r="Q47" s="1390"/>
      <c r="R47" s="444"/>
      <c r="S47" s="1390"/>
      <c r="T47" s="1390"/>
      <c r="U47" s="1390"/>
      <c r="V47" s="857"/>
      <c r="W47" s="857"/>
      <c r="X47" s="651"/>
      <c r="Y47" s="651"/>
      <c r="Z47" s="651"/>
      <c r="AA47" s="651"/>
      <c r="AB47" s="651"/>
      <c r="AC47" s="651"/>
    </row>
    <row customHeight="1" ht="15">
      <c r="A48" s="2241"/>
      <c r="B48" s="1184"/>
      <c r="C48" s="436"/>
      <c r="D48" s="825"/>
      <c r="E48" s="445"/>
      <c r="F48" s="201"/>
      <c r="G48" s="439" t="s">
        <v>102</v>
      </c>
      <c r="H48" s="211"/>
      <c r="I48" s="448"/>
      <c r="J48" s="1660"/>
      <c r="K48" s="1660"/>
      <c r="L48" s="1660"/>
      <c r="M48" s="1660"/>
      <c r="N48" s="1648"/>
      <c r="O48" s="1660"/>
      <c r="P48" s="1184"/>
      <c r="Q48" s="1184"/>
      <c r="R48" s="444"/>
      <c r="S48" s="1184"/>
      <c r="T48" s="1184"/>
      <c r="U48" s="1184"/>
      <c r="V48" s="446"/>
      <c r="W48" s="446"/>
      <c r="X48" s="443"/>
      <c r="Y48" s="443"/>
      <c r="Z48" s="443"/>
      <c r="AA48" s="443"/>
      <c r="AB48" s="443"/>
      <c r="AC48" s="443"/>
    </row>
    <row s="1843" customFormat="1" customHeight="1" ht="14.699999999999998">
      <c r="A49" s="782"/>
      <c r="B49" s="441"/>
      <c r="C49" s="782"/>
      <c r="D49" s="806"/>
      <c r="E49" s="818"/>
      <c r="F49" s="202"/>
      <c r="G49" s="440" t="s">
        <v>164</v>
      </c>
      <c r="H49" s="202"/>
      <c r="I49" s="203"/>
      <c r="J49" s="273"/>
      <c r="K49" s="179"/>
      <c r="L49" s="179"/>
      <c r="M49" s="179"/>
      <c r="N49" s="250" t="s">
        <v>165</v>
      </c>
      <c r="O49" s="179"/>
      <c r="P49" s="249"/>
      <c r="Q49" s="249"/>
      <c r="R49" s="249"/>
      <c r="S49" s="249"/>
      <c r="AC49" s="140">
        <v>14</v>
      </c>
    </row>
    <row s="1843" customFormat="1" customHeight="1" ht="22.049999999999997">
      <c r="A50" s="782"/>
      <c r="B50" s="441"/>
      <c r="C50" s="782"/>
      <c r="D50" s="189"/>
      <c r="E50" s="204"/>
      <c r="F50" s="204"/>
      <c r="G50" s="204"/>
      <c r="H50" s="204"/>
      <c r="I50" s="204"/>
      <c r="J50" s="179"/>
      <c r="K50" s="179"/>
      <c r="L50" s="179"/>
      <c r="M50" s="179"/>
      <c r="N50" s="250"/>
      <c r="O50" s="179"/>
      <c r="P50" s="249"/>
      <c r="Q50" s="249"/>
      <c r="R50" s="249"/>
      <c r="S50" s="249"/>
      <c r="AC50" s="140">
        <v>21</v>
      </c>
    </row>
    <row s="1843" customFormat="1" customHeight="1" ht="14.699999999999998">
      <c r="A51" s="782"/>
      <c r="B51" s="441"/>
      <c r="C51" s="782"/>
      <c r="D51" s="189"/>
      <c r="E51" s="107"/>
      <c r="F51" s="782"/>
      <c r="G51" s="107"/>
      <c r="H51" s="107"/>
      <c r="I51" s="107"/>
      <c r="J51" s="179"/>
      <c r="K51" s="179"/>
      <c r="L51" s="179"/>
      <c r="M51" s="179"/>
      <c r="N51" s="250"/>
      <c r="O51" s="179"/>
      <c r="P51" s="249"/>
      <c r="Q51" s="249"/>
      <c r="R51" s="249"/>
      <c r="S51" s="249"/>
      <c r="AC51" s="140">
        <v>14</v>
      </c>
    </row>
    <row s="1843" customFormat="1" customHeight="1" ht="1.05">
      <c r="A52" s="782"/>
      <c r="B52" s="441"/>
      <c r="C52" s="782"/>
      <c r="D52" s="189"/>
      <c r="E52" s="107"/>
      <c r="F52" s="782"/>
      <c r="G52" s="107"/>
      <c r="H52" s="107"/>
      <c r="I52" s="107"/>
      <c r="J52" s="179"/>
      <c r="K52" s="179"/>
      <c r="L52" s="179"/>
      <c r="M52" s="179"/>
      <c r="N52" s="250"/>
      <c r="O52" s="179"/>
      <c r="P52" s="249"/>
      <c r="Q52" s="249"/>
      <c r="R52" s="249"/>
      <c r="S52" s="249"/>
      <c r="AC52" s="140">
        <v>1</v>
      </c>
    </row>
    <row s="1088" customFormat="1" customHeight="1" ht="10.5">
      <c r="B53" s="858"/>
      <c r="D53" s="206"/>
      <c r="J53" s="179"/>
      <c r="K53" s="179"/>
      <c r="L53" s="179"/>
      <c r="M53" s="179"/>
      <c r="N53" s="250"/>
      <c r="O53" s="179"/>
      <c r="P53" s="249"/>
      <c r="Q53" s="249"/>
      <c r="R53" s="249"/>
      <c r="S53" s="249"/>
      <c r="AC53" s="205">
        <v>10</v>
      </c>
    </row>
    <row s="1088" customFormat="1" customHeight="1" ht="10.5">
      <c r="B54" s="858"/>
      <c r="D54" s="206"/>
      <c r="J54" s="179"/>
      <c r="K54" s="179"/>
      <c r="L54" s="179"/>
      <c r="M54" s="179"/>
      <c r="N54" s="250"/>
      <c r="O54" s="179"/>
      <c r="P54" s="249"/>
      <c r="Q54" s="249"/>
      <c r="R54" s="249"/>
      <c r="S54" s="249"/>
      <c r="AC54" s="205">
        <v>10</v>
      </c>
    </row>
    <row customHeight="1" ht="14.699999999999998">
      <c r="AC55" s="107">
        <v>14</v>
      </c>
    </row>
    <row customHeight="1" ht="14.699999999999998">
      <c r="AC56" s="107">
        <v>14</v>
      </c>
    </row>
    <row customHeight="1" ht="14.699999999999998">
      <c r="AC57" s="107">
        <v>14</v>
      </c>
    </row>
    <row customHeight="1" ht="14.699999999999998">
      <c r="H58" s="88"/>
      <c r="AC58" s="107">
        <v>14</v>
      </c>
    </row>
    <row customHeight="1" ht="14.699999999999998">
      <c r="AC59" s="107">
        <v>14</v>
      </c>
    </row>
    <row customHeight="1" ht="14.699999999999998">
      <c r="AC60" s="107">
        <v>14</v>
      </c>
    </row>
    <row customHeight="1" ht="14.699999999999998">
      <c r="AC61" s="107">
        <v>14</v>
      </c>
    </row>
    <row customHeight="1" ht="14.699999999999998">
      <c r="J62" s="107"/>
      <c r="K62" s="107"/>
      <c r="L62" s="107"/>
      <c r="AC62" s="107">
        <v>14</v>
      </c>
    </row>
    <row customHeight="1" ht="22.5" hidden="1">
      <c r="A63" s="782" t="s">
        <v>82</v>
      </c>
      <c r="B63" s="441">
        <v>0</v>
      </c>
      <c r="C63" s="782">
        <v>3</v>
      </c>
      <c r="D63" s="189">
        <v>3</v>
      </c>
      <c r="E63" s="107">
        <v>6</v>
      </c>
      <c r="F63" s="782">
        <v>0</v>
      </c>
      <c r="G63" s="107">
        <v>46</v>
      </c>
      <c r="H63" s="107">
        <v>42</v>
      </c>
      <c r="I63" s="107">
        <v>14</v>
      </c>
      <c r="J63" s="179">
        <v>3</v>
      </c>
      <c r="K63" s="179">
        <v>0</v>
      </c>
      <c r="L63" s="179">
        <v>0</v>
      </c>
      <c r="M63" s="179">
        <v>0</v>
      </c>
      <c r="N63" s="250">
        <v>0</v>
      </c>
      <c r="O63" s="179">
        <v>0</v>
      </c>
      <c r="P63" s="249">
        <v>0</v>
      </c>
      <c r="Q63" s="249">
        <v>0</v>
      </c>
      <c r="R63" s="249">
        <v>0</v>
      </c>
      <c r="S63" s="249">
        <v>0</v>
      </c>
      <c r="T63" s="107">
        <v>0</v>
      </c>
      <c r="U63" s="107">
        <v>0</v>
      </c>
      <c r="V63" s="107">
        <v>0</v>
      </c>
      <c r="W63" s="107">
        <v>0</v>
      </c>
      <c r="X63" s="107">
        <v>0</v>
      </c>
      <c r="Y63" s="107">
        <v>0</v>
      </c>
      <c r="Z63" s="107">
        <v>0</v>
      </c>
      <c r="AA63" s="107">
        <v>0</v>
      </c>
      <c r="AB63" s="107">
        <v>8</v>
      </c>
      <c r="AC63" s="107">
        <v>23</v>
      </c>
    </row>
  </sheetData>
  <sheetProtection sheet="1" formatColumns="0" formatRows="0" autoFilter="0" sort="1" insertRows="1" insertColumns="1" deleteRows="1" deleteColumns="1"/>
  <mergeCells count="13">
    <mergeCell ref="A12:A14"/>
    <mergeCell ref="E4:I4"/>
    <mergeCell ref="E8:G8"/>
    <mergeCell ref="H8:I8"/>
    <mergeCell ref="A15:A17"/>
    <mergeCell ref="A18:A20"/>
    <mergeCell ref="A21:A23"/>
    <mergeCell ref="A24:A26"/>
    <mergeCell ref="A27:A29"/>
    <mergeCell ref="A30:A35"/>
    <mergeCell ref="A36:A38"/>
    <mergeCell ref="A39:A44"/>
    <mergeCell ref="A45:A48"/>
  </mergeCells>
  <dataValidations count="10">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21">
      <formula1>900</formula1>
    </dataValidation>
    <dataValidation type="textLength" operator="lessThanOrEqual" allowBlank="1" showInputMessage="1" showErrorMessage="1" errorTitle="Ошибка" error="Допускается ввод не более 900 символов!" sqref="G24">
      <formula1>900</formula1>
    </dataValidation>
    <dataValidation type="textLength" operator="lessThanOrEqual" allowBlank="1" showInputMessage="1" showErrorMessage="1" errorTitle="Ошибка" error="Допускается ввод не более 900 символов!" sqref="G27">
      <formula1>900</formula1>
    </dataValidation>
    <dataValidation type="textLength" operator="lessThanOrEqual" allowBlank="1" showInputMessage="1" showErrorMessage="1" errorTitle="Ошибка" error="Допускается ввод не более 900 символов!" sqref="G30">
      <formula1>900</formula1>
    </dataValidation>
    <dataValidation type="textLength" operator="lessThanOrEqual" allowBlank="1" showInputMessage="1" showErrorMessage="1" errorTitle="Ошибка" error="Допускается ввод не более 900 символов!" sqref="G36">
      <formula1>900</formula1>
    </dataValidation>
    <dataValidation type="textLength" operator="lessThanOrEqual" allowBlank="1" showInputMessage="1" showErrorMessage="1" errorTitle="Ошибка" error="Допускается ввод не более 900 символов!" sqref="G39">
      <formula1>900</formula1>
    </dataValidation>
    <dataValidation type="textLength" operator="lessThanOrEqual" allowBlank="1" showInputMessage="1" showErrorMessage="1" errorTitle="Ошибка" error="Допускается ввод не более 900 символов!" sqref="G4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0E069-65F2-E9BF-2E51-0.774E70DD}"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4.140625" hidden="1" customWidth="1"/>
    <col min="10" max="10" style="1390" width="9.8515625" hidden="1" customWidth="1"/>
    <col min="11" max="11" style="1390" width="14.7109375" hidden="1" customWidth="1"/>
    <col min="12" max="12" style="2631" width="19.140625" hidden="1" customWidth="1"/>
    <col min="13" max="14" style="1800" width="12.28125" hidden="1" customWidth="1"/>
    <col min="15" max="15" style="1800" width="23.421875" hidden="1" customWidth="1"/>
    <col min="16" max="16" style="2421" width="3.00390625" customWidth="1"/>
    <col min="17" max="18" style="368" width="3.00390625" customWidth="1"/>
    <col min="19" max="19" style="2431" width="12.00390625" customWidth="1"/>
    <col min="20" max="20" style="1659" width="35.00390625" customWidth="1"/>
    <col min="21" max="21" style="1659" width="0.140625" customWidth="1"/>
    <col min="22" max="28" style="1659" width="19.7109375" hidden="1" customWidth="1"/>
    <col min="29" max="29" style="1659" width="11.7109375" hidden="1" customWidth="1"/>
    <col min="30" max="30" style="1659" width="3.7109375" hidden="1" customWidth="1"/>
    <col min="31" max="31" style="1659" width="11.7109375" hidden="1" customWidth="1"/>
    <col min="32" max="32" style="1659" width="8.57421875" hidden="1" customWidth="1"/>
    <col min="33" max="33" style="1659" width="19.7109375" customWidth="1"/>
    <col min="34" max="39" style="1659" width="19.00390625" customWidth="1"/>
    <col min="40" max="40" style="1659" width="11.00390625" customWidth="1"/>
    <col min="41" max="41" style="1659" width="3.7109375" customWidth="1"/>
    <col min="42" max="42" style="1659" width="11.00390625" customWidth="1"/>
    <col min="43" max="43" style="1659" width="8.57421875" hidden="1" customWidth="1"/>
    <col min="44" max="44" style="1659" width="4.00390625" customWidth="1"/>
    <col min="45" max="45" style="1659" width="115.00390625" customWidth="1"/>
    <col min="46" max="50" style="1666" width="10.00390625" customWidth="1"/>
    <col min="51" max="51" style="1659" width="10.57421875" hidden="1"/>
  </cols>
  <sheetData>
    <row customHeight="1" ht="22.5" hidden="1">
      <c r="AC1" s="351"/>
      <c r="AN1" s="351"/>
      <c r="AY1" s="1179" t="s">
        <v>14</v>
      </c>
    </row>
    <row customHeight="1" ht="23.25" hidden="1">
      <c r="A2" s="1387"/>
      <c r="B2" s="1387"/>
      <c r="C2" s="1387"/>
      <c r="D2" s="1387"/>
      <c r="E2" s="2282">
        <v>1</v>
      </c>
      <c r="F2" s="1387"/>
      <c r="G2" s="1387"/>
      <c r="H2" s="1387"/>
      <c r="I2" s="1387"/>
      <c r="J2" s="1387"/>
      <c r="K2" s="1387"/>
      <c r="L2" s="1388"/>
      <c r="M2" s="1389"/>
      <c r="N2" s="1389"/>
      <c r="O2" s="1389"/>
      <c r="P2" s="385"/>
      <c r="Q2" s="384"/>
      <c r="R2" s="379"/>
      <c r="S2" s="1517">
        <f>INDEX(PT_DIFFERENTIATION_NUM_NTAR,MATCH(A2,PT_DIFFERENTIATION_NTAR_ID,0))</f>
      </c>
      <c r="T2" s="322" t="s">
        <v>211</v>
      </c>
      <c r="U2" s="324"/>
      <c r="V2" s="2266"/>
      <c r="W2" s="2267"/>
      <c r="X2" s="2267"/>
      <c r="Y2" s="2267"/>
      <c r="Z2" s="2267"/>
      <c r="AA2" s="2267"/>
      <c r="AB2" s="2267"/>
      <c r="AC2" s="2267"/>
      <c r="AD2" s="2267"/>
      <c r="AE2" s="2267"/>
      <c r="AF2" s="2268"/>
      <c r="AG2" s="2266">
        <f>INDEX(PT_DIFFERENTIATION_NTAR,MATCH(A2,PT_DIFFERENTIATION_NTAR_ID,0))</f>
      </c>
      <c r="AH2" s="2267"/>
      <c r="AI2" s="2267"/>
      <c r="AJ2" s="2267"/>
      <c r="AK2" s="2267"/>
      <c r="AL2" s="2267"/>
      <c r="AM2" s="2267"/>
      <c r="AN2" s="2267"/>
      <c r="AO2" s="2267"/>
      <c r="AP2" s="2267"/>
      <c r="AQ2" s="2267"/>
      <c r="AR2" s="2268"/>
      <c r="AS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24"/>
      <c r="AV2" s="524" t="str">
        <f>IF(T2="","",T2)</f>
        <v>Наименование тарифа</v>
      </c>
      <c r="AW2" s="524"/>
      <c r="AX2" s="524"/>
      <c r="AY2" s="1179">
        <v>0</v>
      </c>
    </row>
    <row customHeight="1" ht="23.25" hidden="1">
      <c r="A3" s="1387"/>
      <c r="B3" s="1387"/>
      <c r="C3" s="1387"/>
      <c r="D3" s="1387"/>
      <c r="E3" s="2283"/>
      <c r="F3" s="2282">
        <v>1</v>
      </c>
      <c r="G3" s="1387"/>
      <c r="H3" s="1387"/>
      <c r="I3" s="1387"/>
      <c r="J3" s="1387"/>
      <c r="K3" s="1387"/>
      <c r="L3" s="1388"/>
      <c r="M3" s="1389"/>
      <c r="N3" s="1389"/>
      <c r="O3" s="1389"/>
      <c r="P3" s="1511"/>
      <c r="Q3" s="376"/>
      <c r="R3" s="377"/>
      <c r="S3" s="1517">
        <f>INDEX(PT_DIFFERENTIATION_NUM_TER,MATCH(B3,PT_DIFFERENTIATION_TER_ID,0))</f>
      </c>
      <c r="T3" s="332" t="s">
        <v>481</v>
      </c>
      <c r="U3" s="324"/>
      <c r="V3" s="2266"/>
      <c r="W3" s="2267"/>
      <c r="X3" s="2267"/>
      <c r="Y3" s="2267"/>
      <c r="Z3" s="2267"/>
      <c r="AA3" s="2267"/>
      <c r="AB3" s="2267"/>
      <c r="AC3" s="2267"/>
      <c r="AD3" s="2267"/>
      <c r="AE3" s="2267"/>
      <c r="AF3" s="2268"/>
      <c r="AG3" s="2266">
        <f>INDEX(PT_DIFFERENTIATION_TER,MATCH(B3,PT_DIFFERENTIATION_TER_ID,0))</f>
      </c>
      <c r="AH3" s="2267"/>
      <c r="AI3" s="2267"/>
      <c r="AJ3" s="2267"/>
      <c r="AK3" s="2267"/>
      <c r="AL3" s="2267"/>
      <c r="AM3" s="2267"/>
      <c r="AN3" s="2267"/>
      <c r="AO3" s="2267"/>
      <c r="AP3" s="2267"/>
      <c r="AQ3" s="2267"/>
      <c r="AR3" s="2268"/>
      <c r="AS3" s="1282" t="s">
        <v>482</v>
      </c>
      <c r="AU3" s="524"/>
      <c r="AV3" s="524" t="str">
        <f>IF(T3="","",T3)</f>
        <v>Территория действия тарифа</v>
      </c>
      <c r="AW3" s="524"/>
      <c r="AX3" s="524"/>
      <c r="AY3" s="1179">
        <v>0</v>
      </c>
    </row>
    <row customHeight="1" ht="23.25" hidden="1">
      <c r="A4" s="1387"/>
      <c r="B4" s="1387"/>
      <c r="C4" s="1387"/>
      <c r="D4" s="1387"/>
      <c r="E4" s="2283"/>
      <c r="F4" s="2283"/>
      <c r="G4" s="2282">
        <v>1</v>
      </c>
      <c r="H4" s="1387"/>
      <c r="I4" s="1387"/>
      <c r="J4" s="1387"/>
      <c r="K4" s="1387"/>
      <c r="L4" s="1388"/>
      <c r="M4" s="1389"/>
      <c r="N4" s="1389"/>
      <c r="O4" s="1389"/>
      <c r="P4" s="378"/>
      <c r="Q4" s="376"/>
      <c r="R4" s="377"/>
      <c r="S4" s="1517">
        <f>INDEX(PT_DIFFERENTIATION_NUM_CS,MATCH(C4,PT_DIFFERENTIATION_CS_ID,0))</f>
      </c>
      <c r="T4" s="333" t="s">
        <v>614</v>
      </c>
      <c r="U4" s="324"/>
      <c r="V4" s="2266"/>
      <c r="W4" s="2267"/>
      <c r="X4" s="2267"/>
      <c r="Y4" s="2267"/>
      <c r="Z4" s="2267"/>
      <c r="AA4" s="2267"/>
      <c r="AB4" s="2267"/>
      <c r="AC4" s="2267"/>
      <c r="AD4" s="2267"/>
      <c r="AE4" s="2267"/>
      <c r="AF4" s="2268"/>
      <c r="AG4" s="2266">
        <f>INDEX(PT_DIFFERENTIATION_CS,MATCH(C4,PT_DIFFERENTIATION_CS_ID,0))</f>
      </c>
      <c r="AH4" s="2267"/>
      <c r="AI4" s="2267"/>
      <c r="AJ4" s="2267"/>
      <c r="AK4" s="2267"/>
      <c r="AL4" s="2267"/>
      <c r="AM4" s="2267"/>
      <c r="AN4" s="2267"/>
      <c r="AO4" s="2267"/>
      <c r="AP4" s="2267"/>
      <c r="AQ4" s="2267"/>
      <c r="AR4" s="2268"/>
      <c r="AS4" s="1282" t="s">
        <v>615</v>
      </c>
      <c r="AU4" s="524"/>
      <c r="AV4" s="524" t="str">
        <f>IF(T4="","",T4)</f>
        <v>Наименование централизованной системы горячего водоснабжения</v>
      </c>
      <c r="AW4" s="524"/>
      <c r="AX4" s="524"/>
      <c r="AY4" s="1179">
        <v>0</v>
      </c>
    </row>
    <row customHeight="1" ht="23.25" hidden="1">
      <c r="A5" s="1387"/>
      <c r="B5" s="1387"/>
      <c r="C5" s="1387"/>
      <c r="D5" s="1387"/>
      <c r="E5" s="2283"/>
      <c r="F5" s="2283"/>
      <c r="G5" s="2283"/>
      <c r="H5" s="2283"/>
      <c r="I5" s="2280">
        <f>S4&amp;".1"</f>
      </c>
      <c r="J5" s="1387"/>
      <c r="K5" s="1387"/>
      <c r="L5" s="1388"/>
      <c r="P5" s="2281">
        <v>1</v>
      </c>
      <c r="Q5" s="1505"/>
      <c r="R5" s="380"/>
      <c r="S5" s="1517">
        <f>$I5</f>
      </c>
      <c r="T5" s="309" t="s">
        <v>567</v>
      </c>
      <c r="U5" s="324"/>
      <c r="V5" s="2374"/>
      <c r="W5" s="2375"/>
      <c r="X5" s="2375"/>
      <c r="Y5" s="2375"/>
      <c r="Z5" s="2375"/>
      <c r="AA5" s="2375"/>
      <c r="AB5" s="2375"/>
      <c r="AC5" s="2375"/>
      <c r="AD5" s="2375"/>
      <c r="AE5" s="2375"/>
      <c r="AF5" s="2376"/>
      <c r="AG5" s="2377"/>
      <c r="AH5" s="2378"/>
      <c r="AI5" s="2378"/>
      <c r="AJ5" s="2378"/>
      <c r="AK5" s="2378"/>
      <c r="AL5" s="2378"/>
      <c r="AM5" s="2378"/>
      <c r="AN5" s="2378"/>
      <c r="AO5" s="2378"/>
      <c r="AP5" s="2378"/>
      <c r="AQ5" s="2378"/>
      <c r="AR5" s="2379"/>
      <c r="AS5" s="1282" t="s">
        <v>568</v>
      </c>
      <c r="AU5" s="524"/>
      <c r="AV5" s="524" t="str">
        <f>IF(T5="","",T5)</f>
        <v>Наименование признака дифференциации</v>
      </c>
      <c r="AW5" s="524"/>
      <c r="AX5" s="524"/>
      <c r="AY5" s="1179">
        <v>0</v>
      </c>
    </row>
    <row customHeight="1" ht="23.25" hidden="1">
      <c r="A6" s="1387"/>
      <c r="B6" s="1387"/>
      <c r="C6" s="1387"/>
      <c r="D6" s="1387"/>
      <c r="E6" s="2283"/>
      <c r="F6" s="2283"/>
      <c r="G6" s="2283"/>
      <c r="H6" s="2283"/>
      <c r="I6" s="2310"/>
      <c r="J6" s="2280">
        <f>I5&amp;".1"</f>
      </c>
      <c r="K6" s="1387"/>
      <c r="L6" s="1388" t="s">
        <v>490</v>
      </c>
      <c r="P6" s="2281"/>
      <c r="Q6" s="2281">
        <v>1</v>
      </c>
      <c r="R6" s="381"/>
      <c r="S6" s="1517">
        <f>$J6</f>
      </c>
      <c r="T6" s="310" t="s">
        <v>491</v>
      </c>
      <c r="U6" s="324"/>
      <c r="V6" s="2269"/>
      <c r="W6" s="2270"/>
      <c r="X6" s="2270"/>
      <c r="Y6" s="2270"/>
      <c r="Z6" s="2270"/>
      <c r="AA6" s="2270"/>
      <c r="AB6" s="2270"/>
      <c r="AC6" s="2270"/>
      <c r="AD6" s="2270"/>
      <c r="AE6" s="2270"/>
      <c r="AF6" s="2271"/>
      <c r="AG6" s="2269"/>
      <c r="AH6" s="2270"/>
      <c r="AI6" s="2270"/>
      <c r="AJ6" s="2270"/>
      <c r="AK6" s="2270"/>
      <c r="AL6" s="2270"/>
      <c r="AM6" s="2270"/>
      <c r="AN6" s="2270"/>
      <c r="AO6" s="2270"/>
      <c r="AP6" s="2270"/>
      <c r="AQ6" s="2270"/>
      <c r="AR6" s="2271"/>
      <c r="AS6" s="1331" t="s">
        <v>569</v>
      </c>
      <c r="AU6" s="524"/>
      <c r="AV6" s="524" t="str">
        <f>IF(T6="","",T6)</f>
        <v>Группа потребителей</v>
      </c>
      <c r="AW6" s="524"/>
      <c r="AX6" s="524"/>
      <c r="AY6" s="1179">
        <v>0</v>
      </c>
    </row>
    <row customHeight="1" ht="23.25" hidden="1">
      <c r="A7" s="1387"/>
      <c r="B7" s="1387"/>
      <c r="C7" s="1387"/>
      <c r="D7" s="1387"/>
      <c r="E7" s="2283"/>
      <c r="F7" s="2283"/>
      <c r="G7" s="2283"/>
      <c r="H7" s="2283"/>
      <c r="I7" s="2310"/>
      <c r="J7" s="2310"/>
      <c r="K7" s="2280">
        <f>J6&amp;".1"</f>
      </c>
      <c r="L7" s="1388"/>
      <c r="P7" s="2281"/>
      <c r="Q7" s="2281"/>
      <c r="R7" s="381">
        <v>1</v>
      </c>
      <c r="S7" s="1517">
        <f>$K7</f>
      </c>
      <c r="T7" s="1461"/>
      <c r="U7" s="324"/>
      <c r="V7" s="775"/>
      <c r="W7" s="775"/>
      <c r="X7" s="775"/>
      <c r="Y7" s="775"/>
      <c r="Z7" s="775"/>
      <c r="AA7" s="775"/>
      <c r="AB7" s="775"/>
      <c r="AC7" s="2289"/>
      <c r="AD7" s="2131" t="s">
        <v>66</v>
      </c>
      <c r="AE7" s="2289"/>
      <c r="AF7" s="2131" t="s">
        <v>66</v>
      </c>
      <c r="AG7" s="775"/>
      <c r="AH7" s="775"/>
      <c r="AI7" s="775"/>
      <c r="AJ7" s="775"/>
      <c r="AK7" s="775"/>
      <c r="AL7" s="775"/>
      <c r="AM7" s="775"/>
      <c r="AN7" s="2289"/>
      <c r="AO7" s="2131" t="s">
        <v>66</v>
      </c>
      <c r="AP7" s="2311"/>
      <c r="AQ7" s="2131" t="s">
        <v>66</v>
      </c>
      <c r="AR7" s="1462"/>
      <c r="AS7"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35">
        <f>STRCHECKDATE(V8:AR8)</f>
      </c>
      <c r="AU7" s="524"/>
      <c r="AV7" s="524" t="str">
        <f>IF(T7="","",T7)</f>
        <v/>
      </c>
      <c r="AW7" s="524"/>
      <c r="AX7" s="524"/>
      <c r="AY7" s="1179">
        <v>0</v>
      </c>
    </row>
    <row customHeight="1" ht="14.25" hidden="1">
      <c r="A8" s="1387"/>
      <c r="B8" s="1387"/>
      <c r="C8" s="1387"/>
      <c r="D8" s="1387"/>
      <c r="E8" s="2283"/>
      <c r="F8" s="2283"/>
      <c r="G8" s="2283"/>
      <c r="H8" s="2283"/>
      <c r="I8" s="2310"/>
      <c r="J8" s="2310"/>
      <c r="K8" s="2280"/>
      <c r="L8" s="1388"/>
      <c r="P8" s="2281"/>
      <c r="Q8" s="2281"/>
      <c r="R8" s="381"/>
      <c r="S8" s="1514"/>
      <c r="T8" s="324"/>
      <c r="U8" s="324"/>
      <c r="V8" s="349"/>
      <c r="W8" s="349"/>
      <c r="X8" s="349"/>
      <c r="Y8" s="349"/>
      <c r="Z8" s="349"/>
      <c r="AA8" s="349"/>
      <c r="AB8" s="349"/>
      <c r="AC8" s="2290"/>
      <c r="AD8" s="2131"/>
      <c r="AE8" s="2290"/>
      <c r="AF8" s="2131"/>
      <c r="AG8" s="349"/>
      <c r="AH8" s="349"/>
      <c r="AI8" s="349"/>
      <c r="AJ8" s="349"/>
      <c r="AK8" s="349"/>
      <c r="AL8" s="349"/>
      <c r="AM8" s="349"/>
      <c r="AN8" s="2290"/>
      <c r="AO8" s="2131"/>
      <c r="AP8" s="2312"/>
      <c r="AQ8" s="2131"/>
      <c r="AR8" s="1463"/>
      <c r="AS8" s="2373"/>
      <c r="AU8" s="524"/>
      <c r="AV8" s="524" t="str">
        <f>IF(T8="","",T8)</f>
        <v/>
      </c>
      <c r="AW8" s="524"/>
      <c r="AX8" s="524"/>
      <c r="AY8" s="1179">
        <v>0</v>
      </c>
    </row>
    <row customHeight="1" ht="21" hidden="1">
      <c r="A9" s="1387"/>
      <c r="B9" s="1387"/>
      <c r="C9" s="1387"/>
      <c r="D9" s="1387"/>
      <c r="E9" s="2283"/>
      <c r="F9" s="2283"/>
      <c r="G9" s="2283"/>
      <c r="H9" s="2283"/>
      <c r="I9" s="2310"/>
      <c r="J9" s="2280"/>
      <c r="K9" s="1387"/>
      <c r="L9" s="1388"/>
      <c r="P9" s="2281"/>
      <c r="Q9" s="2281"/>
      <c r="R9" s="380"/>
      <c r="S9" s="1302"/>
      <c r="T9" s="311" t="s">
        <v>570</v>
      </c>
      <c r="U9" s="391"/>
      <c r="V9" s="391"/>
      <c r="W9" s="624"/>
      <c r="X9" s="624"/>
      <c r="Y9" s="624"/>
      <c r="Z9" s="624"/>
      <c r="AA9" s="624"/>
      <c r="AB9" s="624"/>
      <c r="AC9" s="391"/>
      <c r="AD9" s="391"/>
      <c r="AE9" s="391"/>
      <c r="AF9" s="391"/>
      <c r="AG9" s="391"/>
      <c r="AH9" s="624"/>
      <c r="AI9" s="624"/>
      <c r="AJ9" s="624"/>
      <c r="AK9" s="624"/>
      <c r="AL9" s="624"/>
      <c r="AM9" s="391"/>
      <c r="AN9" s="391"/>
      <c r="AO9" s="391"/>
      <c r="AP9" s="391"/>
      <c r="AQ9" s="391"/>
      <c r="AR9" s="391"/>
      <c r="AS9" s="1282" t="s">
        <v>571</v>
      </c>
      <c r="AU9" s="524"/>
      <c r="AV9" s="524" t="str">
        <f>IF(T9="","",T9)</f>
        <v>Добавить значение признака дифференциации</v>
      </c>
      <c r="AW9" s="524"/>
      <c r="AX9" s="524"/>
      <c r="AY9" s="1179">
        <v>0</v>
      </c>
    </row>
    <row customHeight="1" ht="21" hidden="1">
      <c r="A10" s="1387"/>
      <c r="B10" s="1387"/>
      <c r="C10" s="1387"/>
      <c r="D10" s="1387"/>
      <c r="E10" s="2283"/>
      <c r="F10" s="2283"/>
      <c r="G10" s="2283"/>
      <c r="H10" s="2283"/>
      <c r="I10" s="2280"/>
      <c r="J10" s="1387"/>
      <c r="K10" s="1387"/>
      <c r="L10" s="1388"/>
      <c r="P10" s="2281"/>
      <c r="Q10" s="1505"/>
      <c r="R10" s="380"/>
      <c r="S10" s="1302"/>
      <c r="T10" s="389" t="s">
        <v>496</v>
      </c>
      <c r="U10" s="391"/>
      <c r="V10" s="391"/>
      <c r="W10" s="624"/>
      <c r="X10" s="624"/>
      <c r="Y10" s="624"/>
      <c r="Z10" s="624"/>
      <c r="AA10" s="624"/>
      <c r="AB10" s="624"/>
      <c r="AC10" s="391"/>
      <c r="AD10" s="391"/>
      <c r="AE10" s="391"/>
      <c r="AF10" s="390"/>
      <c r="AG10" s="391"/>
      <c r="AH10" s="624"/>
      <c r="AI10" s="624"/>
      <c r="AJ10" s="624"/>
      <c r="AK10" s="624"/>
      <c r="AL10" s="624"/>
      <c r="AM10" s="391"/>
      <c r="AN10" s="391"/>
      <c r="AO10" s="391"/>
      <c r="AP10" s="391"/>
      <c r="AQ10" s="390"/>
      <c r="AR10" s="391"/>
      <c r="AS10" s="1464"/>
      <c r="AU10" s="524"/>
      <c r="AV10" s="524" t="str">
        <f>IF(T10="","",T10)</f>
        <v>Добавить группу потребителей</v>
      </c>
      <c r="AW10" s="524"/>
      <c r="AX10" s="524"/>
      <c r="AY10" s="1179">
        <v>0</v>
      </c>
    </row>
    <row customHeight="1" ht="21" hidden="1">
      <c r="A11" s="1387"/>
      <c r="B11" s="1387"/>
      <c r="C11" s="1387"/>
      <c r="D11" s="1387"/>
      <c r="E11" s="2283"/>
      <c r="F11" s="2283"/>
      <c r="G11" s="2283"/>
      <c r="H11" s="2282"/>
      <c r="I11" s="1387"/>
      <c r="J11" s="1387"/>
      <c r="K11" s="1387"/>
      <c r="L11" s="1388"/>
      <c r="M11" s="1389"/>
      <c r="N11" s="1389"/>
      <c r="O11" s="561"/>
      <c r="P11" s="384"/>
      <c r="Q11" s="399"/>
      <c r="R11" s="379"/>
      <c r="S11" s="1302"/>
      <c r="T11" s="396" t="s">
        <v>572</v>
      </c>
      <c r="U11" s="391"/>
      <c r="V11" s="391"/>
      <c r="W11" s="624"/>
      <c r="X11" s="624"/>
      <c r="Y11" s="624"/>
      <c r="Z11" s="624"/>
      <c r="AA11" s="624"/>
      <c r="AB11" s="624"/>
      <c r="AC11" s="391"/>
      <c r="AD11" s="391"/>
      <c r="AE11" s="391"/>
      <c r="AF11" s="390"/>
      <c r="AG11" s="391"/>
      <c r="AH11" s="624"/>
      <c r="AI11" s="624"/>
      <c r="AJ11" s="624"/>
      <c r="AK11" s="624"/>
      <c r="AL11" s="624"/>
      <c r="AM11" s="391"/>
      <c r="AN11" s="391"/>
      <c r="AO11" s="391"/>
      <c r="AP11" s="391"/>
      <c r="AQ11" s="390"/>
      <c r="AR11" s="391"/>
      <c r="AS11" s="327"/>
      <c r="AU11" s="524"/>
      <c r="AV11" s="524" t="str">
        <f>IF(T11="","",T11)</f>
        <v>Добавить наименование признака дифференциации</v>
      </c>
      <c r="AW11" s="524"/>
      <c r="AX11" s="524"/>
      <c r="AY11" s="1179">
        <v>0</v>
      </c>
    </row>
    <row s="1666" customFormat="1" customHeight="1" ht="14.25" hidden="1">
      <c r="A12" s="1367"/>
      <c r="B12" s="1367"/>
      <c r="C12" s="1338"/>
      <c r="D12" s="1338"/>
      <c r="E12" s="2283"/>
      <c r="F12" s="2282"/>
      <c r="G12" s="1338"/>
      <c r="H12" s="1338"/>
      <c r="I12" s="1338"/>
      <c r="J12" s="1338"/>
      <c r="K12" s="1338"/>
      <c r="L12" s="1518"/>
      <c r="M12" s="1345"/>
      <c r="N12" s="1345"/>
      <c r="P12" s="1340"/>
      <c r="Q12" s="1341"/>
      <c r="R12" s="1340"/>
      <c r="S12" s="1346"/>
      <c r="T12" s="1349" t="s">
        <v>499</v>
      </c>
      <c r="U12" s="1348"/>
      <c r="V12" s="1348"/>
      <c r="W12" s="1348"/>
      <c r="X12" s="1348"/>
      <c r="Y12" s="1348"/>
      <c r="Z12" s="1348"/>
      <c r="AA12" s="1348"/>
      <c r="AB12" s="1348"/>
      <c r="AC12" s="1348"/>
      <c r="AD12" s="1348"/>
      <c r="AE12" s="1348"/>
      <c r="AF12" s="1348"/>
      <c r="AG12" s="1348"/>
      <c r="AH12" s="1348"/>
      <c r="AI12" s="1348"/>
      <c r="AJ12" s="1348"/>
      <c r="AK12" s="1348"/>
      <c r="AL12" s="1348"/>
      <c r="AM12" s="1348"/>
      <c r="AN12" s="1348"/>
      <c r="AO12" s="1348"/>
      <c r="AP12" s="1348"/>
      <c r="AQ12" s="1348"/>
      <c r="AR12" s="1348"/>
      <c r="AS12" s="1348"/>
      <c r="AU12" s="813"/>
      <c r="AV12" s="813" t="str">
        <f>IF(T12="","",T12)</f>
        <v>Добавить централизованную систему для дифференциации</v>
      </c>
      <c r="AW12" s="813"/>
      <c r="AX12" s="813"/>
      <c r="AY12" s="542">
        <v>0</v>
      </c>
    </row>
    <row s="1666" customFormat="1" customHeight="1" ht="14.25" hidden="1">
      <c r="A13" s="1367"/>
      <c r="B13" s="1367"/>
      <c r="C13" s="1367"/>
      <c r="D13" s="1367"/>
      <c r="E13" s="2282"/>
      <c r="F13" s="1367"/>
      <c r="G13" s="1367"/>
      <c r="H13" s="1367"/>
      <c r="I13" s="1367"/>
      <c r="J13" s="1367"/>
      <c r="K13" s="1367"/>
      <c r="L13" s="1370"/>
      <c r="M13" s="1345"/>
      <c r="N13" s="1345"/>
      <c r="O13" s="542"/>
      <c r="P13" s="404"/>
      <c r="Q13" s="1368"/>
      <c r="R13" s="404"/>
      <c r="S13" s="1346"/>
      <c r="T13" s="1349" t="s">
        <v>500</v>
      </c>
      <c r="U13" s="1348"/>
      <c r="V13" s="1348"/>
      <c r="W13" s="1348"/>
      <c r="X13" s="1348"/>
      <c r="Y13" s="1348"/>
      <c r="Z13" s="1348"/>
      <c r="AA13" s="1348"/>
      <c r="AB13" s="1348"/>
      <c r="AC13" s="1348"/>
      <c r="AD13" s="1348"/>
      <c r="AE13" s="1348"/>
      <c r="AF13" s="1348"/>
      <c r="AG13" s="1348"/>
      <c r="AH13" s="1348"/>
      <c r="AI13" s="1348"/>
      <c r="AJ13" s="1348"/>
      <c r="AK13" s="1348"/>
      <c r="AL13" s="1348"/>
      <c r="AM13" s="1348"/>
      <c r="AN13" s="1348"/>
      <c r="AO13" s="1348"/>
      <c r="AP13" s="1348"/>
      <c r="AQ13" s="1348"/>
      <c r="AR13" s="1348"/>
      <c r="AS13" s="1348"/>
      <c r="AU13" s="524"/>
      <c r="AV13" s="524" t="str">
        <f>IF(T13="","",T13)</f>
        <v>Добавить территорию для дифференциации</v>
      </c>
      <c r="AW13" s="524"/>
      <c r="AX13" s="524"/>
      <c r="AY13" s="535">
        <v>0</v>
      </c>
    </row>
    <row customHeight="1" ht="14.25" hidden="1">
      <c r="AF14" s="351"/>
      <c r="AQ14" s="351"/>
      <c r="AY14" s="1179">
        <v>0</v>
      </c>
    </row>
    <row customHeight="1" ht="14.25" hidden="1">
      <c r="AG15" s="1384"/>
      <c r="AH15" s="1384"/>
      <c r="AI15" s="1384"/>
      <c r="AJ15" s="1384"/>
      <c r="AK15" s="1384"/>
      <c r="AL15" s="1384"/>
      <c r="AM15" s="1384"/>
      <c r="AN15" s="2291"/>
      <c r="AO15" s="2292" t="s">
        <v>66</v>
      </c>
      <c r="AP15" s="2291"/>
      <c r="AQ15" s="2292" t="s">
        <v>66</v>
      </c>
      <c r="AY15" s="1179">
        <v>0</v>
      </c>
    </row>
    <row customHeight="1" ht="14.25" hidden="1">
      <c r="AG16" s="1384"/>
      <c r="AH16" s="1384"/>
      <c r="AI16" s="1384"/>
      <c r="AJ16" s="1384"/>
      <c r="AK16" s="1384"/>
      <c r="AL16" s="1384"/>
      <c r="AM16" s="1384"/>
      <c r="AN16" s="2292"/>
      <c r="AO16" s="2292"/>
      <c r="AP16" s="2292"/>
      <c r="AQ16" s="2292"/>
      <c r="AY16" s="1179">
        <v>0</v>
      </c>
    </row>
    <row customHeight="1" ht="14.25" hidden="1">
      <c r="AQ17" s="351"/>
      <c r="AY17" s="1179">
        <v>0</v>
      </c>
    </row>
    <row s="1390" customFormat="1" customHeight="1" ht="22.5" hidden="1">
      <c r="L18" s="1502"/>
      <c r="M18" s="1386"/>
      <c r="N18" s="1386"/>
      <c r="O18" s="1391" t="s">
        <v>501</v>
      </c>
      <c r="P18" s="1386"/>
      <c r="Q18" s="1395"/>
      <c r="R18" s="1395"/>
      <c r="S18" s="753"/>
      <c r="W18" s="1390"/>
      <c r="X18" s="1390"/>
      <c r="Y18" s="1390"/>
      <c r="Z18" s="1390"/>
      <c r="AA18" s="1390"/>
      <c r="AB18" s="1390"/>
      <c r="AC18" s="1391"/>
      <c r="AE18" s="1391"/>
      <c r="AF18" s="1390"/>
      <c r="AH18" s="1390"/>
      <c r="AI18" s="1390"/>
      <c r="AJ18" s="1390"/>
      <c r="AK18" s="1390"/>
      <c r="AL18" s="1390"/>
      <c r="AN18" s="1391"/>
      <c r="AP18" s="1391"/>
      <c r="AQ18" s="1390"/>
      <c r="AT18" s="535"/>
      <c r="AU18" s="535"/>
      <c r="AV18" s="535"/>
      <c r="AW18" s="535"/>
      <c r="AX18" s="535"/>
      <c r="AY18" s="1184">
        <v>0</v>
      </c>
    </row>
    <row s="1390" customFormat="1" customHeight="1" ht="14.25" hidden="1">
      <c r="L19" s="1502"/>
      <c r="M19" s="1386"/>
      <c r="N19" s="1386"/>
      <c r="O19" s="1386"/>
      <c r="P19" s="1386"/>
      <c r="Q19" s="1395"/>
      <c r="R19" s="1395"/>
      <c r="S19" s="753"/>
      <c r="W19" s="1390"/>
      <c r="X19" s="1390"/>
      <c r="Y19" s="1390"/>
      <c r="Z19" s="1390"/>
      <c r="AA19" s="1390"/>
      <c r="AB19" s="1390"/>
      <c r="AF19" s="1390"/>
      <c r="AH19" s="1390"/>
      <c r="AI19" s="1390"/>
      <c r="AJ19" s="1390"/>
      <c r="AK19" s="1390"/>
      <c r="AL19" s="1390"/>
      <c r="AQ19" s="1390"/>
      <c r="AT19" s="535"/>
      <c r="AU19" s="535"/>
      <c r="AV19" s="535"/>
      <c r="AW19" s="535"/>
      <c r="AX19" s="535"/>
      <c r="AY19" s="1184">
        <v>0</v>
      </c>
    </row>
    <row s="1390" customFormat="1" customHeight="1" ht="12" hidden="1">
      <c r="L20" s="1502"/>
      <c r="M20" s="1386"/>
      <c r="N20" s="1386"/>
      <c r="O20" s="1388" t="s">
        <v>502</v>
      </c>
      <c r="P20" s="1386"/>
      <c r="Q20" s="1466"/>
      <c r="R20" s="1466"/>
      <c r="S20" s="753"/>
      <c r="T20" s="1184" t="s">
        <v>503</v>
      </c>
      <c r="W20" s="1390"/>
      <c r="X20" s="1390"/>
      <c r="Y20" s="1390"/>
      <c r="Z20" s="1390"/>
      <c r="AA20" s="1390"/>
      <c r="AB20" s="1390"/>
      <c r="AD20" s="210" t="s">
        <v>504</v>
      </c>
      <c r="AF20" s="210" t="s">
        <v>505</v>
      </c>
      <c r="AG20" s="1184" t="s">
        <v>503</v>
      </c>
      <c r="AH20" s="1390"/>
      <c r="AI20" s="1390"/>
      <c r="AJ20" s="1390"/>
      <c r="AK20" s="1390"/>
      <c r="AL20" s="1390"/>
      <c r="AO20" s="210" t="s">
        <v>506</v>
      </c>
      <c r="AQ20" s="210" t="s">
        <v>505</v>
      </c>
      <c r="AY20" s="1184">
        <v>0</v>
      </c>
    </row>
    <row customHeight="1" ht="14.25" hidden="1">
      <c r="O21" s="1388"/>
      <c r="AY21" s="1179">
        <v>0</v>
      </c>
    </row>
    <row customHeight="1" ht="14.25" hidden="1">
      <c r="O22" s="1388"/>
      <c r="AY22" s="1179">
        <v>0</v>
      </c>
    </row>
    <row customHeight="1" ht="14.699999999999998">
      <c r="Q23" s="400"/>
      <c r="R23" s="400"/>
      <c r="S23" s="1299"/>
      <c r="T23" s="387"/>
      <c r="U23" s="387"/>
      <c r="V23" s="533"/>
      <c r="W23" s="1659"/>
      <c r="X23" s="1659"/>
      <c r="Y23" s="1659"/>
      <c r="Z23" s="1659"/>
      <c r="AA23" s="1659"/>
      <c r="AB23" s="1659"/>
      <c r="AC23" s="533"/>
      <c r="AD23" s="533"/>
      <c r="AE23" s="533"/>
      <c r="AF23" s="533"/>
      <c r="AG23" s="533"/>
      <c r="AH23" s="1659"/>
      <c r="AI23" s="1659"/>
      <c r="AJ23" s="1659"/>
      <c r="AK23" s="1659"/>
      <c r="AL23" s="1659"/>
      <c r="AM23" s="533"/>
      <c r="AN23" s="533"/>
      <c r="AO23" s="533"/>
      <c r="AP23" s="533"/>
      <c r="AQ23" s="533"/>
      <c r="AY23" s="1179">
        <v>14</v>
      </c>
    </row>
    <row customHeight="1" ht="26.25">
      <c r="Q24" s="400"/>
      <c r="R24" s="400"/>
      <c r="S24" s="227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72"/>
      <c r="U24" s="2272"/>
      <c r="V24" s="2272"/>
      <c r="W24" s="2272"/>
      <c r="X24" s="2272"/>
      <c r="Y24" s="2272"/>
      <c r="Z24" s="2272"/>
      <c r="AA24" s="2272"/>
      <c r="AB24" s="2272"/>
      <c r="AC24" s="2272"/>
      <c r="AD24" s="2272"/>
      <c r="AE24" s="2272"/>
      <c r="AF24" s="2272"/>
      <c r="AG24" s="2272"/>
      <c r="AH24" s="2272"/>
      <c r="AI24" s="2272"/>
      <c r="AJ24" s="2272"/>
      <c r="AK24" s="2272"/>
      <c r="AL24" s="2272"/>
      <c r="AM24" s="2272"/>
      <c r="AN24" s="2272"/>
      <c r="AO24" s="2272"/>
      <c r="AP24" s="2272"/>
      <c r="AQ24" s="1267"/>
      <c r="AY24" s="1179">
        <v>25</v>
      </c>
    </row>
    <row customHeight="1" ht="14.699999999999998">
      <c r="Q25" s="400"/>
      <c r="R25" s="400"/>
      <c r="S25" s="2273" t="str">
        <f>IF(org=0,"Не определено",org)</f>
        <v>АО "ДГК"</v>
      </c>
      <c r="T25" s="2273"/>
      <c r="U25" s="2273"/>
      <c r="V25" s="2273"/>
      <c r="W25" s="2273"/>
      <c r="X25" s="2273"/>
      <c r="Y25" s="2273"/>
      <c r="Z25" s="2273"/>
      <c r="AA25" s="2273"/>
      <c r="AB25" s="2273"/>
      <c r="AC25" s="2273"/>
      <c r="AD25" s="2273"/>
      <c r="AE25" s="2273"/>
      <c r="AF25" s="2273"/>
      <c r="AG25" s="2273"/>
      <c r="AH25" s="2273"/>
      <c r="AI25" s="2273"/>
      <c r="AJ25" s="2273"/>
      <c r="AK25" s="2273"/>
      <c r="AL25" s="2273"/>
      <c r="AM25" s="2273"/>
      <c r="AN25" s="2273"/>
      <c r="AO25" s="2273"/>
      <c r="AP25" s="2273"/>
      <c r="AQ25" s="1267"/>
      <c r="AY25" s="1179">
        <v>14</v>
      </c>
    </row>
    <row customHeight="1" ht="14.25" hidden="1">
      <c r="Q26" s="400"/>
      <c r="R26" s="400"/>
      <c r="S26" s="1299"/>
      <c r="T26" s="387"/>
      <c r="U26" s="387"/>
      <c r="V26" s="346"/>
      <c r="W26" s="346"/>
      <c r="X26" s="346"/>
      <c r="Y26" s="346"/>
      <c r="Z26" s="346"/>
      <c r="AA26" s="346"/>
      <c r="AB26" s="346"/>
      <c r="AC26" s="346"/>
      <c r="AD26" s="346"/>
      <c r="AE26" s="346"/>
      <c r="AF26" s="346"/>
      <c r="AG26" s="346"/>
      <c r="AH26" s="346"/>
      <c r="AI26" s="346"/>
      <c r="AJ26" s="346"/>
      <c r="AK26" s="346"/>
      <c r="AL26" s="346"/>
      <c r="AM26" s="346"/>
      <c r="AN26" s="346"/>
      <c r="AO26" s="346"/>
      <c r="AP26" s="346"/>
      <c r="AQ26" s="346"/>
      <c r="AR26" s="533"/>
      <c r="AY26" s="1179">
        <v>0</v>
      </c>
    </row>
    <row s="1877" customFormat="1" customHeight="1" ht="25.5" hidden="1">
      <c r="A27" s="1392"/>
      <c r="B27" s="1392"/>
      <c r="C27" s="1392"/>
      <c r="D27" s="1392"/>
      <c r="E27" s="1392"/>
      <c r="F27" s="1392"/>
      <c r="G27" s="1392"/>
      <c r="H27" s="1392"/>
      <c r="I27" s="1392"/>
      <c r="J27" s="1392"/>
      <c r="K27" s="1392"/>
      <c r="L27" s="1393"/>
      <c r="M27" s="1392"/>
      <c r="N27" s="1392"/>
      <c r="O27" s="1392"/>
      <c r="S27" s="2274" t="s">
        <v>42</v>
      </c>
      <c r="T27" s="2274"/>
      <c r="U27" s="1396"/>
      <c r="V27" s="2275" t="str">
        <f>IF(TITLE_NAME_OR_PR_CHANGE="",IF(TITLE_NAME_OR_PR="","",TITLE_NAME_OR_PR),TITLE_NAME_OR_PR_CHANGE)</f>
        <v/>
      </c>
      <c r="W27" s="2275"/>
      <c r="X27" s="2275"/>
      <c r="Y27" s="2275"/>
      <c r="Z27" s="2275"/>
      <c r="AA27" s="2275"/>
      <c r="AB27" s="2275"/>
      <c r="AC27" s="2275"/>
      <c r="AD27" s="2275"/>
      <c r="AE27" s="2275"/>
      <c r="AF27" s="350"/>
      <c r="AG27" s="2275" t="str">
        <f>IF(TITLE_NAME_OR_PR_CHANGE="",IF(TITLE_NAME_OR_PR="","",TITLE_NAME_OR_PR),TITLE_NAME_OR_PR_CHANGE)</f>
        <v/>
      </c>
      <c r="AH27" s="2275"/>
      <c r="AI27" s="2275"/>
      <c r="AJ27" s="2275"/>
      <c r="AK27" s="2275"/>
      <c r="AL27" s="2275"/>
      <c r="AM27" s="2275"/>
      <c r="AN27" s="2275"/>
      <c r="AO27" s="2275"/>
      <c r="AP27" s="2275"/>
      <c r="AQ27" s="350"/>
      <c r="AR27" s="350"/>
      <c r="AS27" s="304"/>
      <c r="AT27" s="392"/>
      <c r="AU27" s="392"/>
      <c r="AV27" s="392"/>
      <c r="AW27" s="392"/>
      <c r="AX27" s="392"/>
      <c r="AY27" s="442">
        <v>0</v>
      </c>
    </row>
    <row s="1877" customFormat="1" customHeight="1" ht="18.75" hidden="1">
      <c r="A28" s="1392"/>
      <c r="B28" s="1392"/>
      <c r="C28" s="1392"/>
      <c r="D28" s="1392"/>
      <c r="E28" s="1392"/>
      <c r="F28" s="1392"/>
      <c r="G28" s="1392"/>
      <c r="H28" s="1392"/>
      <c r="I28" s="1392"/>
      <c r="J28" s="1392"/>
      <c r="K28" s="1392"/>
      <c r="L28" s="1393"/>
      <c r="M28" s="1392"/>
      <c r="N28" s="1392"/>
      <c r="O28" s="1392"/>
      <c r="S28" s="2274" t="s">
        <v>507</v>
      </c>
      <c r="T28" s="2274"/>
      <c r="U28" s="1396"/>
      <c r="V28" s="2288" t="str">
        <f>IF(TITLE_DATE_PR_CHANGE="",IF(TITLE_DATE_PR="","",TITLE_DATE_PR),TITLE_DATE_PR_CHANGE)</f>
        <v/>
      </c>
      <c r="W28" s="2288"/>
      <c r="X28" s="2288"/>
      <c r="Y28" s="2288"/>
      <c r="Z28" s="2288"/>
      <c r="AA28" s="2288"/>
      <c r="AB28" s="2288"/>
      <c r="AC28" s="2288"/>
      <c r="AD28" s="2288"/>
      <c r="AE28" s="2288"/>
      <c r="AF28" s="350"/>
      <c r="AG28" s="2288" t="str">
        <f>IF(TITLE_DATE_PR_CHANGE="",IF(TITLE_DATE_PR="","",TITLE_DATE_PR),TITLE_DATE_PR_CHANGE)</f>
        <v/>
      </c>
      <c r="AH28" s="2288"/>
      <c r="AI28" s="2288"/>
      <c r="AJ28" s="2288"/>
      <c r="AK28" s="2288"/>
      <c r="AL28" s="2288"/>
      <c r="AM28" s="2288"/>
      <c r="AN28" s="2288"/>
      <c r="AO28" s="2288"/>
      <c r="AP28" s="2288"/>
      <c r="AQ28" s="350"/>
      <c r="AR28" s="350"/>
      <c r="AS28" s="304"/>
      <c r="AT28" s="392"/>
      <c r="AU28" s="392"/>
      <c r="AV28" s="392"/>
      <c r="AW28" s="392"/>
      <c r="AX28" s="392"/>
      <c r="AY28" s="442">
        <v>0</v>
      </c>
    </row>
    <row s="1877" customFormat="1" customHeight="1" ht="18.75" hidden="1">
      <c r="A29" s="1392"/>
      <c r="B29" s="1392"/>
      <c r="C29" s="1392"/>
      <c r="D29" s="1392"/>
      <c r="E29" s="1392"/>
      <c r="F29" s="1392"/>
      <c r="G29" s="1392"/>
      <c r="H29" s="1392"/>
      <c r="I29" s="1392"/>
      <c r="J29" s="1392"/>
      <c r="K29" s="1392"/>
      <c r="L29" s="1393"/>
      <c r="M29" s="1392"/>
      <c r="N29" s="1392"/>
      <c r="O29" s="1392"/>
      <c r="S29" s="2274" t="s">
        <v>508</v>
      </c>
      <c r="T29" s="2274"/>
      <c r="U29" s="1396"/>
      <c r="V29" s="2275" t="str">
        <f>IF(TITLE_NUMBER_PR_CHANGE="",IF(TITLE_NUMBER_PR="","",TITLE_NUMBER_PR),TITLE_NUMBER_PR_CHANGE)</f>
        <v/>
      </c>
      <c r="W29" s="2275"/>
      <c r="X29" s="2275"/>
      <c r="Y29" s="2275"/>
      <c r="Z29" s="2275"/>
      <c r="AA29" s="2275"/>
      <c r="AB29" s="2275"/>
      <c r="AC29" s="2275"/>
      <c r="AD29" s="2275"/>
      <c r="AE29" s="2275"/>
      <c r="AF29" s="350"/>
      <c r="AG29" s="2275" t="str">
        <f>IF(TITLE_NUMBER_PR_CHANGE="",IF(TITLE_NUMBER_PR="","",TITLE_NUMBER_PR),TITLE_NUMBER_PR_CHANGE)</f>
        <v/>
      </c>
      <c r="AH29" s="2275"/>
      <c r="AI29" s="2275"/>
      <c r="AJ29" s="2275"/>
      <c r="AK29" s="2275"/>
      <c r="AL29" s="2275"/>
      <c r="AM29" s="2275"/>
      <c r="AN29" s="2275"/>
      <c r="AO29" s="2275"/>
      <c r="AP29" s="2275"/>
      <c r="AQ29" s="350"/>
      <c r="AR29" s="350"/>
      <c r="AS29" s="304"/>
      <c r="AT29" s="392"/>
      <c r="AU29" s="392"/>
      <c r="AV29" s="392"/>
      <c r="AW29" s="392"/>
      <c r="AX29" s="392"/>
      <c r="AY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43</v>
      </c>
      <c r="T30" s="2274"/>
      <c r="U30" s="1396"/>
      <c r="V30" s="2275" t="str">
        <f>IF(TITLE_IST_PUB_CHANGE="",IF(TITLE_IST_PUB="","",TITLE_IST_PUB),TITLE_IST_PUB_CHANGE)</f>
        <v/>
      </c>
      <c r="W30" s="2275"/>
      <c r="X30" s="2275"/>
      <c r="Y30" s="2275"/>
      <c r="Z30" s="2275"/>
      <c r="AA30" s="2275"/>
      <c r="AB30" s="2275"/>
      <c r="AC30" s="2275"/>
      <c r="AD30" s="2275"/>
      <c r="AE30" s="2275"/>
      <c r="AF30" s="350"/>
      <c r="AG30" s="2275" t="str">
        <f>IF(TITLE_IST_PUB_CHANGE="",IF(TITLE_IST_PUB="","",TITLE_IST_PUB),TITLE_IST_PUB_CHANGE)</f>
        <v/>
      </c>
      <c r="AH30" s="2275"/>
      <c r="AI30" s="2275"/>
      <c r="AJ30" s="2275"/>
      <c r="AK30" s="2275"/>
      <c r="AL30" s="2275"/>
      <c r="AM30" s="2275"/>
      <c r="AN30" s="2275"/>
      <c r="AO30" s="2275"/>
      <c r="AP30" s="2275"/>
      <c r="AQ30" s="350"/>
      <c r="AR30" s="350"/>
      <c r="AS30" s="304"/>
      <c r="AT30" s="392"/>
      <c r="AU30" s="392"/>
      <c r="AV30" s="392"/>
      <c r="AW30" s="392"/>
      <c r="AX30" s="392"/>
      <c r="AY30" s="442">
        <v>0</v>
      </c>
    </row>
    <row customHeight="1" ht="14.25" hidden="1">
      <c r="Q31" s="400"/>
      <c r="R31" s="400"/>
      <c r="S31" s="1299"/>
      <c r="T31" s="387"/>
      <c r="U31" s="387"/>
      <c r="V31" s="346"/>
      <c r="W31" s="346"/>
      <c r="X31" s="346"/>
      <c r="Y31" s="346"/>
      <c r="Z31" s="346"/>
      <c r="AA31" s="346"/>
      <c r="AB31" s="346"/>
      <c r="AC31" s="346"/>
      <c r="AD31" s="346"/>
      <c r="AE31" s="346"/>
      <c r="AF31" s="346"/>
      <c r="AG31" s="346"/>
      <c r="AH31" s="346"/>
      <c r="AI31" s="346"/>
      <c r="AJ31" s="346"/>
      <c r="AK31" s="346"/>
      <c r="AL31" s="346"/>
      <c r="AM31" s="346"/>
      <c r="AN31" s="346"/>
      <c r="AO31" s="346"/>
      <c r="AP31" s="346"/>
      <c r="AQ31" s="346"/>
      <c r="AR31" s="533"/>
      <c r="AY31" s="1179">
        <v>0</v>
      </c>
    </row>
    <row s="1877" customFormat="1" customHeight="1" ht="18.75" hidden="1">
      <c r="A32" s="1392"/>
      <c r="B32" s="1392"/>
      <c r="C32" s="1392"/>
      <c r="D32" s="1392"/>
      <c r="E32" s="1392"/>
      <c r="F32" s="1392"/>
      <c r="G32" s="1392"/>
      <c r="H32" s="1392"/>
      <c r="I32" s="1392"/>
      <c r="J32" s="1392"/>
      <c r="K32" s="1392"/>
      <c r="L32" s="1393"/>
      <c r="M32" s="1392"/>
      <c r="N32" s="1392"/>
      <c r="O32" s="1392"/>
      <c r="S32" s="2274" t="s">
        <v>509</v>
      </c>
      <c r="T32" s="2274"/>
      <c r="U32" s="1396"/>
      <c r="V32" s="2288" t="str">
        <f>IF(TITLE_DATE_PR_CHANGE="",IF(TITLE_DATE_PR="","",TITLE_DATE_PR),TITLE_DATE_PR_CHANGE)</f>
        <v/>
      </c>
      <c r="W32" s="2288"/>
      <c r="X32" s="2288"/>
      <c r="Y32" s="2288"/>
      <c r="Z32" s="2288"/>
      <c r="AA32" s="2288"/>
      <c r="AB32" s="2288"/>
      <c r="AC32" s="2288"/>
      <c r="AD32" s="2288"/>
      <c r="AE32" s="2288"/>
      <c r="AF32" s="350"/>
      <c r="AG32" s="2288" t="str">
        <f>IF(TITLE_DATE_PR_CHANGE="",IF(TITLE_DATE_PR="","",TITLE_DATE_PR),TITLE_DATE_PR_CHANGE)</f>
        <v/>
      </c>
      <c r="AH32" s="2288"/>
      <c r="AI32" s="2288"/>
      <c r="AJ32" s="2288"/>
      <c r="AK32" s="2288"/>
      <c r="AL32" s="2288"/>
      <c r="AM32" s="2288"/>
      <c r="AN32" s="2288"/>
      <c r="AO32" s="2288"/>
      <c r="AP32" s="2288"/>
      <c r="AQ32" s="350"/>
      <c r="AR32" s="350"/>
      <c r="AS32" s="304"/>
      <c r="AT32" s="392"/>
      <c r="AU32" s="392"/>
      <c r="AV32" s="392"/>
      <c r="AW32" s="392"/>
      <c r="AX32" s="392"/>
      <c r="AY32" s="442">
        <v>0</v>
      </c>
    </row>
    <row s="1877" customFormat="1" customHeight="1" ht="18.75" hidden="1">
      <c r="A33" s="1392"/>
      <c r="B33" s="1392"/>
      <c r="C33" s="1392"/>
      <c r="D33" s="1392"/>
      <c r="E33" s="1392"/>
      <c r="F33" s="1392"/>
      <c r="G33" s="1392"/>
      <c r="H33" s="1392"/>
      <c r="I33" s="1392"/>
      <c r="J33" s="1392"/>
      <c r="K33" s="1392"/>
      <c r="L33" s="1393"/>
      <c r="M33" s="1392"/>
      <c r="N33" s="1392"/>
      <c r="O33" s="1392"/>
      <c r="S33" s="2274" t="s">
        <v>510</v>
      </c>
      <c r="T33" s="2274"/>
      <c r="U33" s="1396"/>
      <c r="V33" s="2275" t="str">
        <f>IF(TITLE_NUMBER_PR_CHANGE="",IF(TITLE_NUMBER_PR="","",TITLE_NUMBER_PR),TITLE_NUMBER_PR_CHANGE)</f>
        <v/>
      </c>
      <c r="W33" s="2275"/>
      <c r="X33" s="2275"/>
      <c r="Y33" s="2275"/>
      <c r="Z33" s="2275"/>
      <c r="AA33" s="2275"/>
      <c r="AB33" s="2275"/>
      <c r="AC33" s="2275"/>
      <c r="AD33" s="2275"/>
      <c r="AE33" s="2275"/>
      <c r="AF33" s="350"/>
      <c r="AG33" s="2275" t="str">
        <f>IF(TITLE_NUMBER_PR_CHANGE="",IF(TITLE_NUMBER_PR="","",TITLE_NUMBER_PR),TITLE_NUMBER_PR_CHANGE)</f>
        <v/>
      </c>
      <c r="AH33" s="2275"/>
      <c r="AI33" s="2275"/>
      <c r="AJ33" s="2275"/>
      <c r="AK33" s="2275"/>
      <c r="AL33" s="2275"/>
      <c r="AM33" s="2275"/>
      <c r="AN33" s="2275"/>
      <c r="AO33" s="2275"/>
      <c r="AP33" s="2275"/>
      <c r="AQ33" s="350"/>
      <c r="AR33" s="350"/>
      <c r="AS33" s="304"/>
      <c r="AT33" s="392"/>
      <c r="AU33" s="392"/>
      <c r="AV33" s="392"/>
      <c r="AW33" s="392"/>
      <c r="AX33" s="392"/>
      <c r="AY33" s="442">
        <v>0</v>
      </c>
    </row>
    <row s="1877" customFormat="1" customHeight="1" ht="1.05">
      <c r="A34" s="1392"/>
      <c r="B34" s="1392"/>
      <c r="C34" s="1392"/>
      <c r="D34" s="1392"/>
      <c r="E34" s="1392"/>
      <c r="F34" s="1392"/>
      <c r="G34" s="1392"/>
      <c r="H34" s="1392"/>
      <c r="I34" s="1392"/>
      <c r="J34" s="1392"/>
      <c r="K34" s="1392"/>
      <c r="L34" s="1393"/>
      <c r="M34" s="1392"/>
      <c r="N34" s="1392"/>
      <c r="O34" s="1392"/>
      <c r="S34" s="347"/>
      <c r="T34" s="347"/>
      <c r="U34" s="1512"/>
      <c r="V34" s="350"/>
      <c r="W34" s="1659"/>
      <c r="X34" s="1659"/>
      <c r="Y34" s="1659"/>
      <c r="Z34" s="1659"/>
      <c r="AA34" s="1659"/>
      <c r="AB34" s="1659"/>
      <c r="AC34" s="350"/>
      <c r="AD34" s="350"/>
      <c r="AE34" s="350"/>
      <c r="AF34" s="302" t="s">
        <v>511</v>
      </c>
      <c r="AG34" s="350"/>
      <c r="AH34" s="1659"/>
      <c r="AI34" s="1659"/>
      <c r="AJ34" s="1659"/>
      <c r="AK34" s="1659"/>
      <c r="AL34" s="1659"/>
      <c r="AM34" s="350"/>
      <c r="AN34" s="350"/>
      <c r="AO34" s="350"/>
      <c r="AP34" s="350"/>
      <c r="AQ34" s="302" t="s">
        <v>511</v>
      </c>
      <c r="AT34" s="392"/>
      <c r="AU34" s="392"/>
      <c r="AV34" s="392"/>
      <c r="AW34" s="392"/>
      <c r="AX34" s="392"/>
      <c r="AY34" s="442">
        <v>1</v>
      </c>
    </row>
    <row customHeight="1" ht="14.699999999999998">
      <c r="Q35" s="400"/>
      <c r="R35" s="400"/>
      <c r="S35" s="1299"/>
      <c r="T35" s="387"/>
      <c r="U35" s="1268"/>
      <c r="V35" s="2276"/>
      <c r="W35" s="2276"/>
      <c r="X35" s="2276"/>
      <c r="Y35" s="2276"/>
      <c r="Z35" s="2276"/>
      <c r="AA35" s="2276"/>
      <c r="AB35" s="2276"/>
      <c r="AC35" s="2276"/>
      <c r="AD35" s="2276"/>
      <c r="AE35" s="2276"/>
      <c r="AF35" s="2276"/>
      <c r="AG35" s="2276"/>
      <c r="AH35" s="2276"/>
      <c r="AI35" s="2276"/>
      <c r="AJ35" s="2276"/>
      <c r="AK35" s="2276"/>
      <c r="AL35" s="2276"/>
      <c r="AM35" s="2276"/>
      <c r="AN35" s="2276"/>
      <c r="AO35" s="2276"/>
      <c r="AP35" s="2276"/>
      <c r="AQ35" s="2276"/>
      <c r="AY35" s="1179">
        <v>14</v>
      </c>
    </row>
    <row customHeight="1" ht="14.699999999999998">
      <c r="Q36" s="400"/>
      <c r="R36" s="400"/>
      <c r="S36" s="2151" t="s">
        <v>384</v>
      </c>
      <c r="T36" s="2151"/>
      <c r="U36" s="2151"/>
      <c r="V36" s="2151"/>
      <c r="W36" s="2151"/>
      <c r="X36" s="2151"/>
      <c r="Y36" s="2151"/>
      <c r="Z36" s="2151"/>
      <c r="AA36" s="2151"/>
      <c r="AB36" s="2151"/>
      <c r="AC36" s="2151"/>
      <c r="AD36" s="2151"/>
      <c r="AE36" s="2151"/>
      <c r="AF36" s="2151"/>
      <c r="AG36" s="2151"/>
      <c r="AH36" s="2151"/>
      <c r="AI36" s="2151"/>
      <c r="AJ36" s="2151"/>
      <c r="AK36" s="2151"/>
      <c r="AL36" s="2151"/>
      <c r="AM36" s="2151"/>
      <c r="AN36" s="2151"/>
      <c r="AO36" s="2151"/>
      <c r="AP36" s="2151"/>
      <c r="AQ36" s="2151"/>
      <c r="AR36" s="2151"/>
      <c r="AS36" s="2151" t="s">
        <v>385</v>
      </c>
      <c r="AY36" s="1179">
        <v>14</v>
      </c>
    </row>
    <row customHeight="1" ht="14.699999999999998">
      <c r="Q37" s="400"/>
      <c r="R37" s="400"/>
      <c r="S37" s="2297" t="s">
        <v>88</v>
      </c>
      <c r="T37" s="2233" t="s">
        <v>512</v>
      </c>
      <c r="U37" s="325"/>
      <c r="V37" s="2298" t="s">
        <v>513</v>
      </c>
      <c r="W37" s="2315"/>
      <c r="X37" s="2315"/>
      <c r="Y37" s="2315"/>
      <c r="Z37" s="2315"/>
      <c r="AA37" s="2315"/>
      <c r="AB37" s="2315"/>
      <c r="AC37" s="2299"/>
      <c r="AD37" s="2299"/>
      <c r="AE37" s="2300"/>
      <c r="AF37" s="2301" t="s">
        <v>514</v>
      </c>
      <c r="AG37" s="2298" t="s">
        <v>513</v>
      </c>
      <c r="AH37" s="2299"/>
      <c r="AI37" s="2299"/>
      <c r="AJ37" s="2299"/>
      <c r="AK37" s="2299"/>
      <c r="AL37" s="2299"/>
      <c r="AM37" s="2299"/>
      <c r="AN37" s="2299"/>
      <c r="AO37" s="2299"/>
      <c r="AP37" s="2300"/>
      <c r="AQ37" s="2301" t="s">
        <v>515</v>
      </c>
      <c r="AR37" s="2304" t="s">
        <v>516</v>
      </c>
      <c r="AS37" s="2151"/>
      <c r="AY37" s="1179">
        <v>14</v>
      </c>
    </row>
    <row customHeight="1" ht="19.95">
      <c r="Q38" s="400"/>
      <c r="R38" s="400"/>
      <c r="S38" s="2297"/>
      <c r="T38" s="2233"/>
      <c r="U38" s="1055"/>
      <c r="V38" s="2390" t="s">
        <v>616</v>
      </c>
      <c r="W38" s="2389" t="s">
        <v>617</v>
      </c>
      <c r="X38" s="2389"/>
      <c r="Y38" s="2389"/>
      <c r="Z38" s="2389" t="s">
        <v>618</v>
      </c>
      <c r="AA38" s="2389"/>
      <c r="AB38" s="2389"/>
      <c r="AC38" s="2318" t="s">
        <v>520</v>
      </c>
      <c r="AD38" s="2337"/>
      <c r="AE38" s="2338"/>
      <c r="AF38" s="2302"/>
      <c r="AG38" s="2390" t="s">
        <v>616</v>
      </c>
      <c r="AH38" s="2389" t="s">
        <v>617</v>
      </c>
      <c r="AI38" s="2389"/>
      <c r="AJ38" s="2389"/>
      <c r="AK38" s="2389" t="s">
        <v>618</v>
      </c>
      <c r="AL38" s="2389"/>
      <c r="AM38" s="2389"/>
      <c r="AN38" s="2318" t="s">
        <v>520</v>
      </c>
      <c r="AO38" s="2337"/>
      <c r="AP38" s="2338"/>
      <c r="AQ38" s="2302"/>
      <c r="AR38" s="2305"/>
      <c r="AS38" s="2151"/>
      <c r="AY38" s="1179">
        <v>19</v>
      </c>
    </row>
    <row s="1659" customFormat="1" customHeight="1" ht="19.95">
      <c r="A39" s="1390"/>
      <c r="B39" s="1390"/>
      <c r="C39" s="1390"/>
      <c r="D39" s="1390"/>
      <c r="E39" s="1390"/>
      <c r="F39" s="1390"/>
      <c r="G39" s="1390"/>
      <c r="H39" s="1390"/>
      <c r="I39" s="1390"/>
      <c r="J39" s="1390"/>
      <c r="K39" s="1390"/>
      <c r="L39" s="1975"/>
      <c r="M39" s="1386"/>
      <c r="N39" s="1386"/>
      <c r="O39" s="1386"/>
      <c r="P39" s="1989"/>
      <c r="Q39" s="400"/>
      <c r="R39" s="400"/>
      <c r="S39" s="2297"/>
      <c r="T39" s="2233"/>
      <c r="U39" s="1055"/>
      <c r="V39" s="2390"/>
      <c r="W39" s="2389" t="s">
        <v>619</v>
      </c>
      <c r="X39" s="2389" t="s">
        <v>620</v>
      </c>
      <c r="Y39" s="2389"/>
      <c r="Z39" s="2389" t="s">
        <v>621</v>
      </c>
      <c r="AA39" s="2389" t="s">
        <v>620</v>
      </c>
      <c r="AB39" s="2389"/>
      <c r="AC39" s="2319"/>
      <c r="AD39" s="2339"/>
      <c r="AE39" s="2340"/>
      <c r="AF39" s="2302"/>
      <c r="AG39" s="2390"/>
      <c r="AH39" s="2389" t="s">
        <v>619</v>
      </c>
      <c r="AI39" s="2389" t="s">
        <v>620</v>
      </c>
      <c r="AJ39" s="2389"/>
      <c r="AK39" s="2389" t="s">
        <v>621</v>
      </c>
      <c r="AL39" s="2389" t="s">
        <v>620</v>
      </c>
      <c r="AM39" s="2389"/>
      <c r="AN39" s="2319"/>
      <c r="AO39" s="2339"/>
      <c r="AP39" s="2340"/>
      <c r="AQ39" s="2302"/>
      <c r="AR39" s="2305"/>
      <c r="AS39" s="2151"/>
      <c r="AT39" s="1660"/>
      <c r="AU39" s="1660"/>
      <c r="AV39" s="1660"/>
      <c r="AW39" s="1660"/>
      <c r="AX39" s="1660"/>
      <c r="AY39" s="1655">
        <v>19</v>
      </c>
    </row>
    <row customHeight="1" ht="61.949999999999996">
      <c r="A40" s="1394"/>
      <c r="B40" s="1394" t="s">
        <v>223</v>
      </c>
      <c r="C40" s="1394" t="s">
        <v>224</v>
      </c>
      <c r="D40" s="1394" t="s">
        <v>225</v>
      </c>
      <c r="E40" s="1388" t="s">
        <v>521</v>
      </c>
      <c r="F40" s="1388" t="s">
        <v>522</v>
      </c>
      <c r="G40" s="1388" t="s">
        <v>523</v>
      </c>
      <c r="H40" s="1388"/>
      <c r="I40" s="1388" t="s">
        <v>574</v>
      </c>
      <c r="J40" s="1388" t="s">
        <v>526</v>
      </c>
      <c r="K40" s="1388" t="s">
        <v>575</v>
      </c>
      <c r="L40" s="1388" t="s">
        <v>502</v>
      </c>
      <c r="Q40" s="400"/>
      <c r="R40" s="400"/>
      <c r="S40" s="2297"/>
      <c r="T40" s="2233"/>
      <c r="U40" s="326"/>
      <c r="V40" s="2390"/>
      <c r="W40" s="2389"/>
      <c r="X40" s="2007" t="s">
        <v>622</v>
      </c>
      <c r="Y40" s="2007" t="s">
        <v>623</v>
      </c>
      <c r="Z40" s="2389"/>
      <c r="AA40" s="2007" t="s">
        <v>624</v>
      </c>
      <c r="AB40" s="2007" t="s">
        <v>625</v>
      </c>
      <c r="AC40" s="1513" t="s">
        <v>530</v>
      </c>
      <c r="AD40" s="2294" t="s">
        <v>531</v>
      </c>
      <c r="AE40" s="2295"/>
      <c r="AF40" s="2303"/>
      <c r="AG40" s="2390"/>
      <c r="AH40" s="2389"/>
      <c r="AI40" s="2007" t="s">
        <v>622</v>
      </c>
      <c r="AJ40" s="2007" t="s">
        <v>623</v>
      </c>
      <c r="AK40" s="2389"/>
      <c r="AL40" s="2007" t="s">
        <v>624</v>
      </c>
      <c r="AM40" s="2007" t="s">
        <v>625</v>
      </c>
      <c r="AN40" s="1513" t="s">
        <v>530</v>
      </c>
      <c r="AO40" s="2294" t="s">
        <v>531</v>
      </c>
      <c r="AP40" s="2295"/>
      <c r="AQ40" s="2303"/>
      <c r="AR40" s="2306"/>
      <c r="AS40" s="2151"/>
      <c r="AY40" s="1179">
        <v>59</v>
      </c>
    </row>
    <row s="1665" customFormat="1" customHeight="1" ht="11.25" hidden="1">
      <c r="A41" s="1394"/>
      <c r="B41" s="1394"/>
      <c r="C41" s="1394"/>
      <c r="D41" s="1394"/>
      <c r="E41" s="1394"/>
      <c r="F41" s="1394"/>
      <c r="G41" s="1394"/>
      <c r="H41" s="1394"/>
      <c r="I41" s="1394"/>
      <c r="J41" s="1394"/>
      <c r="K41" s="1394"/>
      <c r="L41" s="1388"/>
      <c r="M41" s="1386"/>
      <c r="N41" s="1386"/>
      <c r="O41" s="1386"/>
      <c r="P41" s="1270"/>
      <c r="Q41" s="1271"/>
      <c r="R41" s="1278">
        <v>1</v>
      </c>
      <c r="S41" s="1301" t="s">
        <v>170</v>
      </c>
      <c r="T41" s="1279" t="s">
        <v>103</v>
      </c>
      <c r="U41" s="1269" t="str">
        <f>OFFSET(U41,0,-1)</f>
        <v>2</v>
      </c>
      <c r="V41" s="1506">
        <f>OFFSET(V41,0,-1)+1</f>
        <v>3</v>
      </c>
      <c r="W41" s="1365"/>
      <c r="X41" s="1365"/>
      <c r="Y41" s="1365"/>
      <c r="Z41" s="1365"/>
      <c r="AA41" s="1365"/>
      <c r="AB41" s="1365"/>
      <c r="AC41" s="1506">
        <f>OFFSET(AC41,0,-1)+1</f>
        <v>1</v>
      </c>
      <c r="AD41" s="2296">
        <f>OFFSET(AD41,0,-1)+1</f>
        <v>2</v>
      </c>
      <c r="AE41" s="2296"/>
      <c r="AF41" s="1506">
        <f>OFFSET(AF41,0,-2)+1</f>
        <v>3</v>
      </c>
      <c r="AG41" s="1506">
        <f>OFFSET(AG41,0,-1)+1</f>
        <v>4</v>
      </c>
      <c r="AH41" s="1980"/>
      <c r="AI41" s="1980"/>
      <c r="AJ41" s="1980"/>
      <c r="AK41" s="1980"/>
      <c r="AL41" s="1980"/>
      <c r="AM41" s="1506">
        <f>OFFSET(AM41,0,-1)+1</f>
        <v>1</v>
      </c>
      <c r="AN41" s="1506">
        <f>OFFSET(AN41,0,-1)+1</f>
        <v>2</v>
      </c>
      <c r="AO41" s="2296">
        <f>OFFSET(AO41,0,-1)+1</f>
        <v>3</v>
      </c>
      <c r="AP41" s="2296"/>
      <c r="AQ41" s="1506">
        <f>OFFSET(AQ41,0,-2)+1</f>
        <v>4</v>
      </c>
      <c r="AR41" s="1269">
        <f>OFFSET(AR41,0,-1)</f>
        <v>4</v>
      </c>
      <c r="AS41" s="1506">
        <f>OFFSET(AS41,0,-1)+1</f>
        <v>5</v>
      </c>
      <c r="AT41" s="535"/>
      <c r="AU41" s="535"/>
      <c r="AV41" s="535"/>
      <c r="AW41" s="535"/>
      <c r="AX41" s="535"/>
      <c r="AY41" s="520">
        <v>0</v>
      </c>
    </row>
    <row customHeight="1" ht="24">
      <c r="A42" s="1387" t="s">
        <v>335</v>
      </c>
      <c r="B42" s="1387"/>
      <c r="C42" s="1387"/>
      <c r="D42" s="1387"/>
      <c r="E42" s="2282">
        <v>1</v>
      </c>
      <c r="F42" s="1387"/>
      <c r="G42" s="1387"/>
      <c r="H42" s="1387"/>
      <c r="I42" s="1387"/>
      <c r="J42" s="1387"/>
      <c r="K42" s="1387"/>
      <c r="L42" s="1388"/>
      <c r="M42" s="1389"/>
      <c r="N42" s="1389"/>
      <c r="O42" s="1389"/>
      <c r="P42" s="385"/>
      <c r="Q42" s="384"/>
      <c r="R42" s="379"/>
      <c r="S42" s="1517">
        <f>INDEX(PT_DIFFERENTIATION_NUM_NTAR,MATCH(A42,PT_DIFFERENTIATION_NTAR_ID,0))</f>
        <v>0</v>
      </c>
      <c r="T42" s="322" t="s">
        <v>211</v>
      </c>
      <c r="U42" s="324"/>
      <c r="V42" s="2266"/>
      <c r="W42" s="2267"/>
      <c r="X42" s="2267"/>
      <c r="Y42" s="2267"/>
      <c r="Z42" s="2267"/>
      <c r="AA42" s="2267"/>
      <c r="AB42" s="2267"/>
      <c r="AC42" s="2267"/>
      <c r="AD42" s="2267"/>
      <c r="AE42" s="2267"/>
      <c r="AF42" s="2268"/>
      <c r="AG42" s="2266" t="str">
        <f>INDEX(PT_DIFFERENTIATION_NTAR,MATCH(A42,PT_DIFFERENTIATION_NTAR_ID,0))</f>
        <v/>
      </c>
      <c r="AH42" s="2267"/>
      <c r="AI42" s="2267"/>
      <c r="AJ42" s="2267"/>
      <c r="AK42" s="2267"/>
      <c r="AL42" s="2267"/>
      <c r="AM42" s="2267"/>
      <c r="AN42" s="2267"/>
      <c r="AO42" s="2267"/>
      <c r="AP42" s="2267"/>
      <c r="AQ42" s="2267"/>
      <c r="AR42" s="2268"/>
      <c r="AS4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24"/>
      <c r="AV42" s="524" t="str">
        <f>IF(T42="","",T42)</f>
        <v>Наименование тарифа</v>
      </c>
      <c r="AW42" s="524"/>
      <c r="AX42" s="524"/>
      <c r="AY42" s="1179">
        <v>23</v>
      </c>
    </row>
    <row customHeight="1" ht="24">
      <c r="A43" s="1387" t="s">
        <v>335</v>
      </c>
      <c r="B43" s="1387" t="s">
        <v>336</v>
      </c>
      <c r="C43" s="1387"/>
      <c r="D43" s="1387"/>
      <c r="E43" s="2283"/>
      <c r="F43" s="2282">
        <v>1</v>
      </c>
      <c r="G43" s="1387"/>
      <c r="H43" s="1387"/>
      <c r="I43" s="1387"/>
      <c r="J43" s="1387"/>
      <c r="K43" s="1387"/>
      <c r="L43" s="1388"/>
      <c r="M43" s="1389"/>
      <c r="N43" s="1389"/>
      <c r="O43" s="1389"/>
      <c r="P43" s="1511"/>
      <c r="Q43" s="376"/>
      <c r="R43" s="377"/>
      <c r="S43" s="1517" t="str">
        <f>INDEX(PT_DIFFERENTIATION_NUM_TER,MATCH(B43,PT_DIFFERENTIATION_TER_ID,0))</f>
        <v>.</v>
      </c>
      <c r="T43" s="332" t="s">
        <v>481</v>
      </c>
      <c r="U43" s="324"/>
      <c r="V43" s="2266"/>
      <c r="W43" s="2267"/>
      <c r="X43" s="2267"/>
      <c r="Y43" s="2267"/>
      <c r="Z43" s="2267"/>
      <c r="AA43" s="2267"/>
      <c r="AB43" s="2267"/>
      <c r="AC43" s="2267"/>
      <c r="AD43" s="2267"/>
      <c r="AE43" s="2267"/>
      <c r="AF43" s="2268"/>
      <c r="AG43" s="2266" t="str">
        <f>INDEX(PT_DIFFERENTIATION_TER,MATCH(B43,PT_DIFFERENTIATION_TER_ID,0))</f>
        <v/>
      </c>
      <c r="AH43" s="2267"/>
      <c r="AI43" s="2267"/>
      <c r="AJ43" s="2267"/>
      <c r="AK43" s="2267"/>
      <c r="AL43" s="2267"/>
      <c r="AM43" s="2267"/>
      <c r="AN43" s="2267"/>
      <c r="AO43" s="2267"/>
      <c r="AP43" s="2267"/>
      <c r="AQ43" s="2267"/>
      <c r="AR43" s="2268"/>
      <c r="AS43" s="1282" t="s">
        <v>482</v>
      </c>
      <c r="AU43" s="524"/>
      <c r="AV43" s="524" t="str">
        <f>IF(T43="","",T43)</f>
        <v>Территория действия тарифа</v>
      </c>
      <c r="AW43" s="524"/>
      <c r="AX43" s="524"/>
      <c r="AY43" s="1179">
        <v>23</v>
      </c>
    </row>
    <row customHeight="1" ht="24">
      <c r="A44" s="1387" t="s">
        <v>335</v>
      </c>
      <c r="B44" s="1387" t="s">
        <v>336</v>
      </c>
      <c r="C44" s="1387" t="s">
        <v>337</v>
      </c>
      <c r="D44" s="1387"/>
      <c r="E44" s="2283"/>
      <c r="F44" s="2283"/>
      <c r="G44" s="2282">
        <v>1</v>
      </c>
      <c r="H44" s="1387"/>
      <c r="I44" s="1387"/>
      <c r="J44" s="1387"/>
      <c r="K44" s="1387"/>
      <c r="L44" s="1388"/>
      <c r="M44" s="1389"/>
      <c r="N44" s="1389"/>
      <c r="O44" s="1389"/>
      <c r="P44" s="378"/>
      <c r="Q44" s="376"/>
      <c r="R44" s="377"/>
      <c r="S44" s="1517" t="str">
        <f>INDEX(PT_DIFFERENTIATION_NUM_CS,MATCH(C44,PT_DIFFERENTIATION_CS_ID,0))</f>
        <v>..</v>
      </c>
      <c r="T44" s="333" t="s">
        <v>614</v>
      </c>
      <c r="U44" s="324"/>
      <c r="V44" s="2266"/>
      <c r="W44" s="2267"/>
      <c r="X44" s="2267"/>
      <c r="Y44" s="2267"/>
      <c r="Z44" s="2267"/>
      <c r="AA44" s="2267"/>
      <c r="AB44" s="2267"/>
      <c r="AC44" s="2267"/>
      <c r="AD44" s="2267"/>
      <c r="AE44" s="2267"/>
      <c r="AF44" s="2268"/>
      <c r="AG44" s="2266" t="str">
        <f>INDEX(PT_DIFFERENTIATION_CS,MATCH(C44,PT_DIFFERENTIATION_CS_ID,0))</f>
        <v/>
      </c>
      <c r="AH44" s="2267"/>
      <c r="AI44" s="2267"/>
      <c r="AJ44" s="2267"/>
      <c r="AK44" s="2267"/>
      <c r="AL44" s="2267"/>
      <c r="AM44" s="2267"/>
      <c r="AN44" s="2267"/>
      <c r="AO44" s="2267"/>
      <c r="AP44" s="2267"/>
      <c r="AQ44" s="2267"/>
      <c r="AR44" s="2268"/>
      <c r="AS44" s="1282" t="s">
        <v>615</v>
      </c>
      <c r="AU44" s="524"/>
      <c r="AV44" s="524" t="str">
        <f>IF(T44="","",T44)</f>
        <v>Наименование централизованной системы горячего водоснабжения</v>
      </c>
      <c r="AW44" s="524"/>
      <c r="AX44" s="524"/>
      <c r="AY44" s="1179">
        <v>23</v>
      </c>
    </row>
    <row customHeight="1" ht="24">
      <c r="A45" s="1387" t="s">
        <v>335</v>
      </c>
      <c r="B45" s="1387" t="s">
        <v>336</v>
      </c>
      <c r="C45" s="1387" t="s">
        <v>337</v>
      </c>
      <c r="D45" s="1387" t="s">
        <v>626</v>
      </c>
      <c r="E45" s="2283"/>
      <c r="F45" s="2283"/>
      <c r="G45" s="2283"/>
      <c r="H45" s="2283"/>
      <c r="I45" s="2280" t="str">
        <f>S44&amp;".1"</f>
        <v>...1</v>
      </c>
      <c r="J45" s="1387"/>
      <c r="K45" s="1387"/>
      <c r="L45" s="1388"/>
      <c r="P45" s="2281">
        <v>1</v>
      </c>
      <c r="Q45" s="1505"/>
      <c r="R45" s="380"/>
      <c r="S45" s="1517" t="str">
        <f>$I45</f>
        <v>...1</v>
      </c>
      <c r="T45" s="309" t="s">
        <v>567</v>
      </c>
      <c r="U45" s="324"/>
      <c r="V45" s="2374"/>
      <c r="W45" s="2375"/>
      <c r="X45" s="2375"/>
      <c r="Y45" s="2375"/>
      <c r="Z45" s="2375"/>
      <c r="AA45" s="2375"/>
      <c r="AB45" s="2375"/>
      <c r="AC45" s="2375"/>
      <c r="AD45" s="2375"/>
      <c r="AE45" s="2375"/>
      <c r="AF45" s="2376"/>
      <c r="AG45" s="2377"/>
      <c r="AH45" s="2378"/>
      <c r="AI45" s="2378"/>
      <c r="AJ45" s="2378"/>
      <c r="AK45" s="2378"/>
      <c r="AL45" s="2378"/>
      <c r="AM45" s="2378"/>
      <c r="AN45" s="2378"/>
      <c r="AO45" s="2378"/>
      <c r="AP45" s="2378"/>
      <c r="AQ45" s="2378"/>
      <c r="AR45" s="2379"/>
      <c r="AS45" s="1282" t="s">
        <v>568</v>
      </c>
      <c r="AU45" s="524"/>
      <c r="AV45" s="524" t="str">
        <f>IF(T45="","",T45)</f>
        <v>Наименование признака дифференциации</v>
      </c>
      <c r="AW45" s="524"/>
      <c r="AX45" s="524"/>
      <c r="AY45" s="1179">
        <v>23</v>
      </c>
    </row>
    <row customHeight="1" ht="24">
      <c r="A46" s="1387" t="s">
        <v>335</v>
      </c>
      <c r="B46" s="1387" t="s">
        <v>336</v>
      </c>
      <c r="C46" s="1387" t="s">
        <v>337</v>
      </c>
      <c r="D46" s="1387" t="s">
        <v>626</v>
      </c>
      <c r="E46" s="2283"/>
      <c r="F46" s="2283"/>
      <c r="G46" s="2283"/>
      <c r="H46" s="2283"/>
      <c r="I46" s="2310"/>
      <c r="J46" s="2280" t="str">
        <f>I45&amp;".1"</f>
        <v>...1.1</v>
      </c>
      <c r="K46" s="1387"/>
      <c r="L46" s="1388" t="s">
        <v>490</v>
      </c>
      <c r="P46" s="2281"/>
      <c r="Q46" s="2281">
        <v>1</v>
      </c>
      <c r="R46" s="381"/>
      <c r="S46" s="1517" t="str">
        <f>$J46</f>
        <v>...1.1</v>
      </c>
      <c r="T46" s="310" t="s">
        <v>491</v>
      </c>
      <c r="U46" s="324"/>
      <c r="V46" s="2269"/>
      <c r="W46" s="2270"/>
      <c r="X46" s="2270"/>
      <c r="Y46" s="2270"/>
      <c r="Z46" s="2270"/>
      <c r="AA46" s="2270"/>
      <c r="AB46" s="2270"/>
      <c r="AC46" s="2270"/>
      <c r="AD46" s="2270"/>
      <c r="AE46" s="2270"/>
      <c r="AF46" s="2271"/>
      <c r="AG46" s="2269"/>
      <c r="AH46" s="2270"/>
      <c r="AI46" s="2270"/>
      <c r="AJ46" s="2270"/>
      <c r="AK46" s="2270"/>
      <c r="AL46" s="2270"/>
      <c r="AM46" s="2270"/>
      <c r="AN46" s="2270"/>
      <c r="AO46" s="2270"/>
      <c r="AP46" s="2270"/>
      <c r="AQ46" s="2270"/>
      <c r="AR46" s="2271"/>
      <c r="AS46" s="1331" t="s">
        <v>569</v>
      </c>
      <c r="AU46" s="524"/>
      <c r="AV46" s="524" t="str">
        <f>IF(T46="","",T46)</f>
        <v>Группа потребителей</v>
      </c>
      <c r="AW46" s="524"/>
      <c r="AX46" s="524"/>
      <c r="AY46" s="1179">
        <v>23</v>
      </c>
    </row>
    <row customHeight="1" ht="24">
      <c r="A47" s="1387" t="s">
        <v>335</v>
      </c>
      <c r="B47" s="1387" t="s">
        <v>336</v>
      </c>
      <c r="C47" s="1387" t="s">
        <v>337</v>
      </c>
      <c r="D47" s="1387" t="s">
        <v>626</v>
      </c>
      <c r="E47" s="2283"/>
      <c r="F47" s="2283"/>
      <c r="G47" s="2283"/>
      <c r="H47" s="2283"/>
      <c r="I47" s="2310"/>
      <c r="J47" s="2310"/>
      <c r="K47" s="2280" t="str">
        <f>J46&amp;".1"</f>
        <v>...1.1.1</v>
      </c>
      <c r="L47" s="1388"/>
      <c r="P47" s="2281"/>
      <c r="Q47" s="2281"/>
      <c r="R47" s="381">
        <v>1</v>
      </c>
      <c r="S47" s="1517" t="str">
        <f>$K47</f>
        <v>...1.1.1</v>
      </c>
      <c r="T47" s="1461"/>
      <c r="U47" s="324"/>
      <c r="V47" s="775"/>
      <c r="W47" s="775"/>
      <c r="X47" s="775"/>
      <c r="Y47" s="775"/>
      <c r="Z47" s="775"/>
      <c r="AA47" s="775"/>
      <c r="AB47" s="775"/>
      <c r="AC47" s="2291"/>
      <c r="AD47" s="2292" t="s">
        <v>66</v>
      </c>
      <c r="AE47" s="2291"/>
      <c r="AF47" s="2292" t="s">
        <v>66</v>
      </c>
      <c r="AG47" s="775"/>
      <c r="AH47" s="775"/>
      <c r="AI47" s="775"/>
      <c r="AJ47" s="775"/>
      <c r="AK47" s="775"/>
      <c r="AL47" s="775"/>
      <c r="AM47" s="775"/>
      <c r="AN47" s="2289"/>
      <c r="AO47" s="2131" t="s">
        <v>66</v>
      </c>
      <c r="AP47" s="2311"/>
      <c r="AQ47" s="2131" t="s">
        <v>19</v>
      </c>
      <c r="AR47" s="1462"/>
      <c r="AS47"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35">
        <f>STRCHECKDATE(V48:AR48)</f>
      </c>
      <c r="AU47" s="524"/>
      <c r="AV47" s="524" t="str">
        <f>IF(T47="","",T47)</f>
        <v/>
      </c>
      <c r="AW47" s="524"/>
      <c r="AX47" s="524"/>
      <c r="AY47" s="1179">
        <v>23</v>
      </c>
    </row>
    <row customHeight="1" ht="0">
      <c r="A48" s="1387" t="s">
        <v>335</v>
      </c>
      <c r="B48" s="1387" t="s">
        <v>336</v>
      </c>
      <c r="C48" s="1387" t="s">
        <v>337</v>
      </c>
      <c r="D48" s="1387" t="s">
        <v>626</v>
      </c>
      <c r="E48" s="2283"/>
      <c r="F48" s="2283"/>
      <c r="G48" s="2283"/>
      <c r="H48" s="2283"/>
      <c r="I48" s="2310"/>
      <c r="J48" s="2310"/>
      <c r="K48" s="2280"/>
      <c r="L48" s="1388"/>
      <c r="P48" s="2281"/>
      <c r="Q48" s="2281"/>
      <c r="R48" s="381"/>
      <c r="S48" s="1514"/>
      <c r="T48" s="324"/>
      <c r="U48" s="324"/>
      <c r="V48" s="1384"/>
      <c r="W48" s="1384"/>
      <c r="X48" s="1384"/>
      <c r="Y48" s="1384"/>
      <c r="Z48" s="1384"/>
      <c r="AA48" s="1384"/>
      <c r="AB48" s="1384"/>
      <c r="AC48" s="2292"/>
      <c r="AD48" s="2292"/>
      <c r="AE48" s="2292"/>
      <c r="AF48" s="2292"/>
      <c r="AG48" s="349"/>
      <c r="AH48" s="349"/>
      <c r="AI48" s="349"/>
      <c r="AJ48" s="349"/>
      <c r="AK48" s="349"/>
      <c r="AL48" s="349"/>
      <c r="AM48" s="349"/>
      <c r="AN48" s="2290"/>
      <c r="AO48" s="2131"/>
      <c r="AP48" s="2312"/>
      <c r="AQ48" s="2131"/>
      <c r="AR48" s="1463"/>
      <c r="AS48" s="2373"/>
      <c r="AU48" s="524"/>
      <c r="AV48" s="524" t="str">
        <f>IF(T48="","",T48)</f>
        <v/>
      </c>
      <c r="AW48" s="524"/>
      <c r="AX48" s="524"/>
      <c r="AY48" s="1179">
        <v>0</v>
      </c>
    </row>
    <row customHeight="1" ht="21">
      <c r="A49" s="1387" t="s">
        <v>335</v>
      </c>
      <c r="B49" s="1387" t="s">
        <v>336</v>
      </c>
      <c r="C49" s="1387" t="s">
        <v>337</v>
      </c>
      <c r="D49" s="1387" t="s">
        <v>626</v>
      </c>
      <c r="E49" s="2283"/>
      <c r="F49" s="2283"/>
      <c r="G49" s="2283"/>
      <c r="H49" s="2283"/>
      <c r="I49" s="2310"/>
      <c r="J49" s="2280"/>
      <c r="K49" s="1387"/>
      <c r="L49" s="1388"/>
      <c r="P49" s="2281"/>
      <c r="Q49" s="2281"/>
      <c r="R49" s="380"/>
      <c r="S49" s="1302"/>
      <c r="T49" s="311" t="s">
        <v>570</v>
      </c>
      <c r="U49" s="391"/>
      <c r="V49" s="391"/>
      <c r="W49" s="624"/>
      <c r="X49" s="624"/>
      <c r="Y49" s="624"/>
      <c r="Z49" s="624"/>
      <c r="AA49" s="624"/>
      <c r="AB49" s="624"/>
      <c r="AC49" s="391"/>
      <c r="AD49" s="391"/>
      <c r="AE49" s="391"/>
      <c r="AF49" s="391"/>
      <c r="AG49" s="391"/>
      <c r="AH49" s="624"/>
      <c r="AI49" s="624"/>
      <c r="AJ49" s="624"/>
      <c r="AK49" s="624"/>
      <c r="AL49" s="624"/>
      <c r="AM49" s="391"/>
      <c r="AN49" s="391"/>
      <c r="AO49" s="391"/>
      <c r="AP49" s="391"/>
      <c r="AQ49" s="391"/>
      <c r="AR49" s="391"/>
      <c r="AS49" s="1282" t="s">
        <v>571</v>
      </c>
      <c r="AU49" s="524"/>
      <c r="AV49" s="524" t="str">
        <f>IF(T49="","",T49)</f>
        <v>Добавить значение признака дифференциации</v>
      </c>
      <c r="AW49" s="524"/>
      <c r="AX49" s="524"/>
      <c r="AY49" s="1179">
        <v>20</v>
      </c>
    </row>
    <row customHeight="1" ht="22.049999999999997">
      <c r="A50" s="1387" t="s">
        <v>335</v>
      </c>
      <c r="B50" s="1387" t="s">
        <v>336</v>
      </c>
      <c r="C50" s="1387" t="s">
        <v>337</v>
      </c>
      <c r="D50" s="1387" t="s">
        <v>626</v>
      </c>
      <c r="E50" s="2283"/>
      <c r="F50" s="2283"/>
      <c r="G50" s="2283"/>
      <c r="H50" s="2283"/>
      <c r="I50" s="2280"/>
      <c r="J50" s="1387"/>
      <c r="K50" s="1387"/>
      <c r="L50" s="1388"/>
      <c r="P50" s="2281"/>
      <c r="Q50" s="1505"/>
      <c r="R50" s="380"/>
      <c r="S50" s="1302"/>
      <c r="T50" s="389" t="s">
        <v>496</v>
      </c>
      <c r="U50" s="391"/>
      <c r="V50" s="391"/>
      <c r="W50" s="624"/>
      <c r="X50" s="624"/>
      <c r="Y50" s="624"/>
      <c r="Z50" s="624"/>
      <c r="AA50" s="624"/>
      <c r="AB50" s="624"/>
      <c r="AC50" s="391"/>
      <c r="AD50" s="391"/>
      <c r="AE50" s="391"/>
      <c r="AF50" s="390"/>
      <c r="AG50" s="391"/>
      <c r="AH50" s="624"/>
      <c r="AI50" s="624"/>
      <c r="AJ50" s="624"/>
      <c r="AK50" s="624"/>
      <c r="AL50" s="624"/>
      <c r="AM50" s="391"/>
      <c r="AN50" s="391"/>
      <c r="AO50" s="391"/>
      <c r="AP50" s="391"/>
      <c r="AQ50" s="390"/>
      <c r="AR50" s="391"/>
      <c r="AS50" s="1464"/>
      <c r="AU50" s="524"/>
      <c r="AV50" s="524" t="str">
        <f>IF(T50="","",T50)</f>
        <v>Добавить группу потребителей</v>
      </c>
      <c r="AW50" s="524"/>
      <c r="AX50" s="524"/>
      <c r="AY50" s="1179">
        <v>21</v>
      </c>
    </row>
    <row customHeight="1" ht="22.049999999999997">
      <c r="A51" s="1387" t="s">
        <v>335</v>
      </c>
      <c r="B51" s="1387" t="s">
        <v>336</v>
      </c>
      <c r="C51" s="1387" t="s">
        <v>337</v>
      </c>
      <c r="D51" s="1387" t="s">
        <v>626</v>
      </c>
      <c r="E51" s="2283"/>
      <c r="F51" s="2283"/>
      <c r="G51" s="2283"/>
      <c r="H51" s="2282"/>
      <c r="I51" s="1387"/>
      <c r="J51" s="1387"/>
      <c r="K51" s="1387"/>
      <c r="L51" s="1388"/>
      <c r="M51" s="1389"/>
      <c r="N51" s="1389"/>
      <c r="O51" s="561"/>
      <c r="P51" s="384"/>
      <c r="Q51" s="399"/>
      <c r="R51" s="379"/>
      <c r="S51" s="1302"/>
      <c r="T51" s="396" t="s">
        <v>572</v>
      </c>
      <c r="U51" s="391"/>
      <c r="V51" s="391"/>
      <c r="W51" s="624"/>
      <c r="X51" s="624"/>
      <c r="Y51" s="624"/>
      <c r="Z51" s="624"/>
      <c r="AA51" s="624"/>
      <c r="AB51" s="624"/>
      <c r="AC51" s="391"/>
      <c r="AD51" s="391"/>
      <c r="AE51" s="391"/>
      <c r="AF51" s="390"/>
      <c r="AG51" s="391"/>
      <c r="AH51" s="624"/>
      <c r="AI51" s="624"/>
      <c r="AJ51" s="624"/>
      <c r="AK51" s="624"/>
      <c r="AL51" s="624"/>
      <c r="AM51" s="391"/>
      <c r="AN51" s="391"/>
      <c r="AO51" s="391"/>
      <c r="AP51" s="391"/>
      <c r="AQ51" s="390"/>
      <c r="AR51" s="391"/>
      <c r="AS51" s="327"/>
      <c r="AU51" s="524"/>
      <c r="AV51" s="524" t="str">
        <f>IF(T51="","",T51)</f>
        <v>Добавить наименование признака дифференциации</v>
      </c>
      <c r="AW51" s="524"/>
      <c r="AX51" s="524"/>
      <c r="AY51" s="1179">
        <v>21</v>
      </c>
    </row>
    <row s="1666" customFormat="1" customHeight="1" ht="0">
      <c r="A52" s="1367" t="s">
        <v>335</v>
      </c>
      <c r="B52" s="1367" t="s">
        <v>336</v>
      </c>
      <c r="C52" s="1338"/>
      <c r="D52" s="1338"/>
      <c r="E52" s="2283"/>
      <c r="F52" s="2282"/>
      <c r="G52" s="1338"/>
      <c r="H52" s="1338"/>
      <c r="I52" s="1338"/>
      <c r="J52" s="1338"/>
      <c r="K52" s="1338"/>
      <c r="L52" s="1518"/>
      <c r="M52" s="1345"/>
      <c r="N52" s="1345"/>
      <c r="P52" s="1340"/>
      <c r="Q52" s="1341"/>
      <c r="R52" s="1340"/>
      <c r="S52" s="1346"/>
      <c r="T52" s="1349" t="s">
        <v>499</v>
      </c>
      <c r="U52" s="1348"/>
      <c r="V52" s="1348"/>
      <c r="W52" s="1348"/>
      <c r="X52" s="1348"/>
      <c r="Y52" s="1348"/>
      <c r="Z52" s="1348"/>
      <c r="AA52" s="1348"/>
      <c r="AB52" s="1348"/>
      <c r="AC52" s="1348"/>
      <c r="AD52" s="1348"/>
      <c r="AE52" s="1348"/>
      <c r="AF52" s="1348"/>
      <c r="AG52" s="1348"/>
      <c r="AH52" s="1348"/>
      <c r="AI52" s="1348"/>
      <c r="AJ52" s="1348"/>
      <c r="AK52" s="1348"/>
      <c r="AL52" s="1348"/>
      <c r="AM52" s="1348"/>
      <c r="AN52" s="1348"/>
      <c r="AO52" s="1348"/>
      <c r="AP52" s="1348"/>
      <c r="AQ52" s="1348"/>
      <c r="AR52" s="1348"/>
      <c r="AS52" s="1348"/>
      <c r="AU52" s="813"/>
      <c r="AV52" s="813" t="str">
        <f>IF(T52="","",T52)</f>
        <v>Добавить централизованную систему для дифференциации</v>
      </c>
      <c r="AW52" s="813"/>
      <c r="AX52" s="813"/>
      <c r="AY52" s="542">
        <v>0</v>
      </c>
    </row>
    <row s="1666" customFormat="1" customHeight="1" ht="0">
      <c r="A53" s="1367" t="s">
        <v>335</v>
      </c>
      <c r="B53" s="1367"/>
      <c r="C53" s="1367"/>
      <c r="D53" s="1367"/>
      <c r="E53" s="2282"/>
      <c r="F53" s="1367"/>
      <c r="G53" s="1367"/>
      <c r="H53" s="1367"/>
      <c r="I53" s="1367"/>
      <c r="J53" s="1367"/>
      <c r="K53" s="1367"/>
      <c r="L53" s="1370"/>
      <c r="M53" s="1345"/>
      <c r="N53" s="1345"/>
      <c r="O53" s="542"/>
      <c r="P53" s="404"/>
      <c r="Q53" s="1368"/>
      <c r="R53" s="404"/>
      <c r="S53" s="1346"/>
      <c r="T53" s="1349" t="s">
        <v>500</v>
      </c>
      <c r="U53" s="1348"/>
      <c r="V53" s="1348"/>
      <c r="W53" s="1348"/>
      <c r="X53" s="1348"/>
      <c r="Y53" s="1348"/>
      <c r="Z53" s="1348"/>
      <c r="AA53" s="1348"/>
      <c r="AB53" s="1348"/>
      <c r="AC53" s="1348"/>
      <c r="AD53" s="1348"/>
      <c r="AE53" s="1348"/>
      <c r="AF53" s="1348"/>
      <c r="AG53" s="1348"/>
      <c r="AH53" s="1348"/>
      <c r="AI53" s="1348"/>
      <c r="AJ53" s="1348"/>
      <c r="AK53" s="1348"/>
      <c r="AL53" s="1348"/>
      <c r="AM53" s="1348"/>
      <c r="AN53" s="1348"/>
      <c r="AO53" s="1348"/>
      <c r="AP53" s="1348"/>
      <c r="AQ53" s="1348"/>
      <c r="AR53" s="1348"/>
      <c r="AS53" s="1348"/>
      <c r="AU53" s="524"/>
      <c r="AV53" s="524" t="str">
        <f>IF(T53="","",T53)</f>
        <v>Добавить территорию для дифференциации</v>
      </c>
      <c r="AW53" s="524"/>
      <c r="AX53" s="524"/>
      <c r="AY53" s="535">
        <v>0</v>
      </c>
    </row>
    <row s="1666" customFormat="1" customHeight="1" ht="0">
      <c r="A54" s="1338"/>
      <c r="B54" s="1338"/>
      <c r="C54" s="1338"/>
      <c r="D54" s="1338"/>
      <c r="E54" s="1367"/>
      <c r="F54" s="1338"/>
      <c r="G54" s="1338"/>
      <c r="H54" s="1338"/>
      <c r="I54" s="1338"/>
      <c r="J54" s="1338"/>
      <c r="K54" s="1338"/>
      <c r="L54" s="1518"/>
      <c r="M54" s="1345"/>
      <c r="N54" s="1345"/>
      <c r="P54" s="1340"/>
      <c r="Q54" s="1341"/>
      <c r="R54" s="1340"/>
      <c r="S54" s="1346"/>
      <c r="T54" s="1349" t="s">
        <v>532</v>
      </c>
      <c r="U54" s="1348"/>
      <c r="V54" s="1348"/>
      <c r="W54" s="1348"/>
      <c r="X54" s="1348"/>
      <c r="Y54" s="1348"/>
      <c r="Z54" s="1348"/>
      <c r="AA54" s="1348"/>
      <c r="AB54" s="1348"/>
      <c r="AC54" s="1348"/>
      <c r="AD54" s="1348"/>
      <c r="AE54" s="1348"/>
      <c r="AF54" s="1348"/>
      <c r="AG54" s="1348"/>
      <c r="AH54" s="1348"/>
      <c r="AI54" s="1348"/>
      <c r="AJ54" s="1348"/>
      <c r="AK54" s="1348"/>
      <c r="AL54" s="1348"/>
      <c r="AM54" s="1348"/>
      <c r="AN54" s="1348"/>
      <c r="AO54" s="1348"/>
      <c r="AP54" s="1348"/>
      <c r="AQ54" s="1348"/>
      <c r="AR54" s="1348"/>
      <c r="AS54" s="1348"/>
      <c r="AU54" s="813"/>
      <c r="AV54" s="813" t="str">
        <f>IF(T54="","",T54)</f>
        <v>Добавить наименование тарифа</v>
      </c>
      <c r="AW54" s="813"/>
      <c r="AX54" s="813"/>
      <c r="AY54" s="542">
        <v>0</v>
      </c>
    </row>
    <row customHeight="1" ht="11.549999999999999">
      <c r="M55" s="1184"/>
      <c r="N55" s="1184"/>
      <c r="O55" s="561"/>
      <c r="P55" s="1179"/>
      <c r="Q55" s="1179"/>
      <c r="R55" s="1179"/>
      <c r="S55" s="1179"/>
      <c r="AT55" s="1179"/>
      <c r="AU55" s="1179"/>
      <c r="AV55" s="1179"/>
      <c r="AW55" s="1179"/>
      <c r="AX55" s="1179"/>
      <c r="AY55" s="1179">
        <v>11</v>
      </c>
    </row>
    <row customHeight="1" ht="14.699999999999998">
      <c r="O56" s="561"/>
      <c r="S56" s="1277"/>
      <c r="T56" s="2309"/>
      <c r="U56" s="2309"/>
      <c r="V56" s="2309"/>
      <c r="W56" s="2309"/>
      <c r="X56" s="2309"/>
      <c r="Y56" s="2309"/>
      <c r="Z56" s="2309"/>
      <c r="AA56" s="2309"/>
      <c r="AB56" s="2309"/>
      <c r="AC56" s="2309"/>
      <c r="AD56" s="2309"/>
      <c r="AE56" s="2309"/>
      <c r="AF56" s="2309"/>
      <c r="AG56" s="2309"/>
      <c r="AH56" s="2309"/>
      <c r="AI56" s="2309"/>
      <c r="AJ56" s="2309"/>
      <c r="AK56" s="2309"/>
      <c r="AL56" s="2309"/>
      <c r="AM56" s="2309"/>
      <c r="AN56" s="2309"/>
      <c r="AO56" s="2309"/>
      <c r="AP56" s="2309"/>
      <c r="AQ56" s="2309"/>
      <c r="AR56" s="2309"/>
      <c r="AS56" s="2309"/>
      <c r="AY56" s="1179">
        <v>14</v>
      </c>
    </row>
    <row customHeight="1" ht="14.699999999999998">
      <c r="O57" s="561"/>
      <c r="AY57" s="1179">
        <v>14</v>
      </c>
    </row>
    <row customHeight="1" ht="14.699999999999998">
      <c r="O58" s="561"/>
      <c r="S58" s="1277"/>
      <c r="T58" s="2309"/>
      <c r="U58" s="2309"/>
      <c r="V58" s="2309"/>
      <c r="W58" s="2309"/>
      <c r="X58" s="2309"/>
      <c r="Y58" s="2309"/>
      <c r="Z58" s="2309"/>
      <c r="AA58" s="2309"/>
      <c r="AB58" s="2309"/>
      <c r="AC58" s="2309"/>
      <c r="AD58" s="2309"/>
      <c r="AE58" s="2309"/>
      <c r="AF58" s="2309"/>
      <c r="AG58" s="2309"/>
      <c r="AH58" s="2309"/>
      <c r="AI58" s="2309"/>
      <c r="AJ58" s="2309"/>
      <c r="AK58" s="2309"/>
      <c r="AL58" s="2309"/>
      <c r="AM58" s="2309"/>
      <c r="AN58" s="2309"/>
      <c r="AO58" s="2309"/>
      <c r="AP58" s="2309"/>
      <c r="AQ58" s="2309"/>
      <c r="AR58" s="2309"/>
      <c r="AS58" s="2309"/>
      <c r="AY58" s="1179">
        <v>14</v>
      </c>
    </row>
    <row customHeight="1" ht="22.5" hidden="1">
      <c r="A59" s="1184" t="s">
        <v>82</v>
      </c>
      <c r="B59" s="1184">
        <v>0</v>
      </c>
      <c r="C59" s="1184">
        <v>0</v>
      </c>
      <c r="D59" s="1184">
        <v>0</v>
      </c>
      <c r="E59" s="1184">
        <v>0</v>
      </c>
      <c r="F59" s="1184">
        <v>0</v>
      </c>
      <c r="G59" s="1184">
        <v>0</v>
      </c>
      <c r="H59" s="1184">
        <v>0</v>
      </c>
      <c r="I59" s="1184">
        <v>0</v>
      </c>
      <c r="J59" s="1184">
        <v>0</v>
      </c>
      <c r="K59" s="1184">
        <v>0</v>
      </c>
      <c r="L59" s="1502">
        <v>0</v>
      </c>
      <c r="M59" s="1386">
        <v>0</v>
      </c>
      <c r="N59" s="1386">
        <v>0</v>
      </c>
      <c r="O59" s="1386">
        <v>0</v>
      </c>
      <c r="P59" s="1497">
        <v>3</v>
      </c>
      <c r="Q59" s="368">
        <v>3</v>
      </c>
      <c r="R59" s="368">
        <v>3</v>
      </c>
      <c r="S59" s="605">
        <v>12</v>
      </c>
      <c r="T59" s="1179">
        <v>35</v>
      </c>
      <c r="U59" s="1179">
        <v>0</v>
      </c>
      <c r="V59" s="1179">
        <v>0</v>
      </c>
      <c r="W59" s="1655">
        <v>0</v>
      </c>
      <c r="X59" s="1655">
        <v>0</v>
      </c>
      <c r="Y59" s="1655">
        <v>0</v>
      </c>
      <c r="Z59" s="1655">
        <v>0</v>
      </c>
      <c r="AA59" s="1655">
        <v>0</v>
      </c>
      <c r="AB59" s="1655">
        <v>0</v>
      </c>
      <c r="AC59" s="1179">
        <v>0</v>
      </c>
      <c r="AD59" s="1179">
        <v>0</v>
      </c>
      <c r="AE59" s="1179">
        <v>0</v>
      </c>
      <c r="AF59" s="1179">
        <v>0</v>
      </c>
      <c r="AG59" s="1179">
        <v>19</v>
      </c>
      <c r="AH59" s="1655">
        <v>19</v>
      </c>
      <c r="AI59" s="1655">
        <v>19</v>
      </c>
      <c r="AJ59" s="1655">
        <v>19</v>
      </c>
      <c r="AK59" s="1655">
        <v>19</v>
      </c>
      <c r="AL59" s="1655">
        <v>19</v>
      </c>
      <c r="AM59" s="1179">
        <v>19</v>
      </c>
      <c r="AN59" s="1179">
        <v>11</v>
      </c>
      <c r="AO59" s="1179">
        <v>3</v>
      </c>
      <c r="AP59" s="1179">
        <v>11</v>
      </c>
      <c r="AQ59" s="1179">
        <v>0</v>
      </c>
      <c r="AR59" s="1179">
        <v>4</v>
      </c>
      <c r="AS59" s="1179">
        <v>115</v>
      </c>
      <c r="AT59" s="535">
        <v>10</v>
      </c>
      <c r="AU59" s="535">
        <v>10</v>
      </c>
      <c r="AV59" s="535">
        <v>10</v>
      </c>
      <c r="AW59" s="535">
        <v>10</v>
      </c>
      <c r="AX59" s="535">
        <v>10</v>
      </c>
      <c r="AY59" s="1179">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957999-790E-EB9D-D05A-0.B5AF38C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4.140625" hidden="1" customWidth="1"/>
    <col min="10" max="10" style="1390" width="9.8515625" hidden="1" customWidth="1"/>
    <col min="11" max="11" style="1390" width="14.7109375" hidden="1" customWidth="1"/>
    <col min="12" max="12" style="2631" width="19.140625" hidden="1" customWidth="1"/>
    <col min="13" max="14" style="1800" width="12.28125" hidden="1" customWidth="1"/>
    <col min="15" max="15" style="1800" width="23.421875" hidden="1" customWidth="1"/>
    <col min="16" max="16" style="2421" width="3.00390625" customWidth="1"/>
    <col min="17" max="18" style="368" width="3.00390625" customWidth="1"/>
    <col min="19" max="19" style="2431" width="12.00390625" customWidth="1"/>
    <col min="20" max="20" style="1659" width="35.00390625" customWidth="1"/>
    <col min="21" max="21" style="1659" width="0.140625" customWidth="1"/>
    <col min="22" max="28" style="1659" width="19.7109375" hidden="1" customWidth="1"/>
    <col min="29" max="29" style="1659" width="11.7109375" hidden="1" customWidth="1"/>
    <col min="30" max="30" style="1659" width="3.7109375" hidden="1" customWidth="1"/>
    <col min="31" max="31" style="1659" width="11.7109375" hidden="1" customWidth="1"/>
    <col min="32" max="32" style="1659" width="8.57421875" hidden="1" customWidth="1"/>
    <col min="33" max="33" style="1659" width="19.7109375" customWidth="1"/>
    <col min="34" max="39" style="1659" width="19.00390625" customWidth="1"/>
    <col min="40" max="40" style="1659" width="11.00390625" customWidth="1"/>
    <col min="41" max="41" style="1659" width="3.7109375" customWidth="1"/>
    <col min="42" max="42" style="1659" width="11.00390625" customWidth="1"/>
    <col min="43" max="43" style="1659" width="8.57421875" hidden="1" customWidth="1"/>
    <col min="44" max="44" style="1659" width="4.00390625" customWidth="1"/>
    <col min="45" max="45" style="1659" width="115.00390625" customWidth="1"/>
    <col min="46" max="50" style="1666" width="10.00390625" customWidth="1"/>
    <col min="51" max="51" style="1659" width="10.57421875" hidden="1"/>
  </cols>
  <sheetData>
    <row customHeight="1" ht="22.5" hidden="1">
      <c r="AB1" s="351"/>
      <c r="AC1" s="351"/>
      <c r="AM1" s="351"/>
      <c r="AN1" s="351"/>
      <c r="AY1" s="1179" t="s">
        <v>14</v>
      </c>
    </row>
    <row customHeight="1" ht="23.25" hidden="1">
      <c r="A2" s="1387"/>
      <c r="B2" s="1387"/>
      <c r="C2" s="1387"/>
      <c r="D2" s="1387"/>
      <c r="E2" s="2282">
        <v>1</v>
      </c>
      <c r="F2" s="1387"/>
      <c r="G2" s="1387"/>
      <c r="H2" s="1387"/>
      <c r="I2" s="1387"/>
      <c r="J2" s="1387"/>
      <c r="K2" s="1387"/>
      <c r="L2" s="1388"/>
      <c r="M2" s="1389"/>
      <c r="N2" s="1389"/>
      <c r="O2" s="1389"/>
      <c r="P2" s="385"/>
      <c r="Q2" s="384"/>
      <c r="R2" s="379"/>
      <c r="S2" s="1517">
        <f>INDEX(PT_DIFFERENTIATION_NUM_NTAR,MATCH(A2,PT_DIFFERENTIATION_NTAR_ID,0))</f>
      </c>
      <c r="T2" s="322" t="s">
        <v>211</v>
      </c>
      <c r="U2" s="324"/>
      <c r="V2" s="2266"/>
      <c r="W2" s="2267"/>
      <c r="X2" s="2267"/>
      <c r="Y2" s="2267"/>
      <c r="Z2" s="2267"/>
      <c r="AA2" s="2267"/>
      <c r="AB2" s="2267"/>
      <c r="AC2" s="2267"/>
      <c r="AD2" s="2267"/>
      <c r="AE2" s="2267"/>
      <c r="AF2" s="2268"/>
      <c r="AG2" s="2266">
        <f>INDEX(PT_DIFFERENTIATION_NTAR,MATCH(A2,PT_DIFFERENTIATION_NTAR_ID,0))</f>
      </c>
      <c r="AH2" s="2267"/>
      <c r="AI2" s="2267"/>
      <c r="AJ2" s="2267"/>
      <c r="AK2" s="2267"/>
      <c r="AL2" s="2267"/>
      <c r="AM2" s="2267"/>
      <c r="AN2" s="2267"/>
      <c r="AO2" s="2267"/>
      <c r="AP2" s="2267"/>
      <c r="AQ2" s="2267"/>
      <c r="AR2" s="2268"/>
      <c r="AS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24"/>
      <c r="AV2" s="524" t="str">
        <f>IF(T2="","",T2)</f>
        <v>Наименование тарифа</v>
      </c>
      <c r="AW2" s="524"/>
      <c r="AX2" s="524"/>
      <c r="AY2" s="1179">
        <v>0</v>
      </c>
    </row>
    <row customHeight="1" ht="23.25" hidden="1">
      <c r="A3" s="1387"/>
      <c r="B3" s="1387"/>
      <c r="C3" s="1387"/>
      <c r="D3" s="1387"/>
      <c r="E3" s="2283"/>
      <c r="F3" s="2282">
        <v>1</v>
      </c>
      <c r="G3" s="1387"/>
      <c r="H3" s="1387"/>
      <c r="I3" s="1387"/>
      <c r="J3" s="1387"/>
      <c r="K3" s="1387"/>
      <c r="L3" s="1388"/>
      <c r="M3" s="1389"/>
      <c r="N3" s="1389"/>
      <c r="O3" s="1389"/>
      <c r="P3" s="1511"/>
      <c r="Q3" s="376"/>
      <c r="R3" s="377"/>
      <c r="S3" s="1517">
        <f>INDEX(PT_DIFFERENTIATION_NUM_TER,MATCH(B3,PT_DIFFERENTIATION_TER_ID,0))</f>
      </c>
      <c r="T3" s="332" t="s">
        <v>481</v>
      </c>
      <c r="U3" s="324"/>
      <c r="V3" s="2266"/>
      <c r="W3" s="2267"/>
      <c r="X3" s="2267"/>
      <c r="Y3" s="2267"/>
      <c r="Z3" s="2267"/>
      <c r="AA3" s="2267"/>
      <c r="AB3" s="2267"/>
      <c r="AC3" s="2267"/>
      <c r="AD3" s="2267"/>
      <c r="AE3" s="2267"/>
      <c r="AF3" s="2268"/>
      <c r="AG3" s="2266">
        <f>INDEX(PT_DIFFERENTIATION_TER,MATCH(B3,PT_DIFFERENTIATION_TER_ID,0))</f>
      </c>
      <c r="AH3" s="2267"/>
      <c r="AI3" s="2267"/>
      <c r="AJ3" s="2267"/>
      <c r="AK3" s="2267"/>
      <c r="AL3" s="2267"/>
      <c r="AM3" s="2267"/>
      <c r="AN3" s="2267"/>
      <c r="AO3" s="2267"/>
      <c r="AP3" s="2267"/>
      <c r="AQ3" s="2267"/>
      <c r="AR3" s="2268"/>
      <c r="AS3" s="1282" t="s">
        <v>482</v>
      </c>
      <c r="AU3" s="524"/>
      <c r="AV3" s="524" t="str">
        <f>IF(T3="","",T3)</f>
        <v>Территория действия тарифа</v>
      </c>
      <c r="AW3" s="524"/>
      <c r="AX3" s="524"/>
      <c r="AY3" s="1179">
        <v>0</v>
      </c>
    </row>
    <row customHeight="1" ht="23.25" hidden="1">
      <c r="A4" s="1387"/>
      <c r="B4" s="1387"/>
      <c r="C4" s="1387"/>
      <c r="D4" s="1387"/>
      <c r="E4" s="2283"/>
      <c r="F4" s="2283"/>
      <c r="G4" s="2282">
        <v>1</v>
      </c>
      <c r="H4" s="1387"/>
      <c r="I4" s="1387"/>
      <c r="J4" s="1387"/>
      <c r="K4" s="1387"/>
      <c r="L4" s="1388"/>
      <c r="M4" s="1389"/>
      <c r="N4" s="1389"/>
      <c r="O4" s="1389"/>
      <c r="P4" s="378"/>
      <c r="Q4" s="376"/>
      <c r="R4" s="377"/>
      <c r="S4" s="1517">
        <f>INDEX(PT_DIFFERENTIATION_NUM_CS,MATCH(C4,PT_DIFFERENTIATION_CS_ID,0))</f>
      </c>
      <c r="T4" s="333" t="s">
        <v>614</v>
      </c>
      <c r="U4" s="324"/>
      <c r="V4" s="2266"/>
      <c r="W4" s="2267"/>
      <c r="X4" s="2267"/>
      <c r="Y4" s="2267"/>
      <c r="Z4" s="2267"/>
      <c r="AA4" s="2267"/>
      <c r="AB4" s="2267"/>
      <c r="AC4" s="2267"/>
      <c r="AD4" s="2267"/>
      <c r="AE4" s="2267"/>
      <c r="AF4" s="2268"/>
      <c r="AG4" s="2266">
        <f>INDEX(PT_DIFFERENTIATION_CS,MATCH(C4,PT_DIFFERENTIATION_CS_ID,0))</f>
      </c>
      <c r="AH4" s="2267"/>
      <c r="AI4" s="2267"/>
      <c r="AJ4" s="2267"/>
      <c r="AK4" s="2267"/>
      <c r="AL4" s="2267"/>
      <c r="AM4" s="2267"/>
      <c r="AN4" s="2267"/>
      <c r="AO4" s="2267"/>
      <c r="AP4" s="2267"/>
      <c r="AQ4" s="2267"/>
      <c r="AR4" s="2268"/>
      <c r="AS4" s="1282" t="s">
        <v>615</v>
      </c>
      <c r="AU4" s="524"/>
      <c r="AV4" s="524" t="str">
        <f>IF(T4="","",T4)</f>
        <v>Наименование централизованной системы горячего водоснабжения</v>
      </c>
      <c r="AW4" s="524"/>
      <c r="AX4" s="524"/>
      <c r="AY4" s="1179">
        <v>0</v>
      </c>
    </row>
    <row customHeight="1" ht="23.25" hidden="1">
      <c r="A5" s="1387"/>
      <c r="B5" s="1387"/>
      <c r="C5" s="1387"/>
      <c r="D5" s="1387"/>
      <c r="E5" s="2283"/>
      <c r="F5" s="2283"/>
      <c r="G5" s="2283"/>
      <c r="H5" s="2283"/>
      <c r="I5" s="2280">
        <f>S4&amp;".1"</f>
      </c>
      <c r="J5" s="1387"/>
      <c r="K5" s="1387"/>
      <c r="L5" s="1388"/>
      <c r="P5" s="2281">
        <v>1</v>
      </c>
      <c r="Q5" s="1505"/>
      <c r="R5" s="380"/>
      <c r="S5" s="1517">
        <f>$I5</f>
      </c>
      <c r="T5" s="309" t="s">
        <v>567</v>
      </c>
      <c r="U5" s="324"/>
      <c r="V5" s="2374"/>
      <c r="W5" s="2375"/>
      <c r="X5" s="2375"/>
      <c r="Y5" s="2375"/>
      <c r="Z5" s="2375"/>
      <c r="AA5" s="2375"/>
      <c r="AB5" s="2375"/>
      <c r="AC5" s="2375"/>
      <c r="AD5" s="2375"/>
      <c r="AE5" s="2375"/>
      <c r="AF5" s="2376"/>
      <c r="AG5" s="2377"/>
      <c r="AH5" s="2378"/>
      <c r="AI5" s="2378"/>
      <c r="AJ5" s="2378"/>
      <c r="AK5" s="2378"/>
      <c r="AL5" s="2378"/>
      <c r="AM5" s="2378"/>
      <c r="AN5" s="2378"/>
      <c r="AO5" s="2378"/>
      <c r="AP5" s="2378"/>
      <c r="AQ5" s="2378"/>
      <c r="AR5" s="2379"/>
      <c r="AS5" s="1282" t="s">
        <v>568</v>
      </c>
      <c r="AU5" s="524"/>
      <c r="AV5" s="524" t="str">
        <f>IF(T5="","",T5)</f>
        <v>Наименование признака дифференциации</v>
      </c>
      <c r="AW5" s="524"/>
      <c r="AX5" s="524"/>
      <c r="AY5" s="1179">
        <v>0</v>
      </c>
    </row>
    <row customHeight="1" ht="23.25" hidden="1">
      <c r="A6" s="1387"/>
      <c r="B6" s="1387"/>
      <c r="C6" s="1387"/>
      <c r="D6" s="1387"/>
      <c r="E6" s="2283"/>
      <c r="F6" s="2283"/>
      <c r="G6" s="2283"/>
      <c r="H6" s="2283"/>
      <c r="I6" s="2310"/>
      <c r="J6" s="2280">
        <f>I5&amp;".1"</f>
      </c>
      <c r="K6" s="1387"/>
      <c r="L6" s="1388" t="s">
        <v>490</v>
      </c>
      <c r="P6" s="2281"/>
      <c r="Q6" s="2281">
        <v>1</v>
      </c>
      <c r="R6" s="381"/>
      <c r="S6" s="1517">
        <f>$J6</f>
      </c>
      <c r="T6" s="310" t="s">
        <v>491</v>
      </c>
      <c r="U6" s="324"/>
      <c r="V6" s="2269"/>
      <c r="W6" s="2270"/>
      <c r="X6" s="2270"/>
      <c r="Y6" s="2270"/>
      <c r="Z6" s="2270"/>
      <c r="AA6" s="2270"/>
      <c r="AB6" s="2270"/>
      <c r="AC6" s="2270"/>
      <c r="AD6" s="2270"/>
      <c r="AE6" s="2270"/>
      <c r="AF6" s="2271"/>
      <c r="AG6" s="2269"/>
      <c r="AH6" s="2270"/>
      <c r="AI6" s="2270"/>
      <c r="AJ6" s="2270"/>
      <c r="AK6" s="2270"/>
      <c r="AL6" s="2270"/>
      <c r="AM6" s="2270"/>
      <c r="AN6" s="2270"/>
      <c r="AO6" s="2270"/>
      <c r="AP6" s="2270"/>
      <c r="AQ6" s="2270"/>
      <c r="AR6" s="2271"/>
      <c r="AS6" s="1331" t="s">
        <v>569</v>
      </c>
      <c r="AU6" s="524"/>
      <c r="AV6" s="524" t="str">
        <f>IF(T6="","",T6)</f>
        <v>Группа потребителей</v>
      </c>
      <c r="AW6" s="524"/>
      <c r="AX6" s="524"/>
      <c r="AY6" s="1179">
        <v>0</v>
      </c>
    </row>
    <row customHeight="1" ht="23.25" hidden="1">
      <c r="A7" s="1387"/>
      <c r="B7" s="1387"/>
      <c r="C7" s="1387"/>
      <c r="D7" s="1387"/>
      <c r="E7" s="2283"/>
      <c r="F7" s="2283"/>
      <c r="G7" s="2283"/>
      <c r="H7" s="2283"/>
      <c r="I7" s="2310"/>
      <c r="J7" s="2310"/>
      <c r="K7" s="2280">
        <f>J6&amp;".1"</f>
      </c>
      <c r="L7" s="1388"/>
      <c r="P7" s="2281"/>
      <c r="Q7" s="2281"/>
      <c r="R7" s="381">
        <v>1</v>
      </c>
      <c r="S7" s="1517">
        <f>$K7</f>
      </c>
      <c r="T7" s="1461"/>
      <c r="U7" s="324"/>
      <c r="V7" s="775"/>
      <c r="W7" s="775"/>
      <c r="X7" s="775"/>
      <c r="Y7" s="775"/>
      <c r="Z7" s="775"/>
      <c r="AA7" s="775"/>
      <c r="AB7" s="1281"/>
      <c r="AC7" s="2289"/>
      <c r="AD7" s="2131" t="s">
        <v>66</v>
      </c>
      <c r="AE7" s="2289"/>
      <c r="AF7" s="2131" t="s">
        <v>66</v>
      </c>
      <c r="AG7" s="775"/>
      <c r="AH7" s="775"/>
      <c r="AI7" s="775"/>
      <c r="AJ7" s="775"/>
      <c r="AK7" s="775"/>
      <c r="AL7" s="775"/>
      <c r="AM7" s="1281"/>
      <c r="AN7" s="2289"/>
      <c r="AO7" s="2131" t="s">
        <v>66</v>
      </c>
      <c r="AP7" s="2311"/>
      <c r="AQ7" s="2131" t="s">
        <v>66</v>
      </c>
      <c r="AR7" s="1462"/>
      <c r="AS7"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35">
        <f>STRCHECKDATE(V8:AR8)</f>
      </c>
      <c r="AU7" s="524"/>
      <c r="AV7" s="524" t="str">
        <f>IF(T7="","",T7)</f>
        <v/>
      </c>
      <c r="AW7" s="524"/>
      <c r="AX7" s="524"/>
      <c r="AY7" s="1179">
        <v>0</v>
      </c>
    </row>
    <row customHeight="1" ht="14.25" hidden="1">
      <c r="A8" s="1387"/>
      <c r="B8" s="1387"/>
      <c r="C8" s="1387"/>
      <c r="D8" s="1387"/>
      <c r="E8" s="2283"/>
      <c r="F8" s="2283"/>
      <c r="G8" s="2283"/>
      <c r="H8" s="2283"/>
      <c r="I8" s="2310"/>
      <c r="J8" s="2310"/>
      <c r="K8" s="2280"/>
      <c r="L8" s="1388"/>
      <c r="P8" s="2281"/>
      <c r="Q8" s="2281"/>
      <c r="R8" s="381"/>
      <c r="S8" s="1514"/>
      <c r="T8" s="324"/>
      <c r="U8" s="324"/>
      <c r="V8" s="349"/>
      <c r="W8" s="349"/>
      <c r="X8" s="349"/>
      <c r="Y8" s="349"/>
      <c r="Z8" s="349"/>
      <c r="AA8" s="349"/>
      <c r="AB8" s="352" t="str">
        <f>AC7&amp;"-"&amp;AE7</f>
        <v>-</v>
      </c>
      <c r="AC8" s="2290"/>
      <c r="AD8" s="2131"/>
      <c r="AE8" s="2290"/>
      <c r="AF8" s="2131"/>
      <c r="AG8" s="349"/>
      <c r="AH8" s="349"/>
      <c r="AI8" s="349"/>
      <c r="AJ8" s="349"/>
      <c r="AK8" s="349"/>
      <c r="AL8" s="349"/>
      <c r="AM8" s="352" t="str">
        <f>AN7&amp;"-"&amp;AP7</f>
        <v>-</v>
      </c>
      <c r="AN8" s="2290"/>
      <c r="AO8" s="2131"/>
      <c r="AP8" s="2312"/>
      <c r="AQ8" s="2131"/>
      <c r="AR8" s="1463"/>
      <c r="AS8" s="2373"/>
      <c r="AU8" s="524"/>
      <c r="AV8" s="524" t="str">
        <f>IF(T8="","",T8)</f>
        <v/>
      </c>
      <c r="AW8" s="524"/>
      <c r="AX8" s="524"/>
      <c r="AY8" s="1179">
        <v>0</v>
      </c>
    </row>
    <row customHeight="1" ht="21" hidden="1">
      <c r="A9" s="1387"/>
      <c r="B9" s="1387"/>
      <c r="C9" s="1387"/>
      <c r="D9" s="1387"/>
      <c r="E9" s="2283"/>
      <c r="F9" s="2283"/>
      <c r="G9" s="2283"/>
      <c r="H9" s="2283"/>
      <c r="I9" s="2310"/>
      <c r="J9" s="2280"/>
      <c r="K9" s="1387"/>
      <c r="L9" s="1388"/>
      <c r="P9" s="2281"/>
      <c r="Q9" s="2281"/>
      <c r="R9" s="380"/>
      <c r="S9" s="1302"/>
      <c r="T9" s="311" t="s">
        <v>570</v>
      </c>
      <c r="U9" s="391"/>
      <c r="V9" s="391"/>
      <c r="W9" s="624"/>
      <c r="X9" s="624"/>
      <c r="Y9" s="624"/>
      <c r="Z9" s="624"/>
      <c r="AA9" s="624"/>
      <c r="AB9" s="391"/>
      <c r="AC9" s="391"/>
      <c r="AD9" s="391"/>
      <c r="AE9" s="391"/>
      <c r="AF9" s="391"/>
      <c r="AG9" s="391"/>
      <c r="AH9" s="624"/>
      <c r="AI9" s="624"/>
      <c r="AJ9" s="624"/>
      <c r="AK9" s="624"/>
      <c r="AL9" s="624"/>
      <c r="AM9" s="391"/>
      <c r="AN9" s="391"/>
      <c r="AO9" s="391"/>
      <c r="AP9" s="391"/>
      <c r="AQ9" s="391"/>
      <c r="AR9" s="391"/>
      <c r="AS9" s="1282" t="s">
        <v>571</v>
      </c>
      <c r="AU9" s="524"/>
      <c r="AV9" s="524" t="str">
        <f>IF(T9="","",T9)</f>
        <v>Добавить значение признака дифференциации</v>
      </c>
      <c r="AW9" s="524"/>
      <c r="AX9" s="524"/>
      <c r="AY9" s="1179">
        <v>0</v>
      </c>
    </row>
    <row customHeight="1" ht="21" hidden="1">
      <c r="A10" s="1387"/>
      <c r="B10" s="1387"/>
      <c r="C10" s="1387"/>
      <c r="D10" s="1387"/>
      <c r="E10" s="2283"/>
      <c r="F10" s="2283"/>
      <c r="G10" s="2283"/>
      <c r="H10" s="2283"/>
      <c r="I10" s="2280"/>
      <c r="J10" s="1387"/>
      <c r="K10" s="1387"/>
      <c r="L10" s="1388"/>
      <c r="P10" s="2281"/>
      <c r="Q10" s="1505"/>
      <c r="R10" s="380"/>
      <c r="S10" s="1302"/>
      <c r="T10" s="389" t="s">
        <v>496</v>
      </c>
      <c r="U10" s="391"/>
      <c r="V10" s="391"/>
      <c r="W10" s="624"/>
      <c r="X10" s="624"/>
      <c r="Y10" s="624"/>
      <c r="Z10" s="624"/>
      <c r="AA10" s="624"/>
      <c r="AB10" s="391"/>
      <c r="AC10" s="391"/>
      <c r="AD10" s="391"/>
      <c r="AE10" s="391"/>
      <c r="AF10" s="390"/>
      <c r="AG10" s="391"/>
      <c r="AH10" s="624"/>
      <c r="AI10" s="624"/>
      <c r="AJ10" s="624"/>
      <c r="AK10" s="624"/>
      <c r="AL10" s="624"/>
      <c r="AM10" s="391"/>
      <c r="AN10" s="391"/>
      <c r="AO10" s="391"/>
      <c r="AP10" s="391"/>
      <c r="AQ10" s="390"/>
      <c r="AR10" s="391"/>
      <c r="AS10" s="1464"/>
      <c r="AU10" s="524"/>
      <c r="AV10" s="524" t="str">
        <f>IF(T10="","",T10)</f>
        <v>Добавить группу потребителей</v>
      </c>
      <c r="AW10" s="524"/>
      <c r="AX10" s="524"/>
      <c r="AY10" s="1179">
        <v>0</v>
      </c>
    </row>
    <row customHeight="1" ht="21" hidden="1">
      <c r="A11" s="1387"/>
      <c r="B11" s="1387"/>
      <c r="C11" s="1387"/>
      <c r="D11" s="1387"/>
      <c r="E11" s="2283"/>
      <c r="F11" s="2283"/>
      <c r="G11" s="2283"/>
      <c r="H11" s="2282"/>
      <c r="I11" s="1387"/>
      <c r="J11" s="1387"/>
      <c r="K11" s="1387"/>
      <c r="L11" s="1388"/>
      <c r="M11" s="1389"/>
      <c r="N11" s="1389"/>
      <c r="O11" s="561"/>
      <c r="P11" s="384"/>
      <c r="Q11" s="399"/>
      <c r="R11" s="379"/>
      <c r="S11" s="1302"/>
      <c r="T11" s="396" t="s">
        <v>572</v>
      </c>
      <c r="U11" s="391"/>
      <c r="V11" s="391"/>
      <c r="W11" s="624"/>
      <c r="X11" s="624"/>
      <c r="Y11" s="624"/>
      <c r="Z11" s="624"/>
      <c r="AA11" s="624"/>
      <c r="AB11" s="391"/>
      <c r="AC11" s="391"/>
      <c r="AD11" s="391"/>
      <c r="AE11" s="391"/>
      <c r="AF11" s="390"/>
      <c r="AG11" s="391"/>
      <c r="AH11" s="624"/>
      <c r="AI11" s="624"/>
      <c r="AJ11" s="624"/>
      <c r="AK11" s="624"/>
      <c r="AL11" s="624"/>
      <c r="AM11" s="391"/>
      <c r="AN11" s="391"/>
      <c r="AO11" s="391"/>
      <c r="AP11" s="391"/>
      <c r="AQ11" s="390"/>
      <c r="AR11" s="391"/>
      <c r="AS11" s="327"/>
      <c r="AU11" s="524"/>
      <c r="AV11" s="524" t="str">
        <f>IF(T11="","",T11)</f>
        <v>Добавить наименование признака дифференциации</v>
      </c>
      <c r="AW11" s="524"/>
      <c r="AX11" s="524"/>
      <c r="AY11" s="1179">
        <v>0</v>
      </c>
    </row>
    <row s="1666" customFormat="1" customHeight="1" ht="14.25" hidden="1">
      <c r="A12" s="1367"/>
      <c r="B12" s="1367"/>
      <c r="C12" s="1338"/>
      <c r="D12" s="1338"/>
      <c r="E12" s="2283"/>
      <c r="F12" s="2282"/>
      <c r="G12" s="1338"/>
      <c r="H12" s="1338"/>
      <c r="I12" s="1338"/>
      <c r="J12" s="1338"/>
      <c r="K12" s="1338"/>
      <c r="L12" s="1518"/>
      <c r="M12" s="1345"/>
      <c r="N12" s="1345"/>
      <c r="P12" s="1340"/>
      <c r="Q12" s="1341"/>
      <c r="R12" s="1340"/>
      <c r="S12" s="1346"/>
      <c r="T12" s="1349" t="s">
        <v>499</v>
      </c>
      <c r="U12" s="1348"/>
      <c r="V12" s="1348"/>
      <c r="W12" s="1348"/>
      <c r="X12" s="1348"/>
      <c r="Y12" s="1348"/>
      <c r="Z12" s="1348"/>
      <c r="AA12" s="1348"/>
      <c r="AB12" s="1348"/>
      <c r="AC12" s="1348"/>
      <c r="AD12" s="1348"/>
      <c r="AE12" s="1348"/>
      <c r="AF12" s="1348"/>
      <c r="AG12" s="1348"/>
      <c r="AH12" s="1348"/>
      <c r="AI12" s="1348"/>
      <c r="AJ12" s="1348"/>
      <c r="AK12" s="1348"/>
      <c r="AL12" s="1348"/>
      <c r="AM12" s="1348"/>
      <c r="AN12" s="1348"/>
      <c r="AO12" s="1348"/>
      <c r="AP12" s="1348"/>
      <c r="AQ12" s="1348"/>
      <c r="AR12" s="1348"/>
      <c r="AS12" s="1348"/>
      <c r="AU12" s="813"/>
      <c r="AV12" s="813" t="str">
        <f>IF(T12="","",T12)</f>
        <v>Добавить централизованную систему для дифференциации</v>
      </c>
      <c r="AW12" s="813"/>
      <c r="AX12" s="813"/>
      <c r="AY12" s="542">
        <v>0</v>
      </c>
    </row>
    <row s="1666" customFormat="1" customHeight="1" ht="14.25" hidden="1">
      <c r="A13" s="1367"/>
      <c r="B13" s="1367"/>
      <c r="C13" s="1367"/>
      <c r="D13" s="1367"/>
      <c r="E13" s="2282"/>
      <c r="F13" s="1367"/>
      <c r="G13" s="1367"/>
      <c r="H13" s="1367"/>
      <c r="I13" s="1367"/>
      <c r="J13" s="1367"/>
      <c r="K13" s="1367"/>
      <c r="L13" s="1370"/>
      <c r="M13" s="1345"/>
      <c r="N13" s="1345"/>
      <c r="O13" s="542"/>
      <c r="P13" s="404"/>
      <c r="Q13" s="1368"/>
      <c r="R13" s="404"/>
      <c r="S13" s="1346"/>
      <c r="T13" s="1349" t="s">
        <v>500</v>
      </c>
      <c r="U13" s="1348"/>
      <c r="V13" s="1348"/>
      <c r="W13" s="1348"/>
      <c r="X13" s="1348"/>
      <c r="Y13" s="1348"/>
      <c r="Z13" s="1348"/>
      <c r="AA13" s="1348"/>
      <c r="AB13" s="1348"/>
      <c r="AC13" s="1348"/>
      <c r="AD13" s="1348"/>
      <c r="AE13" s="1348"/>
      <c r="AF13" s="1348"/>
      <c r="AG13" s="1348"/>
      <c r="AH13" s="1348"/>
      <c r="AI13" s="1348"/>
      <c r="AJ13" s="1348"/>
      <c r="AK13" s="1348"/>
      <c r="AL13" s="1348"/>
      <c r="AM13" s="1348"/>
      <c r="AN13" s="1348"/>
      <c r="AO13" s="1348"/>
      <c r="AP13" s="1348"/>
      <c r="AQ13" s="1348"/>
      <c r="AR13" s="1348"/>
      <c r="AS13" s="1348"/>
      <c r="AU13" s="524"/>
      <c r="AV13" s="524" t="str">
        <f>IF(T13="","",T13)</f>
        <v>Добавить территорию для дифференциации</v>
      </c>
      <c r="AW13" s="524"/>
      <c r="AX13" s="524"/>
      <c r="AY13" s="535">
        <v>0</v>
      </c>
    </row>
    <row customHeight="1" ht="14.25" hidden="1">
      <c r="AF14" s="351"/>
      <c r="AQ14" s="351"/>
      <c r="AY14" s="1179">
        <v>0</v>
      </c>
    </row>
    <row customHeight="1" ht="14.25" hidden="1">
      <c r="AG15" s="1384"/>
      <c r="AH15" s="1384"/>
      <c r="AI15" s="1384"/>
      <c r="AJ15" s="1384"/>
      <c r="AK15" s="1384"/>
      <c r="AL15" s="1384"/>
      <c r="AM15" s="1385"/>
      <c r="AN15" s="2291"/>
      <c r="AO15" s="2292" t="s">
        <v>66</v>
      </c>
      <c r="AP15" s="2291"/>
      <c r="AQ15" s="2292" t="s">
        <v>66</v>
      </c>
      <c r="AY15" s="1179">
        <v>0</v>
      </c>
    </row>
    <row customHeight="1" ht="14.25" hidden="1">
      <c r="AG16" s="1384"/>
      <c r="AH16" s="1384"/>
      <c r="AI16" s="1384"/>
      <c r="AJ16" s="1384"/>
      <c r="AK16" s="1384"/>
      <c r="AL16" s="1384"/>
      <c r="AM16" s="352" t="str">
        <f>AN15&amp;"-"&amp;AP15</f>
        <v>-</v>
      </c>
      <c r="AN16" s="2292"/>
      <c r="AO16" s="2292"/>
      <c r="AP16" s="2292"/>
      <c r="AQ16" s="2292"/>
      <c r="AY16" s="1179">
        <v>0</v>
      </c>
    </row>
    <row customHeight="1" ht="14.25" hidden="1">
      <c r="AQ17" s="351"/>
      <c r="AY17" s="1179">
        <v>0</v>
      </c>
    </row>
    <row s="1390" customFormat="1" customHeight="1" ht="22.5" hidden="1">
      <c r="L18" s="1502"/>
      <c r="M18" s="1386"/>
      <c r="N18" s="1386"/>
      <c r="O18" s="1391" t="s">
        <v>501</v>
      </c>
      <c r="P18" s="1386"/>
      <c r="Q18" s="1395"/>
      <c r="R18" s="1395"/>
      <c r="S18" s="753"/>
      <c r="W18" s="1390"/>
      <c r="X18" s="1390"/>
      <c r="Y18" s="1390"/>
      <c r="Z18" s="1390"/>
      <c r="AA18" s="1390"/>
      <c r="AC18" s="1391"/>
      <c r="AE18" s="1391"/>
      <c r="AF18" s="1390"/>
      <c r="AH18" s="1390"/>
      <c r="AI18" s="1390"/>
      <c r="AJ18" s="1390"/>
      <c r="AK18" s="1390"/>
      <c r="AL18" s="1390"/>
      <c r="AN18" s="1391"/>
      <c r="AP18" s="1391"/>
      <c r="AQ18" s="1390"/>
      <c r="AT18" s="535"/>
      <c r="AU18" s="535"/>
      <c r="AV18" s="535"/>
      <c r="AW18" s="535"/>
      <c r="AX18" s="535"/>
      <c r="AY18" s="1184">
        <v>0</v>
      </c>
    </row>
    <row s="1390" customFormat="1" customHeight="1" ht="14.25" hidden="1">
      <c r="L19" s="1502"/>
      <c r="M19" s="1386"/>
      <c r="N19" s="1386"/>
      <c r="O19" s="1386"/>
      <c r="P19" s="1386"/>
      <c r="Q19" s="1395"/>
      <c r="R19" s="1395"/>
      <c r="S19" s="753"/>
      <c r="W19" s="1390"/>
      <c r="X19" s="1390"/>
      <c r="Y19" s="1390"/>
      <c r="Z19" s="1390"/>
      <c r="AA19" s="1390"/>
      <c r="AF19" s="1390"/>
      <c r="AH19" s="1390"/>
      <c r="AI19" s="1390"/>
      <c r="AJ19" s="1390"/>
      <c r="AK19" s="1390"/>
      <c r="AL19" s="1390"/>
      <c r="AQ19" s="1390"/>
      <c r="AT19" s="535"/>
      <c r="AU19" s="535"/>
      <c r="AV19" s="535"/>
      <c r="AW19" s="535"/>
      <c r="AX19" s="535"/>
      <c r="AY19" s="1184">
        <v>0</v>
      </c>
    </row>
    <row s="1390" customFormat="1" customHeight="1" ht="12" hidden="1">
      <c r="L20" s="1502"/>
      <c r="M20" s="1386"/>
      <c r="N20" s="1386"/>
      <c r="O20" s="1388" t="s">
        <v>502</v>
      </c>
      <c r="P20" s="1386"/>
      <c r="Q20" s="1466"/>
      <c r="R20" s="1466"/>
      <c r="S20" s="753"/>
      <c r="T20" s="1184" t="s">
        <v>503</v>
      </c>
      <c r="W20" s="1390"/>
      <c r="X20" s="1390"/>
      <c r="Y20" s="1390"/>
      <c r="Z20" s="1390"/>
      <c r="AA20" s="1390"/>
      <c r="AD20" s="210" t="s">
        <v>504</v>
      </c>
      <c r="AF20" s="210" t="s">
        <v>505</v>
      </c>
      <c r="AG20" s="1184" t="s">
        <v>503</v>
      </c>
      <c r="AH20" s="1390"/>
      <c r="AI20" s="1390"/>
      <c r="AJ20" s="1390"/>
      <c r="AK20" s="1390"/>
      <c r="AL20" s="1390"/>
      <c r="AO20" s="210" t="s">
        <v>506</v>
      </c>
      <c r="AQ20" s="210" t="s">
        <v>505</v>
      </c>
      <c r="AY20" s="1184">
        <v>0</v>
      </c>
    </row>
    <row customHeight="1" ht="14.25" hidden="1">
      <c r="O21" s="1388"/>
      <c r="AY21" s="1179">
        <v>0</v>
      </c>
    </row>
    <row customHeight="1" ht="14.25" hidden="1">
      <c r="O22" s="1388"/>
      <c r="AY22" s="1179">
        <v>0</v>
      </c>
    </row>
    <row customHeight="1" ht="14.699999999999998">
      <c r="Q23" s="400"/>
      <c r="R23" s="400"/>
      <c r="S23" s="1299"/>
      <c r="T23" s="387"/>
      <c r="U23" s="387"/>
      <c r="V23" s="533"/>
      <c r="W23" s="1659"/>
      <c r="X23" s="1659"/>
      <c r="Y23" s="1659"/>
      <c r="Z23" s="1659"/>
      <c r="AA23" s="1659"/>
      <c r="AB23" s="533"/>
      <c r="AC23" s="533"/>
      <c r="AD23" s="533"/>
      <c r="AE23" s="533"/>
      <c r="AF23" s="533"/>
      <c r="AG23" s="533"/>
      <c r="AH23" s="1659"/>
      <c r="AI23" s="1659"/>
      <c r="AJ23" s="1659"/>
      <c r="AK23" s="1659"/>
      <c r="AL23" s="1659"/>
      <c r="AM23" s="533"/>
      <c r="AN23" s="533"/>
      <c r="AO23" s="533"/>
      <c r="AP23" s="533"/>
      <c r="AQ23" s="533"/>
      <c r="AY23" s="1179">
        <v>14</v>
      </c>
    </row>
    <row customHeight="1" ht="26.25">
      <c r="Q24" s="400"/>
      <c r="R24" s="400"/>
      <c r="S24" s="227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72"/>
      <c r="U24" s="2272"/>
      <c r="V24" s="2272"/>
      <c r="W24" s="2272"/>
      <c r="X24" s="2272"/>
      <c r="Y24" s="2272"/>
      <c r="Z24" s="2272"/>
      <c r="AA24" s="2272"/>
      <c r="AB24" s="2272"/>
      <c r="AC24" s="2272"/>
      <c r="AD24" s="2272"/>
      <c r="AE24" s="2272"/>
      <c r="AF24" s="2272"/>
      <c r="AG24" s="2272"/>
      <c r="AH24" s="2272"/>
      <c r="AI24" s="2272"/>
      <c r="AJ24" s="2272"/>
      <c r="AK24" s="2272"/>
      <c r="AL24" s="2272"/>
      <c r="AM24" s="2272"/>
      <c r="AN24" s="2272"/>
      <c r="AO24" s="2272"/>
      <c r="AP24" s="2272"/>
      <c r="AQ24" s="1267"/>
      <c r="AY24" s="1179">
        <v>25</v>
      </c>
    </row>
    <row customHeight="1" ht="14.699999999999998">
      <c r="Q25" s="400"/>
      <c r="R25" s="400"/>
      <c r="S25" s="2273" t="str">
        <f>IF(org=0,"Не определено",org)</f>
        <v>АО "ДГК"</v>
      </c>
      <c r="T25" s="2273"/>
      <c r="U25" s="2273"/>
      <c r="V25" s="2273"/>
      <c r="W25" s="2273"/>
      <c r="X25" s="2273"/>
      <c r="Y25" s="2273"/>
      <c r="Z25" s="2273"/>
      <c r="AA25" s="2273"/>
      <c r="AB25" s="2273"/>
      <c r="AC25" s="2273"/>
      <c r="AD25" s="2273"/>
      <c r="AE25" s="2273"/>
      <c r="AF25" s="2273"/>
      <c r="AG25" s="2273"/>
      <c r="AH25" s="2273"/>
      <c r="AI25" s="2273"/>
      <c r="AJ25" s="2273"/>
      <c r="AK25" s="2273"/>
      <c r="AL25" s="2273"/>
      <c r="AM25" s="2273"/>
      <c r="AN25" s="2273"/>
      <c r="AO25" s="2273"/>
      <c r="AP25" s="2273"/>
      <c r="AQ25" s="1267"/>
      <c r="AY25" s="1179">
        <v>14</v>
      </c>
    </row>
    <row customHeight="1" ht="14.25" hidden="1">
      <c r="Q26" s="400"/>
      <c r="R26" s="400"/>
      <c r="S26" s="1299"/>
      <c r="T26" s="387"/>
      <c r="U26" s="387"/>
      <c r="V26" s="346"/>
      <c r="W26" s="346"/>
      <c r="X26" s="346"/>
      <c r="Y26" s="346"/>
      <c r="Z26" s="346"/>
      <c r="AA26" s="346"/>
      <c r="AB26" s="346"/>
      <c r="AC26" s="346"/>
      <c r="AD26" s="346"/>
      <c r="AE26" s="346"/>
      <c r="AF26" s="346"/>
      <c r="AG26" s="346"/>
      <c r="AH26" s="346"/>
      <c r="AI26" s="346"/>
      <c r="AJ26" s="346"/>
      <c r="AK26" s="346"/>
      <c r="AL26" s="346"/>
      <c r="AM26" s="346"/>
      <c r="AN26" s="346"/>
      <c r="AO26" s="346"/>
      <c r="AP26" s="346"/>
      <c r="AQ26" s="346"/>
      <c r="AR26" s="533"/>
      <c r="AY26" s="1179">
        <v>0</v>
      </c>
    </row>
    <row s="1877" customFormat="1" customHeight="1" ht="25.5" hidden="1">
      <c r="A27" s="1392"/>
      <c r="B27" s="1392"/>
      <c r="C27" s="1392"/>
      <c r="D27" s="1392"/>
      <c r="E27" s="1392"/>
      <c r="F27" s="1392"/>
      <c r="G27" s="1392"/>
      <c r="H27" s="1392"/>
      <c r="I27" s="1392"/>
      <c r="J27" s="1392"/>
      <c r="K27" s="1392"/>
      <c r="L27" s="1393"/>
      <c r="M27" s="1392"/>
      <c r="N27" s="1392"/>
      <c r="O27" s="1392"/>
      <c r="S27" s="2274" t="s">
        <v>42</v>
      </c>
      <c r="T27" s="2274"/>
      <c r="U27" s="1396"/>
      <c r="V27" s="2275" t="str">
        <f>IF(TITLE_NAME_OR_PR_CHANGE="",IF(TITLE_NAME_OR_PR="","",TITLE_NAME_OR_PR),TITLE_NAME_OR_PR_CHANGE)</f>
        <v/>
      </c>
      <c r="W27" s="2275"/>
      <c r="X27" s="2275"/>
      <c r="Y27" s="2275"/>
      <c r="Z27" s="2275"/>
      <c r="AA27" s="2275"/>
      <c r="AB27" s="2275"/>
      <c r="AC27" s="2275"/>
      <c r="AD27" s="2275"/>
      <c r="AE27" s="2275"/>
      <c r="AF27" s="350"/>
      <c r="AG27" s="2275" t="str">
        <f>IF(TITLE_NAME_OR_PR_CHANGE="",IF(TITLE_NAME_OR_PR="","",TITLE_NAME_OR_PR),TITLE_NAME_OR_PR_CHANGE)</f>
        <v/>
      </c>
      <c r="AH27" s="2275"/>
      <c r="AI27" s="2275"/>
      <c r="AJ27" s="2275"/>
      <c r="AK27" s="2275"/>
      <c r="AL27" s="2275"/>
      <c r="AM27" s="2275"/>
      <c r="AN27" s="2275"/>
      <c r="AO27" s="2275"/>
      <c r="AP27" s="2275"/>
      <c r="AQ27" s="350"/>
      <c r="AR27" s="350"/>
      <c r="AS27" s="304"/>
      <c r="AT27" s="392"/>
      <c r="AU27" s="392"/>
      <c r="AV27" s="392"/>
      <c r="AW27" s="392"/>
      <c r="AX27" s="392"/>
      <c r="AY27" s="442">
        <v>0</v>
      </c>
    </row>
    <row s="1877" customFormat="1" customHeight="1" ht="18.75" hidden="1">
      <c r="A28" s="1392"/>
      <c r="B28" s="1392"/>
      <c r="C28" s="1392"/>
      <c r="D28" s="1392"/>
      <c r="E28" s="1392"/>
      <c r="F28" s="1392"/>
      <c r="G28" s="1392"/>
      <c r="H28" s="1392"/>
      <c r="I28" s="1392"/>
      <c r="J28" s="1392"/>
      <c r="K28" s="1392"/>
      <c r="L28" s="1393"/>
      <c r="M28" s="1392"/>
      <c r="N28" s="1392"/>
      <c r="O28" s="1392"/>
      <c r="S28" s="2274" t="s">
        <v>507</v>
      </c>
      <c r="T28" s="2274"/>
      <c r="U28" s="1396"/>
      <c r="V28" s="2288" t="str">
        <f>IF(TITLE_DATE_PR_CHANGE="",IF(TITLE_DATE_PR="","",TITLE_DATE_PR),TITLE_DATE_PR_CHANGE)</f>
        <v/>
      </c>
      <c r="W28" s="2288"/>
      <c r="X28" s="2288"/>
      <c r="Y28" s="2288"/>
      <c r="Z28" s="2288"/>
      <c r="AA28" s="2288"/>
      <c r="AB28" s="2288"/>
      <c r="AC28" s="2288"/>
      <c r="AD28" s="2288"/>
      <c r="AE28" s="2288"/>
      <c r="AF28" s="350"/>
      <c r="AG28" s="2288" t="str">
        <f>IF(TITLE_DATE_PR_CHANGE="",IF(TITLE_DATE_PR="","",TITLE_DATE_PR),TITLE_DATE_PR_CHANGE)</f>
        <v/>
      </c>
      <c r="AH28" s="2288"/>
      <c r="AI28" s="2288"/>
      <c r="AJ28" s="2288"/>
      <c r="AK28" s="2288"/>
      <c r="AL28" s="2288"/>
      <c r="AM28" s="2288"/>
      <c r="AN28" s="2288"/>
      <c r="AO28" s="2288"/>
      <c r="AP28" s="2288"/>
      <c r="AQ28" s="350"/>
      <c r="AR28" s="350"/>
      <c r="AS28" s="304"/>
      <c r="AT28" s="392"/>
      <c r="AU28" s="392"/>
      <c r="AV28" s="392"/>
      <c r="AW28" s="392"/>
      <c r="AX28" s="392"/>
      <c r="AY28" s="442">
        <v>0</v>
      </c>
    </row>
    <row s="1877" customFormat="1" customHeight="1" ht="18.75" hidden="1">
      <c r="A29" s="1392"/>
      <c r="B29" s="1392"/>
      <c r="C29" s="1392"/>
      <c r="D29" s="1392"/>
      <c r="E29" s="1392"/>
      <c r="F29" s="1392"/>
      <c r="G29" s="1392"/>
      <c r="H29" s="1392"/>
      <c r="I29" s="1392"/>
      <c r="J29" s="1392"/>
      <c r="K29" s="1392"/>
      <c r="L29" s="1393"/>
      <c r="M29" s="1392"/>
      <c r="N29" s="1392"/>
      <c r="O29" s="1392"/>
      <c r="S29" s="2274" t="s">
        <v>508</v>
      </c>
      <c r="T29" s="2274"/>
      <c r="U29" s="1396"/>
      <c r="V29" s="2275" t="str">
        <f>IF(TITLE_NUMBER_PR_CHANGE="",IF(TITLE_NUMBER_PR="","",TITLE_NUMBER_PR),TITLE_NUMBER_PR_CHANGE)</f>
        <v/>
      </c>
      <c r="W29" s="2275"/>
      <c r="X29" s="2275"/>
      <c r="Y29" s="2275"/>
      <c r="Z29" s="2275"/>
      <c r="AA29" s="2275"/>
      <c r="AB29" s="2275"/>
      <c r="AC29" s="2275"/>
      <c r="AD29" s="2275"/>
      <c r="AE29" s="2275"/>
      <c r="AF29" s="350"/>
      <c r="AG29" s="2275" t="str">
        <f>IF(TITLE_NUMBER_PR_CHANGE="",IF(TITLE_NUMBER_PR="","",TITLE_NUMBER_PR),TITLE_NUMBER_PR_CHANGE)</f>
        <v/>
      </c>
      <c r="AH29" s="2275"/>
      <c r="AI29" s="2275"/>
      <c r="AJ29" s="2275"/>
      <c r="AK29" s="2275"/>
      <c r="AL29" s="2275"/>
      <c r="AM29" s="2275"/>
      <c r="AN29" s="2275"/>
      <c r="AO29" s="2275"/>
      <c r="AP29" s="2275"/>
      <c r="AQ29" s="350"/>
      <c r="AR29" s="350"/>
      <c r="AS29" s="304"/>
      <c r="AT29" s="392"/>
      <c r="AU29" s="392"/>
      <c r="AV29" s="392"/>
      <c r="AW29" s="392"/>
      <c r="AX29" s="392"/>
      <c r="AY29" s="442">
        <v>0</v>
      </c>
    </row>
    <row s="1877" customFormat="1" customHeight="1" ht="18.75" hidden="1">
      <c r="A30" s="1392"/>
      <c r="B30" s="1392"/>
      <c r="C30" s="1392"/>
      <c r="D30" s="1392"/>
      <c r="E30" s="1392"/>
      <c r="F30" s="1392"/>
      <c r="G30" s="1392"/>
      <c r="H30" s="1392"/>
      <c r="I30" s="1392"/>
      <c r="J30" s="1392"/>
      <c r="K30" s="1392"/>
      <c r="L30" s="1393"/>
      <c r="M30" s="1392"/>
      <c r="N30" s="1392"/>
      <c r="O30" s="1392"/>
      <c r="S30" s="2274" t="s">
        <v>43</v>
      </c>
      <c r="T30" s="2274"/>
      <c r="U30" s="1396"/>
      <c r="V30" s="2275" t="str">
        <f>IF(TITLE_IST_PUB_CHANGE="",IF(TITLE_IST_PUB="","",TITLE_IST_PUB),TITLE_IST_PUB_CHANGE)</f>
        <v/>
      </c>
      <c r="W30" s="2275"/>
      <c r="X30" s="2275"/>
      <c r="Y30" s="2275"/>
      <c r="Z30" s="2275"/>
      <c r="AA30" s="2275"/>
      <c r="AB30" s="2275"/>
      <c r="AC30" s="2275"/>
      <c r="AD30" s="2275"/>
      <c r="AE30" s="2275"/>
      <c r="AF30" s="350"/>
      <c r="AG30" s="2275" t="str">
        <f>IF(TITLE_IST_PUB_CHANGE="",IF(TITLE_IST_PUB="","",TITLE_IST_PUB),TITLE_IST_PUB_CHANGE)</f>
        <v/>
      </c>
      <c r="AH30" s="2275"/>
      <c r="AI30" s="2275"/>
      <c r="AJ30" s="2275"/>
      <c r="AK30" s="2275"/>
      <c r="AL30" s="2275"/>
      <c r="AM30" s="2275"/>
      <c r="AN30" s="2275"/>
      <c r="AO30" s="2275"/>
      <c r="AP30" s="2275"/>
      <c r="AQ30" s="350"/>
      <c r="AR30" s="350"/>
      <c r="AS30" s="304"/>
      <c r="AT30" s="392"/>
      <c r="AU30" s="392"/>
      <c r="AV30" s="392"/>
      <c r="AW30" s="392"/>
      <c r="AX30" s="392"/>
      <c r="AY30" s="442">
        <v>0</v>
      </c>
    </row>
    <row customHeight="1" ht="14.25" hidden="1">
      <c r="Q31" s="400"/>
      <c r="R31" s="400"/>
      <c r="S31" s="1299"/>
      <c r="T31" s="387"/>
      <c r="U31" s="387"/>
      <c r="V31" s="346"/>
      <c r="W31" s="346"/>
      <c r="X31" s="346"/>
      <c r="Y31" s="346"/>
      <c r="Z31" s="346"/>
      <c r="AA31" s="346"/>
      <c r="AB31" s="346"/>
      <c r="AC31" s="346"/>
      <c r="AD31" s="346"/>
      <c r="AE31" s="346"/>
      <c r="AF31" s="346"/>
      <c r="AG31" s="346"/>
      <c r="AH31" s="346"/>
      <c r="AI31" s="346"/>
      <c r="AJ31" s="346"/>
      <c r="AK31" s="346"/>
      <c r="AL31" s="346"/>
      <c r="AM31" s="346"/>
      <c r="AN31" s="346"/>
      <c r="AO31" s="346"/>
      <c r="AP31" s="346"/>
      <c r="AQ31" s="346"/>
      <c r="AR31" s="533"/>
      <c r="AY31" s="1179">
        <v>0</v>
      </c>
    </row>
    <row s="1877" customFormat="1" customHeight="1" ht="18.75" hidden="1">
      <c r="A32" s="1392"/>
      <c r="B32" s="1392"/>
      <c r="C32" s="1392"/>
      <c r="D32" s="1392"/>
      <c r="E32" s="1392"/>
      <c r="F32" s="1392"/>
      <c r="G32" s="1392"/>
      <c r="H32" s="1392"/>
      <c r="I32" s="1392"/>
      <c r="J32" s="1392"/>
      <c r="K32" s="1392"/>
      <c r="L32" s="1393"/>
      <c r="M32" s="1392"/>
      <c r="N32" s="1392"/>
      <c r="O32" s="1392"/>
      <c r="S32" s="2274" t="s">
        <v>509</v>
      </c>
      <c r="T32" s="2274"/>
      <c r="U32" s="1396"/>
      <c r="V32" s="2288" t="str">
        <f>IF(TITLE_DATE_PR_CHANGE="",IF(TITLE_DATE_PR="","",TITLE_DATE_PR),TITLE_DATE_PR_CHANGE)</f>
        <v/>
      </c>
      <c r="W32" s="2288"/>
      <c r="X32" s="2288"/>
      <c r="Y32" s="2288"/>
      <c r="Z32" s="2288"/>
      <c r="AA32" s="2288"/>
      <c r="AB32" s="2288"/>
      <c r="AC32" s="2288"/>
      <c r="AD32" s="2288"/>
      <c r="AE32" s="2288"/>
      <c r="AF32" s="350"/>
      <c r="AG32" s="2288" t="str">
        <f>IF(TITLE_DATE_PR_CHANGE="",IF(TITLE_DATE_PR="","",TITLE_DATE_PR),TITLE_DATE_PR_CHANGE)</f>
        <v/>
      </c>
      <c r="AH32" s="2288"/>
      <c r="AI32" s="2288"/>
      <c r="AJ32" s="2288"/>
      <c r="AK32" s="2288"/>
      <c r="AL32" s="2288"/>
      <c r="AM32" s="2288"/>
      <c r="AN32" s="2288"/>
      <c r="AO32" s="2288"/>
      <c r="AP32" s="2288"/>
      <c r="AQ32" s="350"/>
      <c r="AR32" s="350"/>
      <c r="AS32" s="304"/>
      <c r="AT32" s="392"/>
      <c r="AU32" s="392"/>
      <c r="AV32" s="392"/>
      <c r="AW32" s="392"/>
      <c r="AX32" s="392"/>
      <c r="AY32" s="442">
        <v>0</v>
      </c>
    </row>
    <row s="1877" customFormat="1" customHeight="1" ht="18.75" hidden="1">
      <c r="A33" s="1392"/>
      <c r="B33" s="1392"/>
      <c r="C33" s="1392"/>
      <c r="D33" s="1392"/>
      <c r="E33" s="1392"/>
      <c r="F33" s="1392"/>
      <c r="G33" s="1392"/>
      <c r="H33" s="1392"/>
      <c r="I33" s="1392"/>
      <c r="J33" s="1392"/>
      <c r="K33" s="1392"/>
      <c r="L33" s="1393"/>
      <c r="M33" s="1392"/>
      <c r="N33" s="1392"/>
      <c r="O33" s="1392"/>
      <c r="S33" s="2274" t="s">
        <v>510</v>
      </c>
      <c r="T33" s="2274"/>
      <c r="U33" s="1396"/>
      <c r="V33" s="2275" t="str">
        <f>IF(TITLE_NUMBER_PR_CHANGE="",IF(TITLE_NUMBER_PR="","",TITLE_NUMBER_PR),TITLE_NUMBER_PR_CHANGE)</f>
        <v/>
      </c>
      <c r="W33" s="2275"/>
      <c r="X33" s="2275"/>
      <c r="Y33" s="2275"/>
      <c r="Z33" s="2275"/>
      <c r="AA33" s="2275"/>
      <c r="AB33" s="2275"/>
      <c r="AC33" s="2275"/>
      <c r="AD33" s="2275"/>
      <c r="AE33" s="2275"/>
      <c r="AF33" s="350"/>
      <c r="AG33" s="2275" t="str">
        <f>IF(TITLE_NUMBER_PR_CHANGE="",IF(TITLE_NUMBER_PR="","",TITLE_NUMBER_PR),TITLE_NUMBER_PR_CHANGE)</f>
        <v/>
      </c>
      <c r="AH33" s="2275"/>
      <c r="AI33" s="2275"/>
      <c r="AJ33" s="2275"/>
      <c r="AK33" s="2275"/>
      <c r="AL33" s="2275"/>
      <c r="AM33" s="2275"/>
      <c r="AN33" s="2275"/>
      <c r="AO33" s="2275"/>
      <c r="AP33" s="2275"/>
      <c r="AQ33" s="350"/>
      <c r="AR33" s="350"/>
      <c r="AS33" s="304"/>
      <c r="AT33" s="392"/>
      <c r="AU33" s="392"/>
      <c r="AV33" s="392"/>
      <c r="AW33" s="392"/>
      <c r="AX33" s="392"/>
      <c r="AY33" s="442">
        <v>0</v>
      </c>
    </row>
    <row s="1877" customFormat="1" customHeight="1" ht="1.05">
      <c r="A34" s="1392"/>
      <c r="B34" s="1392"/>
      <c r="C34" s="1392"/>
      <c r="D34" s="1392"/>
      <c r="E34" s="1392"/>
      <c r="F34" s="1392"/>
      <c r="G34" s="1392"/>
      <c r="H34" s="1392"/>
      <c r="I34" s="1392"/>
      <c r="J34" s="1392"/>
      <c r="K34" s="1392"/>
      <c r="L34" s="1393"/>
      <c r="M34" s="1392"/>
      <c r="N34" s="1392"/>
      <c r="O34" s="1392"/>
      <c r="S34" s="347"/>
      <c r="T34" s="347"/>
      <c r="U34" s="1512"/>
      <c r="V34" s="350"/>
      <c r="W34" s="1659"/>
      <c r="X34" s="1659"/>
      <c r="Y34" s="1659"/>
      <c r="Z34" s="1659"/>
      <c r="AA34" s="1659"/>
      <c r="AB34" s="350"/>
      <c r="AC34" s="350"/>
      <c r="AD34" s="350"/>
      <c r="AE34" s="350"/>
      <c r="AF34" s="302" t="s">
        <v>511</v>
      </c>
      <c r="AG34" s="350"/>
      <c r="AH34" s="1659"/>
      <c r="AI34" s="1659"/>
      <c r="AJ34" s="1659"/>
      <c r="AK34" s="1659"/>
      <c r="AL34" s="1659"/>
      <c r="AM34" s="350"/>
      <c r="AN34" s="350"/>
      <c r="AO34" s="350"/>
      <c r="AP34" s="350"/>
      <c r="AQ34" s="302" t="s">
        <v>511</v>
      </c>
      <c r="AT34" s="392"/>
      <c r="AU34" s="392"/>
      <c r="AV34" s="392"/>
      <c r="AW34" s="392"/>
      <c r="AX34" s="392"/>
      <c r="AY34" s="442">
        <v>1</v>
      </c>
    </row>
    <row customHeight="1" ht="14.699999999999998">
      <c r="Q35" s="400"/>
      <c r="R35" s="400"/>
      <c r="S35" s="1299"/>
      <c r="T35" s="387"/>
      <c r="U35" s="1268"/>
      <c r="V35" s="2276"/>
      <c r="W35" s="2276"/>
      <c r="X35" s="2276"/>
      <c r="Y35" s="2276"/>
      <c r="Z35" s="2276"/>
      <c r="AA35" s="2276"/>
      <c r="AB35" s="2276"/>
      <c r="AC35" s="2276"/>
      <c r="AD35" s="2276"/>
      <c r="AE35" s="2276"/>
      <c r="AF35" s="2276"/>
      <c r="AG35" s="2276"/>
      <c r="AH35" s="2276"/>
      <c r="AI35" s="2276"/>
      <c r="AJ35" s="2276"/>
      <c r="AK35" s="2276"/>
      <c r="AL35" s="2276"/>
      <c r="AM35" s="2276"/>
      <c r="AN35" s="2276"/>
      <c r="AO35" s="2276"/>
      <c r="AP35" s="2276"/>
      <c r="AQ35" s="2276"/>
      <c r="AY35" s="1179">
        <v>14</v>
      </c>
    </row>
    <row customHeight="1" ht="14.699999999999998">
      <c r="Q36" s="400"/>
      <c r="R36" s="400"/>
      <c r="S36" s="2151" t="s">
        <v>384</v>
      </c>
      <c r="T36" s="2151"/>
      <c r="U36" s="2151"/>
      <c r="V36" s="2151"/>
      <c r="W36" s="2151"/>
      <c r="X36" s="2151"/>
      <c r="Y36" s="2151"/>
      <c r="Z36" s="2151"/>
      <c r="AA36" s="2151"/>
      <c r="AB36" s="2151"/>
      <c r="AC36" s="2151"/>
      <c r="AD36" s="2151"/>
      <c r="AE36" s="2151"/>
      <c r="AF36" s="2151"/>
      <c r="AG36" s="2151"/>
      <c r="AH36" s="2151"/>
      <c r="AI36" s="2151"/>
      <c r="AJ36" s="2151"/>
      <c r="AK36" s="2151"/>
      <c r="AL36" s="2151"/>
      <c r="AM36" s="2151"/>
      <c r="AN36" s="2151"/>
      <c r="AO36" s="2151"/>
      <c r="AP36" s="2151"/>
      <c r="AQ36" s="2151"/>
      <c r="AR36" s="2151"/>
      <c r="AS36" s="2151" t="s">
        <v>385</v>
      </c>
      <c r="AY36" s="1179">
        <v>14</v>
      </c>
    </row>
    <row customHeight="1" ht="14.699999999999998">
      <c r="Q37" s="400"/>
      <c r="R37" s="400"/>
      <c r="S37" s="2297" t="s">
        <v>88</v>
      </c>
      <c r="T37" s="2233" t="s">
        <v>512</v>
      </c>
      <c r="U37" s="325"/>
      <c r="V37" s="2298" t="s">
        <v>513</v>
      </c>
      <c r="W37" s="2299"/>
      <c r="X37" s="2299"/>
      <c r="Y37" s="2299"/>
      <c r="Z37" s="2299"/>
      <c r="AA37" s="2299"/>
      <c r="AB37" s="2299"/>
      <c r="AC37" s="2299"/>
      <c r="AD37" s="2299"/>
      <c r="AE37" s="2300"/>
      <c r="AF37" s="2301" t="s">
        <v>514</v>
      </c>
      <c r="AG37" s="2298" t="s">
        <v>513</v>
      </c>
      <c r="AH37" s="2299"/>
      <c r="AI37" s="2299"/>
      <c r="AJ37" s="2299"/>
      <c r="AK37" s="2299"/>
      <c r="AL37" s="2299"/>
      <c r="AM37" s="2299"/>
      <c r="AN37" s="2299"/>
      <c r="AO37" s="2299"/>
      <c r="AP37" s="2300"/>
      <c r="AQ37" s="2301" t="s">
        <v>515</v>
      </c>
      <c r="AR37" s="2304" t="s">
        <v>516</v>
      </c>
      <c r="AS37" s="2151"/>
      <c r="AY37" s="1179">
        <v>14</v>
      </c>
    </row>
    <row s="1659" customFormat="1" customHeight="1" ht="19.95">
      <c r="A38" s="1390"/>
      <c r="B38" s="1390"/>
      <c r="C38" s="1390"/>
      <c r="D38" s="1390"/>
      <c r="E38" s="1390"/>
      <c r="F38" s="1390"/>
      <c r="G38" s="1390"/>
      <c r="H38" s="1390"/>
      <c r="I38" s="1390"/>
      <c r="J38" s="1390"/>
      <c r="K38" s="1390"/>
      <c r="L38" s="2004"/>
      <c r="M38" s="1386"/>
      <c r="N38" s="1386"/>
      <c r="O38" s="1386"/>
      <c r="P38" s="2005"/>
      <c r="Q38" s="400"/>
      <c r="R38" s="400"/>
      <c r="S38" s="2297"/>
      <c r="T38" s="2233"/>
      <c r="U38" s="1055"/>
      <c r="V38" s="2390" t="s">
        <v>616</v>
      </c>
      <c r="W38" s="2389" t="s">
        <v>617</v>
      </c>
      <c r="X38" s="2389"/>
      <c r="Y38" s="2389"/>
      <c r="Z38" s="2389" t="s">
        <v>618</v>
      </c>
      <c r="AA38" s="2389"/>
      <c r="AB38" s="2389"/>
      <c r="AC38" s="2318" t="s">
        <v>520</v>
      </c>
      <c r="AD38" s="2337"/>
      <c r="AE38" s="2338"/>
      <c r="AF38" s="2302"/>
      <c r="AG38" s="2390" t="s">
        <v>616</v>
      </c>
      <c r="AH38" s="2389" t="s">
        <v>617</v>
      </c>
      <c r="AI38" s="2389"/>
      <c r="AJ38" s="2389"/>
      <c r="AK38" s="2389" t="s">
        <v>618</v>
      </c>
      <c r="AL38" s="2389"/>
      <c r="AM38" s="2389"/>
      <c r="AN38" s="2318" t="s">
        <v>520</v>
      </c>
      <c r="AO38" s="2337"/>
      <c r="AP38" s="2338"/>
      <c r="AQ38" s="2302"/>
      <c r="AR38" s="2305"/>
      <c r="AS38" s="2151"/>
      <c r="AT38" s="1660"/>
      <c r="AU38" s="1660"/>
      <c r="AV38" s="1660"/>
      <c r="AW38" s="1660"/>
      <c r="AX38" s="1660"/>
      <c r="AY38" s="1655">
        <v>19</v>
      </c>
    </row>
    <row customHeight="1" ht="19.95">
      <c r="Q39" s="400"/>
      <c r="R39" s="400"/>
      <c r="S39" s="2297"/>
      <c r="T39" s="2233"/>
      <c r="U39" s="1055"/>
      <c r="V39" s="2390"/>
      <c r="W39" s="2389" t="s">
        <v>619</v>
      </c>
      <c r="X39" s="2389" t="s">
        <v>620</v>
      </c>
      <c r="Y39" s="2389"/>
      <c r="Z39" s="2389" t="s">
        <v>621</v>
      </c>
      <c r="AA39" s="2389" t="s">
        <v>620</v>
      </c>
      <c r="AB39" s="2389"/>
      <c r="AC39" s="2319"/>
      <c r="AD39" s="2339"/>
      <c r="AE39" s="2340"/>
      <c r="AF39" s="2302"/>
      <c r="AG39" s="2390"/>
      <c r="AH39" s="2389" t="s">
        <v>619</v>
      </c>
      <c r="AI39" s="2389" t="s">
        <v>620</v>
      </c>
      <c r="AJ39" s="2389"/>
      <c r="AK39" s="2389" t="s">
        <v>621</v>
      </c>
      <c r="AL39" s="2389" t="s">
        <v>620</v>
      </c>
      <c r="AM39" s="2389"/>
      <c r="AN39" s="2319"/>
      <c r="AO39" s="2339"/>
      <c r="AP39" s="2340"/>
      <c r="AQ39" s="2302"/>
      <c r="AR39" s="2305"/>
      <c r="AS39" s="2151"/>
      <c r="AY39" s="1179">
        <v>19</v>
      </c>
    </row>
    <row customHeight="1" ht="61.949999999999996">
      <c r="A40" s="1394"/>
      <c r="B40" s="1394" t="s">
        <v>223</v>
      </c>
      <c r="C40" s="1394" t="s">
        <v>224</v>
      </c>
      <c r="D40" s="1394" t="s">
        <v>225</v>
      </c>
      <c r="E40" s="1388" t="s">
        <v>521</v>
      </c>
      <c r="F40" s="1388" t="s">
        <v>522</v>
      </c>
      <c r="G40" s="1388" t="s">
        <v>523</v>
      </c>
      <c r="H40" s="1388"/>
      <c r="I40" s="1388" t="s">
        <v>574</v>
      </c>
      <c r="J40" s="1388" t="s">
        <v>526</v>
      </c>
      <c r="K40" s="1388" t="s">
        <v>575</v>
      </c>
      <c r="L40" s="1388" t="s">
        <v>502</v>
      </c>
      <c r="Q40" s="400"/>
      <c r="R40" s="400"/>
      <c r="S40" s="2297"/>
      <c r="T40" s="2233"/>
      <c r="U40" s="326"/>
      <c r="V40" s="2390"/>
      <c r="W40" s="2389"/>
      <c r="X40" s="2007" t="s">
        <v>622</v>
      </c>
      <c r="Y40" s="2007" t="s">
        <v>623</v>
      </c>
      <c r="Z40" s="2389"/>
      <c r="AA40" s="2007" t="s">
        <v>624</v>
      </c>
      <c r="AB40" s="2007" t="s">
        <v>625</v>
      </c>
      <c r="AC40" s="1513" t="s">
        <v>530</v>
      </c>
      <c r="AD40" s="2294" t="s">
        <v>531</v>
      </c>
      <c r="AE40" s="2295"/>
      <c r="AF40" s="2303"/>
      <c r="AG40" s="2390"/>
      <c r="AH40" s="2389"/>
      <c r="AI40" s="2007" t="s">
        <v>622</v>
      </c>
      <c r="AJ40" s="2007" t="s">
        <v>623</v>
      </c>
      <c r="AK40" s="2389"/>
      <c r="AL40" s="2007" t="s">
        <v>624</v>
      </c>
      <c r="AM40" s="2007" t="s">
        <v>625</v>
      </c>
      <c r="AN40" s="1513" t="s">
        <v>530</v>
      </c>
      <c r="AO40" s="2294" t="s">
        <v>531</v>
      </c>
      <c r="AP40" s="2295"/>
      <c r="AQ40" s="2303"/>
      <c r="AR40" s="2306"/>
      <c r="AS40" s="2151"/>
      <c r="AY40" s="1179">
        <v>59</v>
      </c>
    </row>
    <row s="1665" customFormat="1" customHeight="1" ht="11.25" hidden="1">
      <c r="A41" s="1394"/>
      <c r="B41" s="1394"/>
      <c r="C41" s="1394"/>
      <c r="D41" s="1394"/>
      <c r="E41" s="1394"/>
      <c r="F41" s="1394"/>
      <c r="G41" s="1394"/>
      <c r="H41" s="1394"/>
      <c r="I41" s="1394"/>
      <c r="J41" s="1394"/>
      <c r="K41" s="1394"/>
      <c r="L41" s="1388"/>
      <c r="M41" s="1386"/>
      <c r="N41" s="1386"/>
      <c r="O41" s="1386"/>
      <c r="P41" s="1270"/>
      <c r="Q41" s="1271"/>
      <c r="R41" s="1278">
        <v>1</v>
      </c>
      <c r="S41" s="1301" t="s">
        <v>170</v>
      </c>
      <c r="T41" s="1279" t="s">
        <v>103</v>
      </c>
      <c r="U41" s="1269" t="str">
        <f>OFFSET(U41,0,-1)</f>
        <v>2</v>
      </c>
      <c r="V41" s="1506">
        <f>OFFSET(V41,0,-1)+1</f>
        <v>3</v>
      </c>
      <c r="W41" s="2003"/>
      <c r="X41" s="2003"/>
      <c r="Y41" s="2003"/>
      <c r="Z41" s="2003"/>
      <c r="AA41" s="2003"/>
      <c r="AB41" s="1506">
        <f>OFFSET(AB41,0,-1)+1</f>
        <v>1</v>
      </c>
      <c r="AC41" s="1506">
        <f>OFFSET(AC41,0,-1)+1</f>
        <v>2</v>
      </c>
      <c r="AD41" s="2296">
        <f>OFFSET(AD41,0,-1)+1</f>
        <v>3</v>
      </c>
      <c r="AE41" s="2296"/>
      <c r="AF41" s="1506">
        <f>OFFSET(AF41,0,-2)+1</f>
        <v>4</v>
      </c>
      <c r="AG41" s="1506">
        <f>OFFSET(AG41,0,-1)+1</f>
        <v>5</v>
      </c>
      <c r="AH41" s="2003"/>
      <c r="AI41" s="2003"/>
      <c r="AJ41" s="2003"/>
      <c r="AK41" s="2003"/>
      <c r="AL41" s="2003"/>
      <c r="AM41" s="1506">
        <f>OFFSET(AM41,0,-1)+1</f>
        <v>1</v>
      </c>
      <c r="AN41" s="1506">
        <f>OFFSET(AN41,0,-1)+1</f>
        <v>2</v>
      </c>
      <c r="AO41" s="2296">
        <f>OFFSET(AO41,0,-1)+1</f>
        <v>3</v>
      </c>
      <c r="AP41" s="2296"/>
      <c r="AQ41" s="1506">
        <f>OFFSET(AQ41,0,-2)+1</f>
        <v>4</v>
      </c>
      <c r="AR41" s="1269">
        <f>OFFSET(AR41,0,-1)</f>
        <v>4</v>
      </c>
      <c r="AS41" s="1506">
        <f>OFFSET(AS41,0,-1)+1</f>
        <v>5</v>
      </c>
      <c r="AT41" s="535"/>
      <c r="AU41" s="535"/>
      <c r="AV41" s="535"/>
      <c r="AW41" s="535"/>
      <c r="AX41" s="535"/>
      <c r="AY41" s="520">
        <v>0</v>
      </c>
    </row>
    <row customHeight="1" ht="24">
      <c r="A42" s="1387" t="s">
        <v>340</v>
      </c>
      <c r="B42" s="1387"/>
      <c r="C42" s="1387"/>
      <c r="D42" s="1387"/>
      <c r="E42" s="2282">
        <v>1</v>
      </c>
      <c r="F42" s="1387"/>
      <c r="G42" s="1387"/>
      <c r="H42" s="1387"/>
      <c r="I42" s="1387"/>
      <c r="J42" s="1387"/>
      <c r="K42" s="1387"/>
      <c r="L42" s="1388"/>
      <c r="M42" s="1389"/>
      <c r="N42" s="1389"/>
      <c r="O42" s="1389"/>
      <c r="P42" s="385"/>
      <c r="Q42" s="384"/>
      <c r="R42" s="379"/>
      <c r="S42" s="1517">
        <f>INDEX(PT_DIFFERENTIATION_NUM_NTAR,MATCH(A42,PT_DIFFERENTIATION_NTAR_ID,0))</f>
        <v>0</v>
      </c>
      <c r="T42" s="322" t="s">
        <v>211</v>
      </c>
      <c r="U42" s="324"/>
      <c r="V42" s="2266"/>
      <c r="W42" s="2267"/>
      <c r="X42" s="2267"/>
      <c r="Y42" s="2267"/>
      <c r="Z42" s="2267"/>
      <c r="AA42" s="2267"/>
      <c r="AB42" s="2267"/>
      <c r="AC42" s="2267"/>
      <c r="AD42" s="2267"/>
      <c r="AE42" s="2267"/>
      <c r="AF42" s="2268"/>
      <c r="AG42" s="2266" t="str">
        <f>INDEX(PT_DIFFERENTIATION_NTAR,MATCH(A42,PT_DIFFERENTIATION_NTAR_ID,0))</f>
        <v/>
      </c>
      <c r="AH42" s="2267"/>
      <c r="AI42" s="2267"/>
      <c r="AJ42" s="2267"/>
      <c r="AK42" s="2267"/>
      <c r="AL42" s="2267"/>
      <c r="AM42" s="2267"/>
      <c r="AN42" s="2267"/>
      <c r="AO42" s="2267"/>
      <c r="AP42" s="2267"/>
      <c r="AQ42" s="2267"/>
      <c r="AR42" s="2268"/>
      <c r="AS4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24"/>
      <c r="AV42" s="524" t="str">
        <f>IF(T42="","",T42)</f>
        <v>Наименование тарифа</v>
      </c>
      <c r="AW42" s="524"/>
      <c r="AX42" s="524"/>
      <c r="AY42" s="1179">
        <v>23</v>
      </c>
    </row>
    <row customHeight="1" ht="24">
      <c r="A43" s="1387" t="s">
        <v>340</v>
      </c>
      <c r="B43" s="1387" t="s">
        <v>341</v>
      </c>
      <c r="C43" s="1387"/>
      <c r="D43" s="1387"/>
      <c r="E43" s="2283"/>
      <c r="F43" s="2282">
        <v>1</v>
      </c>
      <c r="G43" s="1387"/>
      <c r="H43" s="1387"/>
      <c r="I43" s="1387"/>
      <c r="J43" s="1387"/>
      <c r="K43" s="1387"/>
      <c r="L43" s="1388"/>
      <c r="M43" s="1389"/>
      <c r="N43" s="1389"/>
      <c r="O43" s="1389"/>
      <c r="P43" s="1511"/>
      <c r="Q43" s="376"/>
      <c r="R43" s="377"/>
      <c r="S43" s="1517" t="str">
        <f>INDEX(PT_DIFFERENTIATION_NUM_TER,MATCH(B43,PT_DIFFERENTIATION_TER_ID,0))</f>
        <v>.</v>
      </c>
      <c r="T43" s="332" t="s">
        <v>481</v>
      </c>
      <c r="U43" s="324"/>
      <c r="V43" s="2266"/>
      <c r="W43" s="2267"/>
      <c r="X43" s="2267"/>
      <c r="Y43" s="2267"/>
      <c r="Z43" s="2267"/>
      <c r="AA43" s="2267"/>
      <c r="AB43" s="2267"/>
      <c r="AC43" s="2267"/>
      <c r="AD43" s="2267"/>
      <c r="AE43" s="2267"/>
      <c r="AF43" s="2268"/>
      <c r="AG43" s="2266" t="str">
        <f>INDEX(PT_DIFFERENTIATION_TER,MATCH(B43,PT_DIFFERENTIATION_TER_ID,0))</f>
        <v/>
      </c>
      <c r="AH43" s="2267"/>
      <c r="AI43" s="2267"/>
      <c r="AJ43" s="2267"/>
      <c r="AK43" s="2267"/>
      <c r="AL43" s="2267"/>
      <c r="AM43" s="2267"/>
      <c r="AN43" s="2267"/>
      <c r="AO43" s="2267"/>
      <c r="AP43" s="2267"/>
      <c r="AQ43" s="2267"/>
      <c r="AR43" s="2268"/>
      <c r="AS43" s="1282" t="s">
        <v>482</v>
      </c>
      <c r="AU43" s="524"/>
      <c r="AV43" s="524" t="str">
        <f>IF(T43="","",T43)</f>
        <v>Территория действия тарифа</v>
      </c>
      <c r="AW43" s="524"/>
      <c r="AX43" s="524"/>
      <c r="AY43" s="1179">
        <v>23</v>
      </c>
    </row>
    <row customHeight="1" ht="24">
      <c r="A44" s="1387" t="s">
        <v>340</v>
      </c>
      <c r="B44" s="1387" t="s">
        <v>341</v>
      </c>
      <c r="C44" s="1387" t="s">
        <v>342</v>
      </c>
      <c r="D44" s="1387"/>
      <c r="E44" s="2283"/>
      <c r="F44" s="2283"/>
      <c r="G44" s="2282">
        <v>1</v>
      </c>
      <c r="H44" s="1387"/>
      <c r="I44" s="1387"/>
      <c r="J44" s="1387"/>
      <c r="K44" s="1387"/>
      <c r="L44" s="1388"/>
      <c r="M44" s="1389"/>
      <c r="N44" s="1389"/>
      <c r="O44" s="1389"/>
      <c r="P44" s="378"/>
      <c r="Q44" s="376"/>
      <c r="R44" s="377"/>
      <c r="S44" s="1517" t="str">
        <f>INDEX(PT_DIFFERENTIATION_NUM_CS,MATCH(C44,PT_DIFFERENTIATION_CS_ID,0))</f>
        <v>..</v>
      </c>
      <c r="T44" s="333" t="s">
        <v>614</v>
      </c>
      <c r="U44" s="324"/>
      <c r="V44" s="2266"/>
      <c r="W44" s="2267"/>
      <c r="X44" s="2267"/>
      <c r="Y44" s="2267"/>
      <c r="Z44" s="2267"/>
      <c r="AA44" s="2267"/>
      <c r="AB44" s="2267"/>
      <c r="AC44" s="2267"/>
      <c r="AD44" s="2267"/>
      <c r="AE44" s="2267"/>
      <c r="AF44" s="2268"/>
      <c r="AG44" s="2266" t="str">
        <f>INDEX(PT_DIFFERENTIATION_CS,MATCH(C44,PT_DIFFERENTIATION_CS_ID,0))</f>
        <v/>
      </c>
      <c r="AH44" s="2267"/>
      <c r="AI44" s="2267"/>
      <c r="AJ44" s="2267"/>
      <c r="AK44" s="2267"/>
      <c r="AL44" s="2267"/>
      <c r="AM44" s="2267"/>
      <c r="AN44" s="2267"/>
      <c r="AO44" s="2267"/>
      <c r="AP44" s="2267"/>
      <c r="AQ44" s="2267"/>
      <c r="AR44" s="2268"/>
      <c r="AS44" s="1282" t="s">
        <v>615</v>
      </c>
      <c r="AU44" s="524"/>
      <c r="AV44" s="524" t="str">
        <f>IF(T44="","",T44)</f>
        <v>Наименование централизованной системы горячего водоснабжения</v>
      </c>
      <c r="AW44" s="524"/>
      <c r="AX44" s="524"/>
      <c r="AY44" s="1179">
        <v>23</v>
      </c>
    </row>
    <row customHeight="1" ht="24">
      <c r="A45" s="1387" t="s">
        <v>340</v>
      </c>
      <c r="B45" s="1387" t="s">
        <v>341</v>
      </c>
      <c r="C45" s="1387" t="s">
        <v>342</v>
      </c>
      <c r="D45" s="1387" t="s">
        <v>627</v>
      </c>
      <c r="E45" s="2283"/>
      <c r="F45" s="2283"/>
      <c r="G45" s="2283"/>
      <c r="H45" s="2283"/>
      <c r="I45" s="2280" t="str">
        <f>S44&amp;".1"</f>
        <v>...1</v>
      </c>
      <c r="J45" s="1387"/>
      <c r="K45" s="1387"/>
      <c r="L45" s="1388"/>
      <c r="P45" s="2281">
        <v>1</v>
      </c>
      <c r="Q45" s="1505"/>
      <c r="R45" s="380"/>
      <c r="S45" s="1517" t="str">
        <f>$I45</f>
        <v>...1</v>
      </c>
      <c r="T45" s="309" t="s">
        <v>567</v>
      </c>
      <c r="U45" s="324"/>
      <c r="V45" s="2374"/>
      <c r="W45" s="2375"/>
      <c r="X45" s="2375"/>
      <c r="Y45" s="2375"/>
      <c r="Z45" s="2375"/>
      <c r="AA45" s="2375"/>
      <c r="AB45" s="2375"/>
      <c r="AC45" s="2375"/>
      <c r="AD45" s="2375"/>
      <c r="AE45" s="2375"/>
      <c r="AF45" s="2376"/>
      <c r="AG45" s="2377"/>
      <c r="AH45" s="2378"/>
      <c r="AI45" s="2378"/>
      <c r="AJ45" s="2378"/>
      <c r="AK45" s="2378"/>
      <c r="AL45" s="2378"/>
      <c r="AM45" s="2378"/>
      <c r="AN45" s="2378"/>
      <c r="AO45" s="2378"/>
      <c r="AP45" s="2378"/>
      <c r="AQ45" s="2378"/>
      <c r="AR45" s="2379"/>
      <c r="AS45" s="1282" t="s">
        <v>568</v>
      </c>
      <c r="AU45" s="524"/>
      <c r="AV45" s="524" t="str">
        <f>IF(T45="","",T45)</f>
        <v>Наименование признака дифференциации</v>
      </c>
      <c r="AW45" s="524"/>
      <c r="AX45" s="524"/>
      <c r="AY45" s="1179">
        <v>23</v>
      </c>
    </row>
    <row customHeight="1" ht="24">
      <c r="A46" s="1387" t="s">
        <v>340</v>
      </c>
      <c r="B46" s="1387" t="s">
        <v>341</v>
      </c>
      <c r="C46" s="1387" t="s">
        <v>342</v>
      </c>
      <c r="D46" s="1387" t="s">
        <v>627</v>
      </c>
      <c r="E46" s="2283"/>
      <c r="F46" s="2283"/>
      <c r="G46" s="2283"/>
      <c r="H46" s="2283"/>
      <c r="I46" s="2310"/>
      <c r="J46" s="2280" t="str">
        <f>I45&amp;".1"</f>
        <v>...1.1</v>
      </c>
      <c r="K46" s="1387"/>
      <c r="L46" s="1388" t="s">
        <v>490</v>
      </c>
      <c r="P46" s="2281"/>
      <c r="Q46" s="2281">
        <v>1</v>
      </c>
      <c r="R46" s="381"/>
      <c r="S46" s="1517" t="str">
        <f>$J46</f>
        <v>...1.1</v>
      </c>
      <c r="T46" s="310" t="s">
        <v>491</v>
      </c>
      <c r="U46" s="324"/>
      <c r="V46" s="2269"/>
      <c r="W46" s="2270"/>
      <c r="X46" s="2270"/>
      <c r="Y46" s="2270"/>
      <c r="Z46" s="2270"/>
      <c r="AA46" s="2270"/>
      <c r="AB46" s="2270"/>
      <c r="AC46" s="2270"/>
      <c r="AD46" s="2270"/>
      <c r="AE46" s="2270"/>
      <c r="AF46" s="2271"/>
      <c r="AG46" s="2269"/>
      <c r="AH46" s="2270"/>
      <c r="AI46" s="2270"/>
      <c r="AJ46" s="2270"/>
      <c r="AK46" s="2270"/>
      <c r="AL46" s="2270"/>
      <c r="AM46" s="2270"/>
      <c r="AN46" s="2270"/>
      <c r="AO46" s="2270"/>
      <c r="AP46" s="2270"/>
      <c r="AQ46" s="2270"/>
      <c r="AR46" s="2271"/>
      <c r="AS46" s="1331" t="s">
        <v>569</v>
      </c>
      <c r="AU46" s="524"/>
      <c r="AV46" s="524" t="str">
        <f>IF(T46="","",T46)</f>
        <v>Группа потребителей</v>
      </c>
      <c r="AW46" s="524"/>
      <c r="AX46" s="524"/>
      <c r="AY46" s="1179">
        <v>23</v>
      </c>
    </row>
    <row customHeight="1" ht="24">
      <c r="A47" s="1387" t="s">
        <v>340</v>
      </c>
      <c r="B47" s="1387" t="s">
        <v>341</v>
      </c>
      <c r="C47" s="1387" t="s">
        <v>342</v>
      </c>
      <c r="D47" s="1387" t="s">
        <v>627</v>
      </c>
      <c r="E47" s="2283"/>
      <c r="F47" s="2283"/>
      <c r="G47" s="2283"/>
      <c r="H47" s="2283"/>
      <c r="I47" s="2310"/>
      <c r="J47" s="2310"/>
      <c r="K47" s="2280" t="str">
        <f>J46&amp;".1"</f>
        <v>...1.1.1</v>
      </c>
      <c r="L47" s="1388"/>
      <c r="P47" s="2281"/>
      <c r="Q47" s="2281"/>
      <c r="R47" s="381">
        <v>1</v>
      </c>
      <c r="S47" s="1517" t="str">
        <f>$K47</f>
        <v>...1.1.1</v>
      </c>
      <c r="T47" s="1461"/>
      <c r="U47" s="324"/>
      <c r="V47" s="1384"/>
      <c r="W47" s="1384"/>
      <c r="X47" s="1384"/>
      <c r="Y47" s="1384"/>
      <c r="Z47" s="1384"/>
      <c r="AA47" s="1384"/>
      <c r="AB47" s="1385"/>
      <c r="AC47" s="2291"/>
      <c r="AD47" s="2292" t="s">
        <v>66</v>
      </c>
      <c r="AE47" s="2291"/>
      <c r="AF47" s="2292" t="s">
        <v>66</v>
      </c>
      <c r="AG47" s="775"/>
      <c r="AH47" s="775"/>
      <c r="AI47" s="775"/>
      <c r="AJ47" s="775"/>
      <c r="AK47" s="775"/>
      <c r="AL47" s="775"/>
      <c r="AM47" s="1281"/>
      <c r="AN47" s="2289"/>
      <c r="AO47" s="2131" t="s">
        <v>66</v>
      </c>
      <c r="AP47" s="2311"/>
      <c r="AQ47" s="2131" t="s">
        <v>19</v>
      </c>
      <c r="AR47" s="1462"/>
      <c r="AS47" s="23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35">
        <f>STRCHECKDATE(V48:AR48)</f>
      </c>
      <c r="AU47" s="524"/>
      <c r="AV47" s="524" t="str">
        <f>IF(T47="","",T47)</f>
        <v/>
      </c>
      <c r="AW47" s="524"/>
      <c r="AX47" s="524"/>
      <c r="AY47" s="1179">
        <v>23</v>
      </c>
    </row>
    <row customHeight="1" ht="0">
      <c r="A48" s="1387" t="s">
        <v>340</v>
      </c>
      <c r="B48" s="1387" t="s">
        <v>341</v>
      </c>
      <c r="C48" s="1387" t="s">
        <v>342</v>
      </c>
      <c r="D48" s="1387" t="s">
        <v>627</v>
      </c>
      <c r="E48" s="2283"/>
      <c r="F48" s="2283"/>
      <c r="G48" s="2283"/>
      <c r="H48" s="2283"/>
      <c r="I48" s="2310"/>
      <c r="J48" s="2310"/>
      <c r="K48" s="2280"/>
      <c r="L48" s="1388"/>
      <c r="P48" s="2281"/>
      <c r="Q48" s="2281"/>
      <c r="R48" s="381"/>
      <c r="S48" s="1514"/>
      <c r="T48" s="324"/>
      <c r="U48" s="324"/>
      <c r="V48" s="1384"/>
      <c r="W48" s="1384"/>
      <c r="X48" s="1384"/>
      <c r="Y48" s="1384"/>
      <c r="Z48" s="1384"/>
      <c r="AA48" s="1384"/>
      <c r="AB48" s="352" t="str">
        <f>AC47&amp;"-"&amp;AE47</f>
        <v>-</v>
      </c>
      <c r="AC48" s="2292"/>
      <c r="AD48" s="2292"/>
      <c r="AE48" s="2292"/>
      <c r="AF48" s="2292"/>
      <c r="AG48" s="349"/>
      <c r="AH48" s="349"/>
      <c r="AI48" s="349"/>
      <c r="AJ48" s="349"/>
      <c r="AK48" s="349"/>
      <c r="AL48" s="349"/>
      <c r="AM48" s="352" t="str">
        <f>AN47&amp;"-"&amp;AP47</f>
        <v>-</v>
      </c>
      <c r="AN48" s="2290"/>
      <c r="AO48" s="2131"/>
      <c r="AP48" s="2312"/>
      <c r="AQ48" s="2131"/>
      <c r="AR48" s="1463"/>
      <c r="AS48" s="2373"/>
      <c r="AU48" s="524"/>
      <c r="AV48" s="524" t="str">
        <f>IF(T48="","",T48)</f>
        <v/>
      </c>
      <c r="AW48" s="524"/>
      <c r="AX48" s="524"/>
      <c r="AY48" s="1179">
        <v>0</v>
      </c>
    </row>
    <row customHeight="1" ht="21">
      <c r="A49" s="1387" t="s">
        <v>340</v>
      </c>
      <c r="B49" s="1387" t="s">
        <v>341</v>
      </c>
      <c r="C49" s="1387" t="s">
        <v>342</v>
      </c>
      <c r="D49" s="1387" t="s">
        <v>627</v>
      </c>
      <c r="E49" s="2283"/>
      <c r="F49" s="2283"/>
      <c r="G49" s="2283"/>
      <c r="H49" s="2283"/>
      <c r="I49" s="2310"/>
      <c r="J49" s="2280"/>
      <c r="K49" s="1387"/>
      <c r="L49" s="1388"/>
      <c r="P49" s="2281"/>
      <c r="Q49" s="2281"/>
      <c r="R49" s="380"/>
      <c r="S49" s="1302"/>
      <c r="T49" s="311" t="s">
        <v>570</v>
      </c>
      <c r="U49" s="391"/>
      <c r="V49" s="391"/>
      <c r="W49" s="624"/>
      <c r="X49" s="624"/>
      <c r="Y49" s="624"/>
      <c r="Z49" s="624"/>
      <c r="AA49" s="624"/>
      <c r="AB49" s="391"/>
      <c r="AC49" s="391"/>
      <c r="AD49" s="391"/>
      <c r="AE49" s="391"/>
      <c r="AF49" s="391"/>
      <c r="AG49" s="391"/>
      <c r="AH49" s="624"/>
      <c r="AI49" s="624"/>
      <c r="AJ49" s="624"/>
      <c r="AK49" s="624"/>
      <c r="AL49" s="624"/>
      <c r="AM49" s="391"/>
      <c r="AN49" s="391"/>
      <c r="AO49" s="391"/>
      <c r="AP49" s="391"/>
      <c r="AQ49" s="391"/>
      <c r="AR49" s="391"/>
      <c r="AS49" s="1282" t="s">
        <v>571</v>
      </c>
      <c r="AU49" s="524"/>
      <c r="AV49" s="524" t="str">
        <f>IF(T49="","",T49)</f>
        <v>Добавить значение признака дифференциации</v>
      </c>
      <c r="AW49" s="524"/>
      <c r="AX49" s="524"/>
      <c r="AY49" s="1179">
        <v>20</v>
      </c>
    </row>
    <row customHeight="1" ht="22.049999999999997">
      <c r="A50" s="1387" t="s">
        <v>340</v>
      </c>
      <c r="B50" s="1387" t="s">
        <v>341</v>
      </c>
      <c r="C50" s="1387" t="s">
        <v>342</v>
      </c>
      <c r="D50" s="1387" t="s">
        <v>627</v>
      </c>
      <c r="E50" s="2283"/>
      <c r="F50" s="2283"/>
      <c r="G50" s="2283"/>
      <c r="H50" s="2283"/>
      <c r="I50" s="2280"/>
      <c r="J50" s="1387"/>
      <c r="K50" s="1387"/>
      <c r="L50" s="1388"/>
      <c r="P50" s="2281"/>
      <c r="Q50" s="1505"/>
      <c r="R50" s="380"/>
      <c r="S50" s="1302"/>
      <c r="T50" s="389" t="s">
        <v>496</v>
      </c>
      <c r="U50" s="391"/>
      <c r="V50" s="391"/>
      <c r="W50" s="624"/>
      <c r="X50" s="624"/>
      <c r="Y50" s="624"/>
      <c r="Z50" s="624"/>
      <c r="AA50" s="624"/>
      <c r="AB50" s="391"/>
      <c r="AC50" s="391"/>
      <c r="AD50" s="391"/>
      <c r="AE50" s="391"/>
      <c r="AF50" s="390"/>
      <c r="AG50" s="391"/>
      <c r="AH50" s="624"/>
      <c r="AI50" s="624"/>
      <c r="AJ50" s="624"/>
      <c r="AK50" s="624"/>
      <c r="AL50" s="624"/>
      <c r="AM50" s="391"/>
      <c r="AN50" s="391"/>
      <c r="AO50" s="391"/>
      <c r="AP50" s="391"/>
      <c r="AQ50" s="390"/>
      <c r="AR50" s="391"/>
      <c r="AS50" s="1464"/>
      <c r="AU50" s="524"/>
      <c r="AV50" s="524" t="str">
        <f>IF(T50="","",T50)</f>
        <v>Добавить группу потребителей</v>
      </c>
      <c r="AW50" s="524"/>
      <c r="AX50" s="524"/>
      <c r="AY50" s="1179">
        <v>21</v>
      </c>
    </row>
    <row customHeight="1" ht="22.049999999999997">
      <c r="A51" s="1387" t="s">
        <v>340</v>
      </c>
      <c r="B51" s="1387" t="s">
        <v>341</v>
      </c>
      <c r="C51" s="1387" t="s">
        <v>342</v>
      </c>
      <c r="D51" s="1387" t="s">
        <v>627</v>
      </c>
      <c r="E51" s="2283"/>
      <c r="F51" s="2283"/>
      <c r="G51" s="2283"/>
      <c r="H51" s="2282"/>
      <c r="I51" s="1387"/>
      <c r="J51" s="1387"/>
      <c r="K51" s="1387"/>
      <c r="L51" s="1388"/>
      <c r="M51" s="1389"/>
      <c r="N51" s="1389"/>
      <c r="O51" s="561"/>
      <c r="P51" s="384"/>
      <c r="Q51" s="399"/>
      <c r="R51" s="379"/>
      <c r="S51" s="1302"/>
      <c r="T51" s="396" t="s">
        <v>572</v>
      </c>
      <c r="U51" s="391"/>
      <c r="V51" s="391"/>
      <c r="W51" s="624"/>
      <c r="X51" s="624"/>
      <c r="Y51" s="624"/>
      <c r="Z51" s="624"/>
      <c r="AA51" s="624"/>
      <c r="AB51" s="391"/>
      <c r="AC51" s="391"/>
      <c r="AD51" s="391"/>
      <c r="AE51" s="391"/>
      <c r="AF51" s="390"/>
      <c r="AG51" s="391"/>
      <c r="AH51" s="624"/>
      <c r="AI51" s="624"/>
      <c r="AJ51" s="624"/>
      <c r="AK51" s="624"/>
      <c r="AL51" s="624"/>
      <c r="AM51" s="391"/>
      <c r="AN51" s="391"/>
      <c r="AO51" s="391"/>
      <c r="AP51" s="391"/>
      <c r="AQ51" s="390"/>
      <c r="AR51" s="391"/>
      <c r="AS51" s="327"/>
      <c r="AU51" s="524"/>
      <c r="AV51" s="524" t="str">
        <f>IF(T51="","",T51)</f>
        <v>Добавить наименование признака дифференциации</v>
      </c>
      <c r="AW51" s="524"/>
      <c r="AX51" s="524"/>
      <c r="AY51" s="1179">
        <v>21</v>
      </c>
    </row>
    <row s="1666" customFormat="1" customHeight="1" ht="0">
      <c r="A52" s="1367" t="s">
        <v>340</v>
      </c>
      <c r="B52" s="1367" t="s">
        <v>341</v>
      </c>
      <c r="C52" s="1338"/>
      <c r="D52" s="1338"/>
      <c r="E52" s="2283"/>
      <c r="F52" s="2282"/>
      <c r="G52" s="1338"/>
      <c r="H52" s="1338"/>
      <c r="I52" s="1338"/>
      <c r="J52" s="1338"/>
      <c r="K52" s="1338"/>
      <c r="L52" s="1518"/>
      <c r="M52" s="1345"/>
      <c r="N52" s="1345"/>
      <c r="P52" s="1340"/>
      <c r="Q52" s="1341"/>
      <c r="R52" s="1340"/>
      <c r="S52" s="1346"/>
      <c r="T52" s="1349" t="s">
        <v>499</v>
      </c>
      <c r="U52" s="1348"/>
      <c r="V52" s="1348"/>
      <c r="W52" s="1348"/>
      <c r="X52" s="1348"/>
      <c r="Y52" s="1348"/>
      <c r="Z52" s="1348"/>
      <c r="AA52" s="1348"/>
      <c r="AB52" s="1348"/>
      <c r="AC52" s="1348"/>
      <c r="AD52" s="1348"/>
      <c r="AE52" s="1348"/>
      <c r="AF52" s="1348"/>
      <c r="AG52" s="1348"/>
      <c r="AH52" s="1348"/>
      <c r="AI52" s="1348"/>
      <c r="AJ52" s="1348"/>
      <c r="AK52" s="1348"/>
      <c r="AL52" s="1348"/>
      <c r="AM52" s="1348"/>
      <c r="AN52" s="1348"/>
      <c r="AO52" s="1348"/>
      <c r="AP52" s="1348"/>
      <c r="AQ52" s="1348"/>
      <c r="AR52" s="1348"/>
      <c r="AS52" s="1348"/>
      <c r="AU52" s="813"/>
      <c r="AV52" s="813" t="str">
        <f>IF(T52="","",T52)</f>
        <v>Добавить централизованную систему для дифференциации</v>
      </c>
      <c r="AW52" s="813"/>
      <c r="AX52" s="813"/>
      <c r="AY52" s="542">
        <v>0</v>
      </c>
    </row>
    <row s="1666" customFormat="1" customHeight="1" ht="0">
      <c r="A53" s="1367" t="s">
        <v>340</v>
      </c>
      <c r="B53" s="1367"/>
      <c r="C53" s="1367"/>
      <c r="D53" s="1367"/>
      <c r="E53" s="2282"/>
      <c r="F53" s="1367"/>
      <c r="G53" s="1367"/>
      <c r="H53" s="1367"/>
      <c r="I53" s="1367"/>
      <c r="J53" s="1367"/>
      <c r="K53" s="1367"/>
      <c r="L53" s="1370"/>
      <c r="M53" s="1345"/>
      <c r="N53" s="1345"/>
      <c r="O53" s="542"/>
      <c r="P53" s="404"/>
      <c r="Q53" s="1368"/>
      <c r="R53" s="404"/>
      <c r="S53" s="1346"/>
      <c r="T53" s="1349" t="s">
        <v>500</v>
      </c>
      <c r="U53" s="1348"/>
      <c r="V53" s="1348"/>
      <c r="W53" s="1348"/>
      <c r="X53" s="1348"/>
      <c r="Y53" s="1348"/>
      <c r="Z53" s="1348"/>
      <c r="AA53" s="1348"/>
      <c r="AB53" s="1348"/>
      <c r="AC53" s="1348"/>
      <c r="AD53" s="1348"/>
      <c r="AE53" s="1348"/>
      <c r="AF53" s="1348"/>
      <c r="AG53" s="1348"/>
      <c r="AH53" s="1348"/>
      <c r="AI53" s="1348"/>
      <c r="AJ53" s="1348"/>
      <c r="AK53" s="1348"/>
      <c r="AL53" s="1348"/>
      <c r="AM53" s="1348"/>
      <c r="AN53" s="1348"/>
      <c r="AO53" s="1348"/>
      <c r="AP53" s="1348"/>
      <c r="AQ53" s="1348"/>
      <c r="AR53" s="1348"/>
      <c r="AS53" s="1348"/>
      <c r="AU53" s="524"/>
      <c r="AV53" s="524" t="str">
        <f>IF(T53="","",T53)</f>
        <v>Добавить территорию для дифференциации</v>
      </c>
      <c r="AW53" s="524"/>
      <c r="AX53" s="524"/>
      <c r="AY53" s="535">
        <v>0</v>
      </c>
    </row>
    <row s="1666" customFormat="1" customHeight="1" ht="0">
      <c r="A54" s="1338"/>
      <c r="B54" s="1338"/>
      <c r="C54" s="1338"/>
      <c r="D54" s="1338"/>
      <c r="E54" s="1367"/>
      <c r="F54" s="1338"/>
      <c r="G54" s="1338"/>
      <c r="H54" s="1338"/>
      <c r="I54" s="1338"/>
      <c r="J54" s="1338"/>
      <c r="K54" s="1338"/>
      <c r="L54" s="1518"/>
      <c r="M54" s="1345"/>
      <c r="N54" s="1345"/>
      <c r="P54" s="1340"/>
      <c r="Q54" s="1341"/>
      <c r="R54" s="1340"/>
      <c r="S54" s="1346"/>
      <c r="T54" s="1349" t="s">
        <v>532</v>
      </c>
      <c r="U54" s="1348"/>
      <c r="V54" s="1348"/>
      <c r="W54" s="1348"/>
      <c r="X54" s="1348"/>
      <c r="Y54" s="1348"/>
      <c r="Z54" s="1348"/>
      <c r="AA54" s="1348"/>
      <c r="AB54" s="1348"/>
      <c r="AC54" s="1348"/>
      <c r="AD54" s="1348"/>
      <c r="AE54" s="1348"/>
      <c r="AF54" s="1348"/>
      <c r="AG54" s="1348"/>
      <c r="AH54" s="1348"/>
      <c r="AI54" s="1348"/>
      <c r="AJ54" s="1348"/>
      <c r="AK54" s="1348"/>
      <c r="AL54" s="1348"/>
      <c r="AM54" s="1348"/>
      <c r="AN54" s="1348"/>
      <c r="AO54" s="1348"/>
      <c r="AP54" s="1348"/>
      <c r="AQ54" s="1348"/>
      <c r="AR54" s="1348"/>
      <c r="AS54" s="1348"/>
      <c r="AU54" s="813"/>
      <c r="AV54" s="813" t="str">
        <f>IF(T54="","",T54)</f>
        <v>Добавить наименование тарифа</v>
      </c>
      <c r="AW54" s="813"/>
      <c r="AX54" s="813"/>
      <c r="AY54" s="542">
        <v>0</v>
      </c>
    </row>
    <row customHeight="1" ht="11.549999999999999">
      <c r="M55" s="1184"/>
      <c r="N55" s="1184"/>
      <c r="O55" s="561"/>
      <c r="P55" s="1179"/>
      <c r="Q55" s="1179"/>
      <c r="R55" s="1179"/>
      <c r="S55" s="1179"/>
      <c r="AT55" s="1179"/>
      <c r="AU55" s="1179"/>
      <c r="AV55" s="1179"/>
      <c r="AW55" s="1179"/>
      <c r="AX55" s="1179"/>
      <c r="AY55" s="1179">
        <v>11</v>
      </c>
    </row>
    <row customHeight="1" ht="14.699999999999998">
      <c r="O56" s="561"/>
      <c r="S56" s="1277"/>
      <c r="T56" s="2309"/>
      <c r="U56" s="2309"/>
      <c r="V56" s="2309"/>
      <c r="W56" s="2309"/>
      <c r="X56" s="2309"/>
      <c r="Y56" s="2309"/>
      <c r="Z56" s="2309"/>
      <c r="AA56" s="2309"/>
      <c r="AB56" s="2309"/>
      <c r="AC56" s="2309"/>
      <c r="AD56" s="2309"/>
      <c r="AE56" s="2309"/>
      <c r="AF56" s="2309"/>
      <c r="AG56" s="2309"/>
      <c r="AH56" s="2309"/>
      <c r="AI56" s="2309"/>
      <c r="AJ56" s="2309"/>
      <c r="AK56" s="2309"/>
      <c r="AL56" s="2309"/>
      <c r="AM56" s="2309"/>
      <c r="AN56" s="2309"/>
      <c r="AO56" s="2309"/>
      <c r="AP56" s="2309"/>
      <c r="AQ56" s="2309"/>
      <c r="AR56" s="2309"/>
      <c r="AS56" s="2309"/>
      <c r="AY56" s="1179">
        <v>14</v>
      </c>
    </row>
    <row customHeight="1" ht="14.699999999999998">
      <c r="O57" s="561"/>
      <c r="AY57" s="1179">
        <v>14</v>
      </c>
    </row>
    <row customHeight="1" ht="14.699999999999998">
      <c r="O58" s="561"/>
      <c r="S58" s="1277"/>
      <c r="T58" s="2309"/>
      <c r="U58" s="2309"/>
      <c r="V58" s="2309"/>
      <c r="W58" s="2309"/>
      <c r="X58" s="2309"/>
      <c r="Y58" s="2309"/>
      <c r="Z58" s="2309"/>
      <c r="AA58" s="2309"/>
      <c r="AB58" s="2309"/>
      <c r="AC58" s="2309"/>
      <c r="AD58" s="2309"/>
      <c r="AE58" s="2309"/>
      <c r="AF58" s="2309"/>
      <c r="AG58" s="2309"/>
      <c r="AH58" s="2309"/>
      <c r="AI58" s="2309"/>
      <c r="AJ58" s="2309"/>
      <c r="AK58" s="2309"/>
      <c r="AL58" s="2309"/>
      <c r="AM58" s="2309"/>
      <c r="AN58" s="2309"/>
      <c r="AO58" s="2309"/>
      <c r="AP58" s="2309"/>
      <c r="AQ58" s="2309"/>
      <c r="AR58" s="2309"/>
      <c r="AS58" s="2309"/>
      <c r="AY58" s="1179">
        <v>14</v>
      </c>
    </row>
    <row customHeight="1" ht="22.5" hidden="1">
      <c r="A59" s="1184" t="s">
        <v>82</v>
      </c>
      <c r="B59" s="1184">
        <v>0</v>
      </c>
      <c r="C59" s="1184">
        <v>0</v>
      </c>
      <c r="D59" s="1184">
        <v>0</v>
      </c>
      <c r="E59" s="1184">
        <v>0</v>
      </c>
      <c r="F59" s="1184">
        <v>0</v>
      </c>
      <c r="G59" s="1184">
        <v>0</v>
      </c>
      <c r="H59" s="1184">
        <v>0</v>
      </c>
      <c r="I59" s="1184">
        <v>0</v>
      </c>
      <c r="J59" s="1184">
        <v>0</v>
      </c>
      <c r="K59" s="1184">
        <v>0</v>
      </c>
      <c r="L59" s="1502">
        <v>0</v>
      </c>
      <c r="M59" s="1386">
        <v>0</v>
      </c>
      <c r="N59" s="1386">
        <v>0</v>
      </c>
      <c r="O59" s="1386">
        <v>0</v>
      </c>
      <c r="P59" s="1497">
        <v>3</v>
      </c>
      <c r="Q59" s="368">
        <v>3</v>
      </c>
      <c r="R59" s="368">
        <v>3</v>
      </c>
      <c r="S59" s="605">
        <v>12</v>
      </c>
      <c r="T59" s="1179">
        <v>35</v>
      </c>
      <c r="U59" s="1179">
        <v>0</v>
      </c>
      <c r="V59" s="1179">
        <v>0</v>
      </c>
      <c r="W59" s="1655">
        <v>0</v>
      </c>
      <c r="X59" s="1655">
        <v>0</v>
      </c>
      <c r="Y59" s="1655">
        <v>0</v>
      </c>
      <c r="Z59" s="1655">
        <v>0</v>
      </c>
      <c r="AA59" s="1655">
        <v>0</v>
      </c>
      <c r="AB59" s="1179">
        <v>0</v>
      </c>
      <c r="AC59" s="1179">
        <v>0</v>
      </c>
      <c r="AD59" s="1179">
        <v>0</v>
      </c>
      <c r="AE59" s="1179">
        <v>0</v>
      </c>
      <c r="AF59" s="1179">
        <v>0</v>
      </c>
      <c r="AG59" s="1179">
        <v>19</v>
      </c>
      <c r="AH59" s="1655">
        <v>19</v>
      </c>
      <c r="AI59" s="1655">
        <v>19</v>
      </c>
      <c r="AJ59" s="1655">
        <v>19</v>
      </c>
      <c r="AK59" s="1655">
        <v>19</v>
      </c>
      <c r="AL59" s="1655">
        <v>19</v>
      </c>
      <c r="AM59" s="1179">
        <v>19</v>
      </c>
      <c r="AN59" s="1179">
        <v>11</v>
      </c>
      <c r="AO59" s="1179">
        <v>3</v>
      </c>
      <c r="AP59" s="1179">
        <v>11</v>
      </c>
      <c r="AQ59" s="1179">
        <v>0</v>
      </c>
      <c r="AR59" s="1179">
        <v>4</v>
      </c>
      <c r="AS59" s="1179">
        <v>115</v>
      </c>
      <c r="AT59" s="535">
        <v>10</v>
      </c>
      <c r="AU59" s="535">
        <v>10</v>
      </c>
      <c r="AV59" s="535">
        <v>10</v>
      </c>
      <c r="AW59" s="535">
        <v>10</v>
      </c>
      <c r="AX59" s="535">
        <v>10</v>
      </c>
      <c r="AY59" s="1179">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F1B575-36C5-B0D6-E5AC-0.782B2F8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90" width="11.57421875" hidden="1" customWidth="1"/>
    <col min="2" max="2" style="1390" width="11.00390625" hidden="1" customWidth="1"/>
    <col min="3" max="3" style="1390" width="10.57421875" hidden="1"/>
    <col min="4" max="4" style="1390" width="12.8515625" hidden="1" customWidth="1"/>
    <col min="5" max="5" style="1390" width="10.00390625" hidden="1" customWidth="1"/>
    <col min="6" max="6" style="1390" width="8.7109375" hidden="1" customWidth="1"/>
    <col min="7" max="7" style="1390" width="7.57421875" hidden="1" customWidth="1"/>
    <col min="8" max="8" style="1390" width="11.421875" hidden="1" customWidth="1"/>
    <col min="9" max="9" style="1390" width="12.00390625" hidden="1" customWidth="1"/>
    <col min="10" max="10" style="1390" width="9.8515625" hidden="1" customWidth="1"/>
    <col min="11" max="11" style="1390" width="11.421875" hidden="1" customWidth="1"/>
    <col min="12" max="12" style="2631" width="19.140625" hidden="1" customWidth="1"/>
    <col min="13" max="14" style="1800" width="12.28125" hidden="1" customWidth="1"/>
    <col min="15" max="15" style="1800" width="23.421875" hidden="1" customWidth="1"/>
    <col min="16" max="16" style="1800" width="3.7109375" hidden="1" customWidth="1"/>
    <col min="17" max="17" style="1395" width="3.7109375" hidden="1" customWidth="1"/>
    <col min="18" max="18" style="368" width="3.00390625" customWidth="1"/>
    <col min="19" max="19" style="2431" width="12.00390625" customWidth="1"/>
    <col min="20" max="20" style="1659" width="31.00390625" customWidth="1"/>
    <col min="21" max="21" style="1659" width="0.140625" customWidth="1"/>
    <col min="22" max="25" style="1659" width="21.7109375" hidden="1" customWidth="1"/>
    <col min="26" max="26" style="1659" width="11.7109375" hidden="1" customWidth="1"/>
    <col min="27" max="27" style="1659" width="3.7109375" hidden="1" customWidth="1"/>
    <col min="28" max="28" style="1659" width="11.7109375" hidden="1" customWidth="1"/>
    <col min="29" max="29" style="1659" width="8.57421875" hidden="1" customWidth="1"/>
    <col min="30" max="30" style="1659" width="3.7109375" customWidth="1"/>
    <col min="31" max="32" style="1659" width="3.00390625" customWidth="1"/>
    <col min="33" max="33" style="1659" width="24.00390625" customWidth="1"/>
    <col min="34" max="34" style="1659" width="3.7109375" customWidth="1"/>
    <col min="35" max="36" style="1659" width="3.00390625" customWidth="1"/>
    <col min="37" max="37" style="1659" width="24.00390625" customWidth="1"/>
    <col min="38" max="38" style="1659" width="3.7109375" customWidth="1"/>
    <col min="39" max="40" style="1659" width="3.00390625" customWidth="1"/>
    <col min="41" max="41" style="1659" width="18.00390625" customWidth="1"/>
    <col min="42" max="42" style="1659" width="3.7109375" customWidth="1"/>
    <col min="43" max="44" style="1659" width="3.00390625" customWidth="1"/>
    <col min="45" max="45" style="1659" width="18.00390625" customWidth="1"/>
    <col min="46" max="49" style="1659" width="21.00390625" customWidth="1"/>
    <col min="50" max="50" style="1659" width="11.00390625" customWidth="1"/>
    <col min="51" max="51" style="1659" width="3.7109375" customWidth="1"/>
    <col min="52" max="52" style="1659" width="11.00390625" customWidth="1"/>
    <col min="53" max="53" style="1659" width="8.57421875" hidden="1" customWidth="1"/>
    <col min="54" max="54" style="1659" width="4.00390625" customWidth="1"/>
    <col min="55" max="55" style="1659" width="115.00390625" customWidth="1"/>
    <col min="56" max="60" style="1666" width="10.00390625" customWidth="1"/>
    <col min="61" max="61" style="1659" width="10.57421875" hidden="1"/>
  </cols>
  <sheetData>
    <row customHeight="1" ht="22.5" hidden="1">
      <c r="W1" s="351"/>
      <c r="Y1" s="351"/>
      <c r="Z1" s="351"/>
      <c r="AW1" s="351"/>
      <c r="AX1" s="351"/>
      <c r="BI1" s="1179" t="s">
        <v>14</v>
      </c>
    </row>
    <row customHeight="1" ht="21" hidden="1">
      <c r="A2" s="1387"/>
      <c r="B2" s="1387"/>
      <c r="C2" s="1387"/>
      <c r="D2" s="1387"/>
      <c r="E2" s="2282">
        <v>1</v>
      </c>
      <c r="F2" s="1387"/>
      <c r="G2" s="1387"/>
      <c r="H2" s="1387"/>
      <c r="I2" s="1387"/>
      <c r="J2" s="1387"/>
      <c r="K2" s="1387"/>
      <c r="L2" s="1388"/>
      <c r="M2" s="1389"/>
      <c r="N2" s="1389"/>
      <c r="O2" s="1389"/>
      <c r="P2" s="1433"/>
      <c r="Q2" s="897"/>
      <c r="R2" s="379"/>
      <c r="S2" s="1517">
        <f>INDEX(PT_DIFFERENTIATION_NUM_NTAR,MATCH(A2,PT_DIFFERENTIATION_NTAR_ID,0))</f>
      </c>
      <c r="T2" s="322" t="s">
        <v>211</v>
      </c>
      <c r="U2" s="324"/>
      <c r="V2" s="2267"/>
      <c r="W2" s="2267"/>
      <c r="X2" s="2267"/>
      <c r="Y2" s="2267"/>
      <c r="Z2" s="2267"/>
      <c r="AA2" s="2267"/>
      <c r="AB2" s="2267"/>
      <c r="AC2" s="2268"/>
      <c r="AD2" s="2266">
        <f>INDEX(PT_DIFFERENTIATION_NTAR,MATCH(A2,PT_DIFFERENTIATION_NTAR_ID,0))</f>
      </c>
      <c r="AE2" s="2267"/>
      <c r="AF2" s="2267"/>
      <c r="AG2" s="2267"/>
      <c r="AH2" s="2267"/>
      <c r="AI2" s="2267"/>
      <c r="AJ2" s="2267"/>
      <c r="AK2" s="2267"/>
      <c r="AL2" s="2267"/>
      <c r="AM2" s="2267"/>
      <c r="AN2" s="2267"/>
      <c r="AO2" s="2267"/>
      <c r="AP2" s="2267"/>
      <c r="AQ2" s="2267"/>
      <c r="AR2" s="2267"/>
      <c r="AS2" s="2267"/>
      <c r="AT2" s="2267"/>
      <c r="AU2" s="2267"/>
      <c r="AV2" s="2267"/>
      <c r="AW2" s="2267"/>
      <c r="AX2" s="2267"/>
      <c r="AY2" s="2267"/>
      <c r="AZ2" s="2267"/>
      <c r="BA2" s="2267"/>
      <c r="BB2" s="2268"/>
      <c r="BC2"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24"/>
      <c r="BF2" s="524" t="str">
        <f>IF(T2="","",T2)</f>
        <v>Наименование тарифа</v>
      </c>
      <c r="BG2" s="524"/>
      <c r="BH2" s="524"/>
      <c r="BI2" s="1179">
        <v>0</v>
      </c>
    </row>
    <row customHeight="1" ht="21" hidden="1">
      <c r="A3" s="1387"/>
      <c r="B3" s="1387"/>
      <c r="C3" s="1387"/>
      <c r="D3" s="1387"/>
      <c r="E3" s="2283"/>
      <c r="F3" s="2282">
        <v>1</v>
      </c>
      <c r="G3" s="1387"/>
      <c r="H3" s="1387"/>
      <c r="I3" s="1387"/>
      <c r="J3" s="1387"/>
      <c r="K3" s="1387"/>
      <c r="L3" s="1388"/>
      <c r="M3" s="1389"/>
      <c r="N3" s="1389"/>
      <c r="O3" s="1389"/>
      <c r="P3" s="1434"/>
      <c r="Q3" s="1435"/>
      <c r="R3" s="377"/>
      <c r="S3" s="1517">
        <f>INDEX(PT_DIFFERENTIATION_NUM_TER,MATCH(B3,PT_DIFFERENTIATION_TER_ID,0))</f>
      </c>
      <c r="T3" s="332" t="s">
        <v>481</v>
      </c>
      <c r="U3" s="324"/>
      <c r="V3" s="2267"/>
      <c r="W3" s="2267"/>
      <c r="X3" s="2267"/>
      <c r="Y3" s="2267"/>
      <c r="Z3" s="2267"/>
      <c r="AA3" s="2267"/>
      <c r="AB3" s="2267"/>
      <c r="AC3" s="2268"/>
      <c r="AD3" s="2266">
        <f>INDEX(PT_DIFFERENTIATION_TER,MATCH(B3,PT_DIFFERENTIATION_TER_ID,0))</f>
      </c>
      <c r="AE3" s="2267"/>
      <c r="AF3" s="2267"/>
      <c r="AG3" s="2267"/>
      <c r="AH3" s="2267"/>
      <c r="AI3" s="2267"/>
      <c r="AJ3" s="2267"/>
      <c r="AK3" s="2267"/>
      <c r="AL3" s="2267"/>
      <c r="AM3" s="2267"/>
      <c r="AN3" s="2267"/>
      <c r="AO3" s="2267"/>
      <c r="AP3" s="2267"/>
      <c r="AQ3" s="2267"/>
      <c r="AR3" s="2267"/>
      <c r="AS3" s="2267"/>
      <c r="AT3" s="2267"/>
      <c r="AU3" s="2267"/>
      <c r="AV3" s="2267"/>
      <c r="AW3" s="2267"/>
      <c r="AX3" s="2267"/>
      <c r="AY3" s="2267"/>
      <c r="AZ3" s="2267"/>
      <c r="BA3" s="2267"/>
      <c r="BB3" s="2268"/>
      <c r="BC3" s="1282" t="s">
        <v>482</v>
      </c>
      <c r="BE3" s="524"/>
      <c r="BF3" s="524" t="str">
        <f>IF(T3="","",T3)</f>
        <v>Территория действия тарифа</v>
      </c>
      <c r="BG3" s="524"/>
      <c r="BH3" s="524"/>
      <c r="BI3" s="1179">
        <v>0</v>
      </c>
    </row>
    <row customHeight="1" ht="33.75" hidden="1">
      <c r="A4" s="1387"/>
      <c r="B4" s="1387"/>
      <c r="C4" s="1387"/>
      <c r="D4" s="1387"/>
      <c r="E4" s="2283"/>
      <c r="F4" s="2283"/>
      <c r="G4" s="2282">
        <v>1</v>
      </c>
      <c r="H4" s="1387"/>
      <c r="I4" s="1387"/>
      <c r="J4" s="1387"/>
      <c r="K4" s="1387"/>
      <c r="L4" s="1388"/>
      <c r="M4" s="1389"/>
      <c r="N4" s="1389"/>
      <c r="O4" s="1389"/>
      <c r="P4" s="1436"/>
      <c r="Q4" s="1435"/>
      <c r="R4" s="377"/>
      <c r="S4" s="1517">
        <f>INDEX(PT_DIFFERENTIATION_NUM_CS,MATCH(C4,PT_DIFFERENTIATION_CS_ID,0))</f>
      </c>
      <c r="T4" s="333" t="s">
        <v>614</v>
      </c>
      <c r="U4" s="324"/>
      <c r="V4" s="2267"/>
      <c r="W4" s="2267"/>
      <c r="X4" s="2267"/>
      <c r="Y4" s="2267"/>
      <c r="Z4" s="2267"/>
      <c r="AA4" s="2267"/>
      <c r="AB4" s="2267"/>
      <c r="AC4" s="2268"/>
      <c r="AD4" s="2266">
        <f>INDEX(PT_DIFFERENTIATION_CS,MATCH(C4,PT_DIFFERENTIATION_CS_ID,0))</f>
      </c>
      <c r="AE4" s="2267"/>
      <c r="AF4" s="2267"/>
      <c r="AG4" s="2267"/>
      <c r="AH4" s="2267"/>
      <c r="AI4" s="2267"/>
      <c r="AJ4" s="2267"/>
      <c r="AK4" s="2267"/>
      <c r="AL4" s="2267"/>
      <c r="AM4" s="2267"/>
      <c r="AN4" s="2267"/>
      <c r="AO4" s="2267"/>
      <c r="AP4" s="2267"/>
      <c r="AQ4" s="2267"/>
      <c r="AR4" s="2267"/>
      <c r="AS4" s="2267"/>
      <c r="AT4" s="2267"/>
      <c r="AU4" s="2267"/>
      <c r="AV4" s="2267"/>
      <c r="AW4" s="2267"/>
      <c r="AX4" s="2267"/>
      <c r="AY4" s="2267"/>
      <c r="AZ4" s="2267"/>
      <c r="BA4" s="2267"/>
      <c r="BB4" s="2268"/>
      <c r="BC4" s="1282" t="s">
        <v>615</v>
      </c>
      <c r="BE4" s="524"/>
      <c r="BF4" s="524" t="str">
        <f>IF(T4="","",T4)</f>
        <v>Наименование централизованной системы горячего водоснабжения</v>
      </c>
      <c r="BG4" s="524"/>
      <c r="BH4" s="524"/>
      <c r="BI4" s="1179">
        <v>0</v>
      </c>
    </row>
    <row s="1666" customFormat="1" customHeight="1" ht="14.25" hidden="1">
      <c r="A5" s="1367"/>
      <c r="B5" s="1367"/>
      <c r="C5" s="1367"/>
      <c r="D5" s="1367"/>
      <c r="E5" s="2283"/>
      <c r="F5" s="2283"/>
      <c r="G5" s="2283"/>
      <c r="H5" s="2282">
        <v>1</v>
      </c>
      <c r="I5" s="1367"/>
      <c r="J5" s="1367"/>
      <c r="K5" s="1367"/>
      <c r="L5" s="1370"/>
      <c r="M5" s="1339"/>
      <c r="N5" s="1339"/>
      <c r="O5" s="1339"/>
      <c r="P5" s="1521"/>
      <c r="Q5" s="1522"/>
      <c r="R5" s="381"/>
      <c r="S5" s="1066"/>
      <c r="T5" s="1523"/>
      <c r="U5" s="1408"/>
      <c r="V5" s="2321"/>
      <c r="W5" s="2321"/>
      <c r="X5" s="2321"/>
      <c r="Y5" s="2321"/>
      <c r="Z5" s="2321"/>
      <c r="AA5" s="2321"/>
      <c r="AB5" s="2321"/>
      <c r="AC5" s="2322"/>
      <c r="AD5" s="2320"/>
      <c r="AE5" s="2321"/>
      <c r="AF5" s="2321"/>
      <c r="AG5" s="2321"/>
      <c r="AH5" s="2321"/>
      <c r="AI5" s="2321"/>
      <c r="AJ5" s="2321"/>
      <c r="AK5" s="2321"/>
      <c r="AL5" s="2321"/>
      <c r="AM5" s="2321"/>
      <c r="AN5" s="2321"/>
      <c r="AO5" s="2321"/>
      <c r="AP5" s="2321"/>
      <c r="AQ5" s="2321"/>
      <c r="AR5" s="2321"/>
      <c r="AS5" s="2321"/>
      <c r="AT5" s="2321"/>
      <c r="AU5" s="2321"/>
      <c r="AV5" s="2321"/>
      <c r="AW5" s="2321"/>
      <c r="AX5" s="2321"/>
      <c r="AY5" s="2321"/>
      <c r="AZ5" s="2321"/>
      <c r="BA5" s="2321"/>
      <c r="BB5" s="2322"/>
      <c r="BC5" s="1409" t="s">
        <v>486</v>
      </c>
      <c r="BE5" s="524"/>
      <c r="BF5" s="524" t="str">
        <f>IF(T5="","",T5)</f>
        <v/>
      </c>
      <c r="BG5" s="524"/>
      <c r="BH5" s="524"/>
      <c r="BI5" s="535">
        <v>0</v>
      </c>
    </row>
    <row s="1666" customFormat="1" customHeight="1" ht="14.25" hidden="1">
      <c r="A6" s="1367"/>
      <c r="B6" s="1367"/>
      <c r="C6" s="1367"/>
      <c r="D6" s="1367"/>
      <c r="E6" s="2283"/>
      <c r="F6" s="2283"/>
      <c r="G6" s="2283"/>
      <c r="H6" s="2283"/>
      <c r="I6" s="2280" t="str">
        <f>S5&amp;".1"</f>
        <v>.1</v>
      </c>
      <c r="J6" s="1367"/>
      <c r="K6" s="1367"/>
      <c r="L6" s="1370" t="s">
        <v>487</v>
      </c>
      <c r="M6" s="534"/>
      <c r="N6" s="534"/>
      <c r="O6" s="534"/>
      <c r="P6" s="2281">
        <v>1</v>
      </c>
      <c r="Q6" s="1505"/>
      <c r="R6" s="380"/>
      <c r="S6" s="1066"/>
      <c r="T6" s="1407"/>
      <c r="U6" s="1408"/>
      <c r="V6" s="2321"/>
      <c r="W6" s="2321"/>
      <c r="X6" s="2321"/>
      <c r="Y6" s="2321"/>
      <c r="Z6" s="2321"/>
      <c r="AA6" s="2321"/>
      <c r="AB6" s="2321"/>
      <c r="AC6" s="2322"/>
      <c r="AD6" s="2320"/>
      <c r="AE6" s="2321"/>
      <c r="AF6" s="2321"/>
      <c r="AG6" s="2321"/>
      <c r="AH6" s="2321"/>
      <c r="AI6" s="2321"/>
      <c r="AJ6" s="2321"/>
      <c r="AK6" s="2321"/>
      <c r="AL6" s="2321"/>
      <c r="AM6" s="2321"/>
      <c r="AN6" s="2321"/>
      <c r="AO6" s="2321"/>
      <c r="AP6" s="2321"/>
      <c r="AQ6" s="2321"/>
      <c r="AR6" s="2321"/>
      <c r="AS6" s="2321"/>
      <c r="AT6" s="2321"/>
      <c r="AU6" s="2321"/>
      <c r="AV6" s="2321"/>
      <c r="AW6" s="2321"/>
      <c r="AX6" s="2321"/>
      <c r="AY6" s="2321"/>
      <c r="AZ6" s="2321"/>
      <c r="BA6" s="2321"/>
      <c r="BB6" s="2322"/>
      <c r="BC6" s="1409"/>
      <c r="BE6" s="524"/>
      <c r="BF6" s="524" t="str">
        <f>IF(T6="","",T6)</f>
        <v/>
      </c>
      <c r="BG6" s="524"/>
      <c r="BH6" s="524"/>
      <c r="BI6" s="535">
        <v>0</v>
      </c>
    </row>
    <row s="1666" customFormat="1" customHeight="1" ht="14.25" hidden="1">
      <c r="A7" s="1367"/>
      <c r="B7" s="1367"/>
      <c r="C7" s="1367"/>
      <c r="D7" s="1367"/>
      <c r="E7" s="2283"/>
      <c r="F7" s="2283"/>
      <c r="G7" s="2283"/>
      <c r="H7" s="2283"/>
      <c r="I7" s="2310"/>
      <c r="J7" s="2280" t="str">
        <f>S5&amp;".1"</f>
        <v>.1</v>
      </c>
      <c r="K7" s="1367"/>
      <c r="L7" s="1370"/>
      <c r="M7" s="534"/>
      <c r="N7" s="534"/>
      <c r="O7" s="534"/>
      <c r="P7" s="2281"/>
      <c r="Q7" s="2281">
        <v>1</v>
      </c>
      <c r="R7" s="381"/>
      <c r="S7" s="1066"/>
      <c r="T7" s="1423"/>
      <c r="U7" s="1408"/>
      <c r="V7" s="2321"/>
      <c r="W7" s="2321"/>
      <c r="X7" s="2321"/>
      <c r="Y7" s="2321"/>
      <c r="Z7" s="2321"/>
      <c r="AA7" s="2321"/>
      <c r="AB7" s="2321"/>
      <c r="AC7" s="2322"/>
      <c r="AD7" s="2320"/>
      <c r="AE7" s="2321"/>
      <c r="AF7" s="2321"/>
      <c r="AG7" s="2321"/>
      <c r="AH7" s="2321"/>
      <c r="AI7" s="2321"/>
      <c r="AJ7" s="2321"/>
      <c r="AK7" s="2321"/>
      <c r="AL7" s="2321"/>
      <c r="AM7" s="2321"/>
      <c r="AN7" s="2321"/>
      <c r="AO7" s="2321"/>
      <c r="AP7" s="2321"/>
      <c r="AQ7" s="2321"/>
      <c r="AR7" s="2321"/>
      <c r="AS7" s="2321"/>
      <c r="AT7" s="2321"/>
      <c r="AU7" s="2321"/>
      <c r="AV7" s="2321"/>
      <c r="AW7" s="2321"/>
      <c r="AX7" s="2321"/>
      <c r="AY7" s="2321"/>
      <c r="AZ7" s="2321"/>
      <c r="BA7" s="2321"/>
      <c r="BB7" s="2322"/>
      <c r="BC7" s="1409"/>
      <c r="BE7" s="524"/>
      <c r="BF7" s="524" t="str">
        <f>IF(T7="","",T7)</f>
        <v/>
      </c>
      <c r="BG7" s="524"/>
      <c r="BH7" s="524"/>
      <c r="BI7" s="535">
        <v>0</v>
      </c>
    </row>
    <row customHeight="1" ht="11.25" hidden="1">
      <c r="A8" s="1387"/>
      <c r="B8" s="1387"/>
      <c r="C8" s="1387"/>
      <c r="D8" s="1387"/>
      <c r="E8" s="2283"/>
      <c r="F8" s="2283"/>
      <c r="G8" s="2283"/>
      <c r="H8" s="2283"/>
      <c r="I8" s="2310"/>
      <c r="J8" s="2310"/>
      <c r="K8" s="2280">
        <f>S4&amp;".1"</f>
      </c>
      <c r="L8" s="1388"/>
      <c r="P8" s="2281"/>
      <c r="Q8" s="2281"/>
      <c r="R8" s="2371">
        <v>1</v>
      </c>
      <c r="S8" s="2365">
        <f>$K8</f>
      </c>
      <c r="T8" s="2384"/>
      <c r="U8" s="324"/>
      <c r="V8" s="775"/>
      <c r="W8" s="1281"/>
      <c r="X8" s="775"/>
      <c r="Y8" s="1281"/>
      <c r="Z8" s="1758"/>
      <c r="AA8" s="1493" t="s">
        <v>66</v>
      </c>
      <c r="AB8" s="1758"/>
      <c r="AC8" s="1493" t="s">
        <v>66</v>
      </c>
      <c r="AD8" s="2209" t="s">
        <v>66</v>
      </c>
      <c r="AE8" s="2350"/>
      <c r="AF8" s="2229">
        <v>1</v>
      </c>
      <c r="AG8" s="2387"/>
      <c r="AH8" s="2131" t="s">
        <v>66</v>
      </c>
      <c r="AI8" s="2350"/>
      <c r="AJ8" s="2229">
        <v>1</v>
      </c>
      <c r="AK8" s="2351" t="s">
        <v>22</v>
      </c>
      <c r="AL8" s="2131" t="s">
        <v>66</v>
      </c>
      <c r="AM8" s="2216"/>
      <c r="AN8" s="2229">
        <v>1</v>
      </c>
      <c r="AO8" s="2381"/>
      <c r="AP8" s="2382" t="s">
        <v>66</v>
      </c>
      <c r="AQ8" s="335"/>
      <c r="AR8" s="1510">
        <v>1</v>
      </c>
      <c r="AS8" s="1516" t="s">
        <v>22</v>
      </c>
      <c r="AT8" s="775"/>
      <c r="AU8" s="1281"/>
      <c r="AV8" s="775"/>
      <c r="AW8" s="1281"/>
      <c r="AX8" s="1758"/>
      <c r="AY8" s="1493" t="s">
        <v>66</v>
      </c>
      <c r="AZ8" s="1758"/>
      <c r="BA8" s="1493" t="s">
        <v>66</v>
      </c>
      <c r="BB8" s="1372"/>
      <c r="BC8" s="2277" t="s">
        <v>585</v>
      </c>
      <c r="BE8" s="524"/>
      <c r="BF8" s="524" t="str">
        <f>IF(T8="","",T8)</f>
        <v/>
      </c>
      <c r="BG8" s="524"/>
      <c r="BH8" s="524"/>
      <c r="BI8" s="1179">
        <v>0</v>
      </c>
    </row>
    <row customHeight="1" ht="11.25" hidden="1">
      <c r="A9" s="1387"/>
      <c r="B9" s="1387"/>
      <c r="C9" s="1387"/>
      <c r="D9" s="1387"/>
      <c r="E9" s="2283"/>
      <c r="F9" s="2283"/>
      <c r="G9" s="2283"/>
      <c r="H9" s="2283"/>
      <c r="I9" s="2310"/>
      <c r="J9" s="2310"/>
      <c r="K9" s="2280"/>
      <c r="L9" s="1388"/>
      <c r="P9" s="2281"/>
      <c r="Q9" s="2281"/>
      <c r="R9" s="2371"/>
      <c r="S9" s="2366"/>
      <c r="T9" s="2385"/>
      <c r="U9" s="324"/>
      <c r="V9" s="1417"/>
      <c r="W9" s="1520"/>
      <c r="X9" s="1417"/>
      <c r="Y9" s="1520"/>
      <c r="Z9" s="1417"/>
      <c r="AA9" s="1417"/>
      <c r="AB9" s="1417"/>
      <c r="AC9" s="1417"/>
      <c r="AD9" s="2210"/>
      <c r="AE9" s="2350"/>
      <c r="AF9" s="2229"/>
      <c r="AG9" s="2387"/>
      <c r="AH9" s="2131"/>
      <c r="AI9" s="2350"/>
      <c r="AJ9" s="2229"/>
      <c r="AK9" s="2351"/>
      <c r="AL9" s="2131"/>
      <c r="AM9" s="2224"/>
      <c r="AN9" s="2229"/>
      <c r="AO9" s="2381"/>
      <c r="AP9" s="2383"/>
      <c r="AQ9" s="340"/>
      <c r="AR9" s="440"/>
      <c r="AS9" s="440" t="s">
        <v>586</v>
      </c>
      <c r="AT9" s="1417"/>
      <c r="AU9" s="1520"/>
      <c r="AV9" s="1417"/>
      <c r="AW9" s="1520"/>
      <c r="AX9" s="1417"/>
      <c r="AY9" s="1417"/>
      <c r="AZ9" s="1417"/>
      <c r="BA9" s="1417"/>
      <c r="BB9" s="1421"/>
      <c r="BC9" s="2278"/>
      <c r="BE9" s="524"/>
      <c r="BF9" s="524"/>
      <c r="BG9" s="524"/>
      <c r="BH9" s="524"/>
      <c r="BI9" s="1179">
        <v>0</v>
      </c>
    </row>
    <row customHeight="1" ht="11.25" hidden="1">
      <c r="A10" s="1387"/>
      <c r="B10" s="1387"/>
      <c r="C10" s="1387"/>
      <c r="D10" s="1387"/>
      <c r="E10" s="2283"/>
      <c r="F10" s="2283"/>
      <c r="G10" s="2283"/>
      <c r="H10" s="2283"/>
      <c r="I10" s="2310"/>
      <c r="J10" s="2310"/>
      <c r="K10" s="2280"/>
      <c r="L10" s="1388"/>
      <c r="P10" s="2281"/>
      <c r="Q10" s="2281"/>
      <c r="R10" s="2371"/>
      <c r="S10" s="2366"/>
      <c r="T10" s="2385"/>
      <c r="U10" s="324"/>
      <c r="V10" s="1417"/>
      <c r="W10" s="1520"/>
      <c r="X10" s="1417"/>
      <c r="Y10" s="1520"/>
      <c r="Z10" s="1417"/>
      <c r="AA10" s="1417"/>
      <c r="AB10" s="1417"/>
      <c r="AC10" s="1417"/>
      <c r="AD10" s="2210"/>
      <c r="AE10" s="2350"/>
      <c r="AF10" s="2229"/>
      <c r="AG10" s="2387"/>
      <c r="AH10" s="2131"/>
      <c r="AI10" s="2350"/>
      <c r="AJ10" s="2229"/>
      <c r="AK10" s="2351"/>
      <c r="AL10" s="2131"/>
      <c r="AM10" s="340"/>
      <c r="AN10" s="1524"/>
      <c r="AO10" s="1524" t="s">
        <v>587</v>
      </c>
      <c r="AP10" s="440"/>
      <c r="AQ10" s="440"/>
      <c r="AR10" s="440"/>
      <c r="AS10" s="1417"/>
      <c r="AT10" s="1417"/>
      <c r="AU10" s="1520"/>
      <c r="AV10" s="1417"/>
      <c r="AW10" s="1520"/>
      <c r="AX10" s="1417"/>
      <c r="AY10" s="1417"/>
      <c r="AZ10" s="1417"/>
      <c r="BA10" s="1417"/>
      <c r="BB10" s="1421"/>
      <c r="BC10" s="2278"/>
      <c r="BE10" s="524"/>
      <c r="BF10" s="524"/>
      <c r="BG10" s="524"/>
      <c r="BH10" s="524"/>
      <c r="BI10" s="1179">
        <v>0</v>
      </c>
    </row>
    <row customHeight="1" ht="11.25" hidden="1">
      <c r="A11" s="1387"/>
      <c r="B11" s="1387"/>
      <c r="C11" s="1387"/>
      <c r="D11" s="1387"/>
      <c r="E11" s="2283"/>
      <c r="F11" s="2283"/>
      <c r="G11" s="2283"/>
      <c r="H11" s="2283"/>
      <c r="I11" s="2310"/>
      <c r="J11" s="2310"/>
      <c r="K11" s="2280"/>
      <c r="L11" s="1388"/>
      <c r="P11" s="2281"/>
      <c r="Q11" s="2281"/>
      <c r="R11" s="2371"/>
      <c r="S11" s="2366"/>
      <c r="T11" s="2385"/>
      <c r="U11" s="324"/>
      <c r="V11" s="1417"/>
      <c r="W11" s="1520"/>
      <c r="X11" s="1417"/>
      <c r="Y11" s="1520"/>
      <c r="Z11" s="1417"/>
      <c r="AA11" s="1417"/>
      <c r="AB11" s="1417"/>
      <c r="AC11" s="1417"/>
      <c r="AD11" s="2210"/>
      <c r="AE11" s="2350"/>
      <c r="AF11" s="2229"/>
      <c r="AG11" s="2387"/>
      <c r="AH11" s="2131"/>
      <c r="AI11" s="318"/>
      <c r="AJ11" s="439"/>
      <c r="AK11" s="337" t="s">
        <v>588</v>
      </c>
      <c r="AL11" s="1417"/>
      <c r="AM11" s="1417"/>
      <c r="AN11" s="1417"/>
      <c r="AO11" s="1417"/>
      <c r="AP11" s="1417"/>
      <c r="AQ11" s="1417"/>
      <c r="AR11" s="1417"/>
      <c r="AS11" s="1417"/>
      <c r="AT11" s="1417"/>
      <c r="AU11" s="1520"/>
      <c r="AV11" s="1417"/>
      <c r="AW11" s="1520"/>
      <c r="AX11" s="1417"/>
      <c r="AY11" s="1417"/>
      <c r="AZ11" s="1417"/>
      <c r="BA11" s="1417"/>
      <c r="BB11" s="1421"/>
      <c r="BC11" s="2278"/>
      <c r="BE11" s="524"/>
      <c r="BF11" s="524"/>
      <c r="BG11" s="524"/>
      <c r="BH11" s="524"/>
      <c r="BI11" s="1179">
        <v>0</v>
      </c>
    </row>
    <row customHeight="1" ht="11.25" hidden="1">
      <c r="A12" s="1387"/>
      <c r="B12" s="1387"/>
      <c r="C12" s="1387"/>
      <c r="D12" s="1387"/>
      <c r="E12" s="2283"/>
      <c r="F12" s="2283"/>
      <c r="G12" s="2283"/>
      <c r="H12" s="2283"/>
      <c r="I12" s="2310"/>
      <c r="J12" s="2310"/>
      <c r="K12" s="2280"/>
      <c r="L12" s="1388"/>
      <c r="P12" s="2281"/>
      <c r="Q12" s="2281"/>
      <c r="R12" s="2371"/>
      <c r="S12" s="2367"/>
      <c r="T12" s="2386"/>
      <c r="U12" s="324"/>
      <c r="V12" s="1417"/>
      <c r="W12" s="1418" t="str">
        <f>Z8&amp;"-"&amp;AB8</f>
        <v>-</v>
      </c>
      <c r="X12" s="1417"/>
      <c r="Y12" s="1418" t="str">
        <f>AB8&amp;"-"&amp;AD8</f>
        <v>-да</v>
      </c>
      <c r="Z12" s="1417"/>
      <c r="AA12" s="1417"/>
      <c r="AB12" s="1417"/>
      <c r="AC12" s="1417"/>
      <c r="AD12" s="2136"/>
      <c r="AE12" s="336"/>
      <c r="AF12" s="338"/>
      <c r="AG12" s="440" t="s">
        <v>589</v>
      </c>
      <c r="AH12" s="1417"/>
      <c r="AI12" s="1417"/>
      <c r="AJ12" s="1417"/>
      <c r="AK12" s="1417"/>
      <c r="AL12" s="1417"/>
      <c r="AM12" s="1417"/>
      <c r="AN12" s="1417"/>
      <c r="AO12" s="1417"/>
      <c r="AP12" s="1417"/>
      <c r="AQ12" s="1417"/>
      <c r="AR12" s="1417"/>
      <c r="AS12" s="1417"/>
      <c r="AT12" s="1417"/>
      <c r="AU12" s="1418" t="str">
        <f>AX8&amp;"-"&amp;AZ8</f>
        <v>-</v>
      </c>
      <c r="AV12" s="1417"/>
      <c r="AW12" s="1418" t="str">
        <f>AZ8&amp;"-"&amp;BB8</f>
        <v>-</v>
      </c>
      <c r="AX12" s="1417"/>
      <c r="AY12" s="1417"/>
      <c r="AZ12" s="1417"/>
      <c r="BA12" s="1417"/>
      <c r="BB12" s="1420" t="str">
        <f>BE8&amp;"-"&amp;BG8</f>
        <v>-</v>
      </c>
      <c r="BC12" s="2278"/>
      <c r="BE12" s="524"/>
      <c r="BF12" s="524" t="str">
        <f>IF(T12="","",T12)</f>
        <v/>
      </c>
      <c r="BG12" s="524"/>
      <c r="BH12" s="524"/>
      <c r="BI12" s="1179">
        <v>0</v>
      </c>
    </row>
    <row customHeight="1" ht="11.25" hidden="1">
      <c r="A13" s="1387"/>
      <c r="B13" s="1387"/>
      <c r="C13" s="1387"/>
      <c r="D13" s="1387"/>
      <c r="E13" s="2283"/>
      <c r="F13" s="2283"/>
      <c r="G13" s="2283"/>
      <c r="H13" s="2283"/>
      <c r="I13" s="2310"/>
      <c r="J13" s="2280"/>
      <c r="K13" s="1387"/>
      <c r="L13" s="1388"/>
      <c r="P13" s="2281"/>
      <c r="Q13" s="2281"/>
      <c r="R13" s="380"/>
      <c r="S13" s="1302"/>
      <c r="T13" s="311" t="s">
        <v>552</v>
      </c>
      <c r="U13" s="391"/>
      <c r="V13" s="391"/>
      <c r="W13" s="391"/>
      <c r="X13" s="391"/>
      <c r="Y13" s="391"/>
      <c r="Z13" s="391"/>
      <c r="AA13" s="391"/>
      <c r="AB13" s="391"/>
      <c r="AC13" s="391"/>
      <c r="AD13" s="1529"/>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48"/>
      <c r="BC13" s="2279"/>
      <c r="BE13" s="524"/>
      <c r="BF13" s="524" t="str">
        <f>IF(T13="","",T13)</f>
        <v>Добавить строку</v>
      </c>
      <c r="BG13" s="524"/>
      <c r="BH13" s="524"/>
      <c r="BI13" s="1179">
        <v>0</v>
      </c>
    </row>
    <row s="1666" customFormat="1" customHeight="1" ht="14.25" hidden="1">
      <c r="A14" s="1367"/>
      <c r="B14" s="1367"/>
      <c r="C14" s="1367"/>
      <c r="D14" s="1367"/>
      <c r="E14" s="2283"/>
      <c r="F14" s="2283"/>
      <c r="G14" s="2283"/>
      <c r="H14" s="2283"/>
      <c r="I14" s="2280"/>
      <c r="J14" s="1367"/>
      <c r="K14" s="1367"/>
      <c r="L14" s="1370"/>
      <c r="M14" s="534"/>
      <c r="N14" s="534"/>
      <c r="O14" s="534"/>
      <c r="P14" s="2281"/>
      <c r="Q14" s="1505"/>
      <c r="R14" s="380"/>
      <c r="S14" s="1410"/>
      <c r="T14" s="1411"/>
      <c r="U14" s="1412"/>
      <c r="V14" s="1412"/>
      <c r="W14" s="1412"/>
      <c r="X14" s="1412"/>
      <c r="Y14" s="1412"/>
      <c r="Z14" s="1412"/>
      <c r="AA14" s="1412"/>
      <c r="AB14" s="1412"/>
      <c r="AC14" s="1412"/>
      <c r="AD14" s="1412"/>
      <c r="AE14" s="1412"/>
      <c r="AF14" s="1412"/>
      <c r="AG14" s="1412"/>
      <c r="AH14" s="1412"/>
      <c r="AI14" s="1412"/>
      <c r="AJ14" s="1412"/>
      <c r="AK14" s="1412"/>
      <c r="AL14" s="1412"/>
      <c r="AM14" s="1412"/>
      <c r="AN14" s="1412"/>
      <c r="AO14" s="1412"/>
      <c r="AP14" s="1412"/>
      <c r="AQ14" s="1412"/>
      <c r="AR14" s="1412"/>
      <c r="AS14" s="1412"/>
      <c r="AT14" s="1412"/>
      <c r="AU14" s="1412"/>
      <c r="AV14" s="1412"/>
      <c r="AW14" s="1412"/>
      <c r="AX14" s="1412"/>
      <c r="AY14" s="1412"/>
      <c r="AZ14" s="1412"/>
      <c r="BA14" s="1412"/>
      <c r="BB14" s="1412"/>
      <c r="BC14" s="1413"/>
      <c r="BE14" s="524"/>
      <c r="BF14" s="524" t="str">
        <f>IF(T14="","",T14)</f>
        <v/>
      </c>
      <c r="BG14" s="524"/>
      <c r="BH14" s="524"/>
      <c r="BI14" s="535">
        <v>0</v>
      </c>
    </row>
    <row s="1666" customFormat="1" customHeight="1" ht="14.25" hidden="1">
      <c r="A15" s="1367"/>
      <c r="B15" s="1367"/>
      <c r="C15" s="1367"/>
      <c r="D15" s="1367"/>
      <c r="E15" s="2283"/>
      <c r="F15" s="2283"/>
      <c r="G15" s="2283"/>
      <c r="H15" s="2282"/>
      <c r="I15" s="1367"/>
      <c r="J15" s="1367"/>
      <c r="K15" s="1367"/>
      <c r="L15" s="1370"/>
      <c r="M15" s="1339"/>
      <c r="N15" s="1339"/>
      <c r="O15" s="542"/>
      <c r="P15" s="404"/>
      <c r="Q15" s="1368"/>
      <c r="R15" s="1425"/>
      <c r="S15" s="1410"/>
      <c r="T15" s="1411"/>
      <c r="U15" s="1412"/>
      <c r="V15" s="1412"/>
      <c r="W15" s="1412"/>
      <c r="X15" s="1412"/>
      <c r="Y15" s="1412"/>
      <c r="Z15" s="1412"/>
      <c r="AA15" s="1412"/>
      <c r="AB15" s="1412"/>
      <c r="AC15" s="1412"/>
      <c r="AD15" s="1412"/>
      <c r="AE15" s="1412"/>
      <c r="AF15" s="1412"/>
      <c r="AG15" s="1412"/>
      <c r="AH15" s="1412"/>
      <c r="AI15" s="1412"/>
      <c r="AJ15" s="1412"/>
      <c r="AK15" s="1412"/>
      <c r="AL15" s="1412"/>
      <c r="AM15" s="1412"/>
      <c r="AN15" s="1412"/>
      <c r="AO15" s="1412"/>
      <c r="AP15" s="1412"/>
      <c r="AQ15" s="1412"/>
      <c r="AR15" s="1412"/>
      <c r="AS15" s="1412"/>
      <c r="AT15" s="1412"/>
      <c r="AU15" s="1412"/>
      <c r="AV15" s="1412"/>
      <c r="AW15" s="1412"/>
      <c r="AX15" s="1412"/>
      <c r="AY15" s="1412"/>
      <c r="AZ15" s="1412"/>
      <c r="BA15" s="1412"/>
      <c r="BB15" s="1412"/>
      <c r="BC15" s="1413"/>
      <c r="BE15" s="524"/>
      <c r="BF15" s="524" t="str">
        <f>IF(T15="","",T15)</f>
        <v/>
      </c>
      <c r="BG15" s="524"/>
      <c r="BH15" s="524"/>
      <c r="BI15" s="535">
        <v>0</v>
      </c>
    </row>
    <row s="1666" customFormat="1" customHeight="1" ht="14.25" hidden="1">
      <c r="A16" s="1367"/>
      <c r="B16" s="1367"/>
      <c r="C16" s="1367"/>
      <c r="D16" s="1338"/>
      <c r="E16" s="2283"/>
      <c r="F16" s="2283"/>
      <c r="G16" s="2282"/>
      <c r="H16" s="1338"/>
      <c r="I16" s="1338"/>
      <c r="J16" s="1338"/>
      <c r="K16" s="1338"/>
      <c r="L16" s="1518"/>
      <c r="M16" s="1339"/>
      <c r="N16" s="1339"/>
      <c r="P16" s="1340"/>
      <c r="Q16" s="1341"/>
      <c r="R16" s="1340"/>
      <c r="S16" s="1346"/>
      <c r="T16" s="1349"/>
      <c r="U16" s="1348"/>
      <c r="V16" s="1348"/>
      <c r="W16" s="1348"/>
      <c r="X16" s="1348"/>
      <c r="Y16" s="1348"/>
      <c r="Z16" s="1348"/>
      <c r="AA16" s="1348"/>
      <c r="AB16" s="1348"/>
      <c r="AC16" s="1348"/>
      <c r="AD16" s="1348"/>
      <c r="AE16" s="1348"/>
      <c r="AF16" s="1348"/>
      <c r="AG16" s="1348"/>
      <c r="AH16" s="1348"/>
      <c r="AI16" s="1348"/>
      <c r="AJ16" s="1348"/>
      <c r="AK16" s="1348"/>
      <c r="AL16" s="1348"/>
      <c r="AM16" s="1348"/>
      <c r="AN16" s="1348"/>
      <c r="AO16" s="1348"/>
      <c r="AP16" s="1348"/>
      <c r="AQ16" s="1348"/>
      <c r="AR16" s="1348"/>
      <c r="AS16" s="1348"/>
      <c r="AT16" s="1348"/>
      <c r="AU16" s="1348"/>
      <c r="AV16" s="1348"/>
      <c r="AW16" s="1348"/>
      <c r="AX16" s="1348"/>
      <c r="AY16" s="1348"/>
      <c r="AZ16" s="1348"/>
      <c r="BA16" s="1348"/>
      <c r="BB16" s="1348"/>
      <c r="BC16" s="1348"/>
      <c r="BE16" s="813"/>
      <c r="BF16" s="813" t="str">
        <f>IF(T16="","",T16)</f>
        <v/>
      </c>
      <c r="BG16" s="813"/>
      <c r="BH16" s="813"/>
      <c r="BI16" s="542">
        <v>0</v>
      </c>
    </row>
    <row s="1666" customFormat="1" customHeight="1" ht="14.25" hidden="1">
      <c r="A17" s="1367"/>
      <c r="B17" s="1367"/>
      <c r="C17" s="1338"/>
      <c r="D17" s="1338"/>
      <c r="E17" s="2283"/>
      <c r="F17" s="2282"/>
      <c r="G17" s="1338"/>
      <c r="H17" s="1338"/>
      <c r="I17" s="1338"/>
      <c r="J17" s="1338"/>
      <c r="K17" s="1338"/>
      <c r="L17" s="1518"/>
      <c r="M17" s="1345"/>
      <c r="N17" s="1345"/>
      <c r="P17" s="1340"/>
      <c r="Q17" s="1341"/>
      <c r="R17" s="1340"/>
      <c r="S17" s="1346"/>
      <c r="T17" s="1349" t="s">
        <v>499</v>
      </c>
      <c r="U17" s="1348"/>
      <c r="V17" s="1348"/>
      <c r="W17" s="1348"/>
      <c r="X17" s="1348"/>
      <c r="Y17" s="1348"/>
      <c r="Z17" s="1348"/>
      <c r="AA17" s="1348"/>
      <c r="AB17" s="1348"/>
      <c r="AC17" s="1348"/>
      <c r="AD17" s="1348"/>
      <c r="AE17" s="1348"/>
      <c r="AF17" s="1348"/>
      <c r="AG17" s="1348"/>
      <c r="AH17" s="1348"/>
      <c r="AI17" s="1348"/>
      <c r="AJ17" s="1348"/>
      <c r="AK17" s="1348"/>
      <c r="AL17" s="1348"/>
      <c r="AM17" s="1348"/>
      <c r="AN17" s="1348"/>
      <c r="AO17" s="1348"/>
      <c r="AP17" s="1348"/>
      <c r="AQ17" s="1348"/>
      <c r="AR17" s="1348"/>
      <c r="AS17" s="1348"/>
      <c r="AT17" s="1348"/>
      <c r="AU17" s="1348"/>
      <c r="AV17" s="1348"/>
      <c r="AW17" s="1348"/>
      <c r="AX17" s="1348"/>
      <c r="AY17" s="1348"/>
      <c r="AZ17" s="1348"/>
      <c r="BA17" s="1348"/>
      <c r="BB17" s="1348"/>
      <c r="BC17" s="1348"/>
      <c r="BE17" s="813"/>
      <c r="BF17" s="813" t="str">
        <f>IF(T17="","",T17)</f>
        <v>Добавить централизованную систему для дифференциации</v>
      </c>
      <c r="BG17" s="813"/>
      <c r="BH17" s="813"/>
      <c r="BI17" s="542">
        <v>0</v>
      </c>
    </row>
    <row s="1666" customFormat="1" customHeight="1" ht="14.25" hidden="1">
      <c r="A18" s="1367"/>
      <c r="B18" s="1367"/>
      <c r="C18" s="1367"/>
      <c r="D18" s="1367"/>
      <c r="E18" s="2282"/>
      <c r="F18" s="1367"/>
      <c r="G18" s="1367"/>
      <c r="H18" s="1367"/>
      <c r="I18" s="1367"/>
      <c r="J18" s="1367"/>
      <c r="K18" s="1367"/>
      <c r="L18" s="1370"/>
      <c r="M18" s="1345"/>
      <c r="N18" s="1345"/>
      <c r="O18" s="542"/>
      <c r="P18" s="404"/>
      <c r="Q18" s="1368"/>
      <c r="R18" s="404"/>
      <c r="S18" s="1346"/>
      <c r="T18" s="1349" t="s">
        <v>500</v>
      </c>
      <c r="U18" s="1348"/>
      <c r="V18" s="1348"/>
      <c r="W18" s="1348"/>
      <c r="X18" s="1348"/>
      <c r="Y18" s="1348"/>
      <c r="Z18" s="1348"/>
      <c r="AA18" s="1348"/>
      <c r="AB18" s="1348"/>
      <c r="AC18" s="1348"/>
      <c r="AD18" s="1348"/>
      <c r="AE18" s="1348"/>
      <c r="AF18" s="1348"/>
      <c r="AG18" s="1348"/>
      <c r="AH18" s="1348"/>
      <c r="AI18" s="1348"/>
      <c r="AJ18" s="1348"/>
      <c r="AK18" s="1348"/>
      <c r="AL18" s="1348"/>
      <c r="AM18" s="1348"/>
      <c r="AN18" s="1348"/>
      <c r="AO18" s="1348"/>
      <c r="AP18" s="1348"/>
      <c r="AQ18" s="1348"/>
      <c r="AR18" s="1348"/>
      <c r="AS18" s="1348"/>
      <c r="AT18" s="1348"/>
      <c r="AU18" s="1348"/>
      <c r="AV18" s="1348"/>
      <c r="AW18" s="1348"/>
      <c r="AX18" s="1348"/>
      <c r="AY18" s="1348"/>
      <c r="AZ18" s="1348"/>
      <c r="BA18" s="1348"/>
      <c r="BB18" s="1348"/>
      <c r="BC18" s="1348"/>
      <c r="BE18" s="524"/>
      <c r="BF18" s="524" t="str">
        <f>IF(T18="","",T18)</f>
        <v>Добавить территорию для дифференциации</v>
      </c>
      <c r="BG18" s="524"/>
      <c r="BH18" s="524"/>
      <c r="BI18" s="535">
        <v>0</v>
      </c>
    </row>
    <row customHeight="1" ht="14.25" hidden="1">
      <c r="AC19" s="351"/>
      <c r="BA19" s="351"/>
      <c r="BI19" s="1179">
        <v>0</v>
      </c>
    </row>
    <row customHeight="1" ht="14.25" hidden="1">
      <c r="AD20" s="1348" t="s">
        <v>19</v>
      </c>
      <c r="AE20" s="1525"/>
      <c r="AF20" s="572">
        <v>1</v>
      </c>
      <c r="AG20" s="1526"/>
      <c r="AH20" s="1348" t="s">
        <v>19</v>
      </c>
      <c r="AI20" s="1525"/>
      <c r="AJ20" s="572">
        <v>1</v>
      </c>
      <c r="AK20" s="1526"/>
      <c r="AL20" s="1348" t="s">
        <v>19</v>
      </c>
      <c r="AM20" s="1527"/>
      <c r="AN20" s="572">
        <v>1</v>
      </c>
      <c r="AO20" s="1528"/>
      <c r="AP20" s="1348" t="s">
        <v>19</v>
      </c>
      <c r="AQ20" s="1527"/>
      <c r="AR20" s="572">
        <v>1</v>
      </c>
      <c r="AS20" s="1528"/>
      <c r="AT20" s="349"/>
      <c r="AU20" s="408"/>
      <c r="AV20" s="349"/>
      <c r="AW20" s="408"/>
      <c r="AX20" s="1760"/>
      <c r="AY20" s="1509" t="s">
        <v>66</v>
      </c>
      <c r="AZ20" s="1760"/>
      <c r="BA20" s="1509" t="s">
        <v>66</v>
      </c>
      <c r="BI20" s="1179">
        <v>0</v>
      </c>
    </row>
    <row customHeight="1" ht="14.25" hidden="1">
      <c r="BD21" s="520"/>
      <c r="BE21" s="520"/>
      <c r="BF21" s="520"/>
      <c r="BG21" s="520"/>
      <c r="BH21" s="520"/>
      <c r="BI21" s="1179">
        <v>0</v>
      </c>
    </row>
    <row customHeight="1" ht="14.25" hidden="1">
      <c r="O22" s="1391" t="s">
        <v>501</v>
      </c>
      <c r="Z22" s="1369"/>
      <c r="AB22" s="1369"/>
      <c r="AC22" s="351"/>
      <c r="AX22" s="1369"/>
      <c r="AZ22" s="1369"/>
      <c r="BA22" s="351"/>
      <c r="BD22" s="520"/>
      <c r="BE22" s="520"/>
      <c r="BF22" s="520"/>
      <c r="BG22" s="520"/>
      <c r="BH22" s="520"/>
      <c r="BI22" s="1179">
        <v>0</v>
      </c>
    </row>
    <row customHeight="1" ht="14.25" hidden="1">
      <c r="AC23" s="351"/>
      <c r="BA23" s="351"/>
      <c r="BD23" s="520"/>
      <c r="BE23" s="520"/>
      <c r="BF23" s="520"/>
      <c r="BG23" s="520"/>
      <c r="BH23" s="520"/>
      <c r="BI23" s="1179">
        <v>0</v>
      </c>
    </row>
    <row s="1533" customFormat="1" customHeight="1" ht="14.25" hidden="1">
      <c r="M24" s="1532"/>
      <c r="N24" s="1532"/>
      <c r="O24" s="1533" t="s">
        <v>502</v>
      </c>
      <c r="P24" s="1532"/>
      <c r="Q24" s="1534"/>
      <c r="R24" s="1534"/>
      <c r="AA24" s="1531" t="s">
        <v>504</v>
      </c>
      <c r="AC24" s="1531" t="s">
        <v>505</v>
      </c>
      <c r="AD24" s="1531" t="s">
        <v>553</v>
      </c>
      <c r="AH24" s="1531" t="s">
        <v>553</v>
      </c>
      <c r="AK24" s="1531" t="s">
        <v>590</v>
      </c>
      <c r="AL24" s="1531" t="s">
        <v>553</v>
      </c>
      <c r="AP24" s="1531" t="s">
        <v>553</v>
      </c>
      <c r="AY24" s="1531" t="s">
        <v>504</v>
      </c>
      <c r="BA24" s="1531" t="s">
        <v>505</v>
      </c>
      <c r="BD24" s="1535"/>
      <c r="BE24" s="1535"/>
      <c r="BF24" s="1535"/>
      <c r="BG24" s="1535"/>
      <c r="BH24" s="1535"/>
      <c r="BI24" s="1531">
        <v>0</v>
      </c>
    </row>
    <row customHeight="1" ht="14.25" hidden="1">
      <c r="O25" s="1388"/>
      <c r="BD25" s="520"/>
      <c r="BE25" s="520"/>
      <c r="BF25" s="520"/>
      <c r="BG25" s="520"/>
      <c r="BH25" s="520"/>
      <c r="BI25" s="1179">
        <v>0</v>
      </c>
    </row>
    <row customHeight="1" ht="14.25" hidden="1">
      <c r="O26" s="1388"/>
      <c r="BD26" s="520"/>
      <c r="BE26" s="520"/>
      <c r="BF26" s="520"/>
      <c r="BG26" s="520"/>
      <c r="BH26" s="520"/>
      <c r="BI26" s="1179">
        <v>0</v>
      </c>
    </row>
    <row customHeight="1" ht="14.699999999999998">
      <c r="Q27" s="315"/>
      <c r="R27" s="400"/>
      <c r="S27" s="1299"/>
      <c r="T27" s="387"/>
      <c r="U27" s="387"/>
      <c r="V27" s="533"/>
      <c r="W27" s="533"/>
      <c r="X27" s="533"/>
      <c r="Y27" s="533"/>
      <c r="Z27" s="533"/>
      <c r="AA27" s="533"/>
      <c r="AB27" s="533"/>
      <c r="AC27" s="533"/>
      <c r="AD27" s="533"/>
      <c r="AE27" s="533"/>
      <c r="AF27" s="533"/>
      <c r="AG27" s="533"/>
      <c r="AH27" s="533"/>
      <c r="AI27" s="533"/>
      <c r="AJ27" s="533"/>
      <c r="AK27" s="533"/>
      <c r="AL27" s="533"/>
      <c r="AM27" s="533"/>
      <c r="AN27" s="533"/>
      <c r="AO27" s="533"/>
      <c r="AP27" s="533"/>
      <c r="AQ27" s="533"/>
      <c r="AR27" s="533"/>
      <c r="AS27" s="533"/>
      <c r="AT27" s="533"/>
      <c r="AU27" s="533"/>
      <c r="AV27" s="533"/>
      <c r="AW27" s="533"/>
      <c r="AX27" s="533"/>
      <c r="AY27" s="533"/>
      <c r="AZ27" s="533"/>
      <c r="BA27" s="533"/>
      <c r="BI27" s="1179">
        <v>14</v>
      </c>
    </row>
    <row customHeight="1" ht="14.699999999999998">
      <c r="Q28" s="315"/>
      <c r="R28" s="400"/>
      <c r="S28" s="227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72"/>
      <c r="U28" s="2272"/>
      <c r="V28" s="2272"/>
      <c r="W28" s="2272"/>
      <c r="X28" s="2272"/>
      <c r="Y28" s="2272"/>
      <c r="Z28" s="2272"/>
      <c r="AA28" s="2272"/>
      <c r="AB28" s="2272"/>
      <c r="AC28" s="2272"/>
      <c r="AD28" s="2272"/>
      <c r="AE28" s="2272"/>
      <c r="AF28" s="2272"/>
      <c r="AG28" s="2272"/>
      <c r="AH28" s="2272"/>
      <c r="AI28" s="2272"/>
      <c r="AJ28" s="2272"/>
      <c r="AK28" s="2272"/>
      <c r="AL28" s="2272"/>
      <c r="AM28" s="2272"/>
      <c r="AN28" s="2272"/>
      <c r="AO28" s="2272"/>
      <c r="AP28" s="2272"/>
      <c r="AQ28" s="2272"/>
      <c r="AR28" s="2272"/>
      <c r="AS28" s="2272"/>
      <c r="AT28" s="2272"/>
      <c r="AU28" s="2272"/>
      <c r="AV28" s="2272"/>
      <c r="AW28" s="2272"/>
      <c r="AX28" s="2272"/>
      <c r="AY28" s="2272"/>
      <c r="AZ28" s="2272"/>
      <c r="BA28" s="1267"/>
      <c r="BI28" s="1179">
        <v>14</v>
      </c>
    </row>
    <row customHeight="1" ht="14.699999999999998">
      <c r="Q29" s="315"/>
      <c r="R29" s="400"/>
      <c r="S29" s="2273" t="str">
        <f>IF(org=0,"Не определено",org)</f>
        <v>АО "ДГК"</v>
      </c>
      <c r="T29" s="2273"/>
      <c r="U29" s="2273"/>
      <c r="V29" s="2273"/>
      <c r="W29" s="2273"/>
      <c r="X29" s="2273"/>
      <c r="Y29" s="2273"/>
      <c r="Z29" s="2273"/>
      <c r="AA29" s="2273"/>
      <c r="AB29" s="2273"/>
      <c r="AC29" s="2273"/>
      <c r="AD29" s="2273"/>
      <c r="AE29" s="2273"/>
      <c r="AF29" s="2273"/>
      <c r="AG29" s="2273"/>
      <c r="AH29" s="2273"/>
      <c r="AI29" s="2273"/>
      <c r="AJ29" s="2273"/>
      <c r="AK29" s="2273"/>
      <c r="AL29" s="2273"/>
      <c r="AM29" s="2273"/>
      <c r="AN29" s="2273"/>
      <c r="AO29" s="2273"/>
      <c r="AP29" s="2273"/>
      <c r="AQ29" s="2273"/>
      <c r="AR29" s="2273"/>
      <c r="AS29" s="2273"/>
      <c r="AT29" s="2273"/>
      <c r="AU29" s="2273"/>
      <c r="AV29" s="2273"/>
      <c r="AW29" s="2273"/>
      <c r="AX29" s="2273"/>
      <c r="AY29" s="2273"/>
      <c r="AZ29" s="2273"/>
      <c r="BA29" s="1267"/>
      <c r="BI29" s="1179">
        <v>14</v>
      </c>
    </row>
    <row customHeight="1" ht="14.25" hidden="1">
      <c r="Q30" s="315"/>
      <c r="R30" s="400"/>
      <c r="S30" s="1299"/>
      <c r="T30" s="387"/>
      <c r="U30" s="387"/>
      <c r="V30" s="346"/>
      <c r="W30" s="346"/>
      <c r="X30" s="346"/>
      <c r="Y30" s="346"/>
      <c r="Z30" s="346"/>
      <c r="AA30" s="346"/>
      <c r="AB30" s="346"/>
      <c r="AC30" s="346"/>
      <c r="AD30" s="346"/>
      <c r="AE30" s="346"/>
      <c r="AF30" s="346"/>
      <c r="AG30" s="346"/>
      <c r="AH30" s="346"/>
      <c r="AI30" s="346"/>
      <c r="AJ30" s="346"/>
      <c r="AK30" s="346"/>
      <c r="AL30" s="346"/>
      <c r="AM30" s="346"/>
      <c r="AN30" s="346"/>
      <c r="AO30" s="346"/>
      <c r="AP30" s="346"/>
      <c r="AQ30" s="346"/>
      <c r="AR30" s="346"/>
      <c r="AS30" s="346"/>
      <c r="AT30" s="346"/>
      <c r="AU30" s="346"/>
      <c r="AV30" s="346"/>
      <c r="AW30" s="346"/>
      <c r="AX30" s="346"/>
      <c r="AY30" s="346"/>
      <c r="AZ30" s="346"/>
      <c r="BA30" s="346"/>
      <c r="BB30" s="533"/>
      <c r="BI30" s="1179">
        <v>0</v>
      </c>
    </row>
    <row s="1877" customFormat="1" customHeight="1" ht="25.5" hidden="1">
      <c r="A31" s="1392"/>
      <c r="B31" s="1392"/>
      <c r="C31" s="1392"/>
      <c r="D31" s="1392"/>
      <c r="E31" s="1392"/>
      <c r="F31" s="1392"/>
      <c r="G31" s="1392"/>
      <c r="H31" s="1392"/>
      <c r="I31" s="1392"/>
      <c r="J31" s="1392"/>
      <c r="K31" s="1392"/>
      <c r="L31" s="1393"/>
      <c r="M31" s="1392"/>
      <c r="N31" s="1392"/>
      <c r="O31" s="1392"/>
      <c r="P31" s="1392"/>
      <c r="Q31" s="1392"/>
      <c r="S31" s="2274" t="s">
        <v>42</v>
      </c>
      <c r="T31" s="2274"/>
      <c r="U31" s="1396"/>
      <c r="V31" s="2275" t="str">
        <f>IF(TITLE_NAME_OR_PR_CHANGE="",IF(TITLE_NAME_OR_PR="","",TITLE_NAME_OR_PR),TITLE_NAME_OR_PR_CHANGE)</f>
        <v/>
      </c>
      <c r="W31" s="2275"/>
      <c r="X31" s="2275"/>
      <c r="Y31" s="2275"/>
      <c r="Z31" s="2275"/>
      <c r="AA31" s="2275"/>
      <c r="AB31" s="2275"/>
      <c r="AC31" s="350"/>
      <c r="AD31" s="2275" t="str">
        <f>IF(TITLE_NAME_OR_PR_CHANGE="",IF(TITLE_NAME_OR_PR="","",TITLE_NAME_OR_PR),TITLE_NAME_OR_PR_CHANGE)</f>
        <v/>
      </c>
      <c r="AE31" s="2275"/>
      <c r="AF31" s="2275"/>
      <c r="AG31" s="2275"/>
      <c r="AH31" s="2275"/>
      <c r="AI31" s="2275"/>
      <c r="AJ31" s="2275"/>
      <c r="AK31" s="2275"/>
      <c r="AL31" s="2275"/>
      <c r="AM31" s="2275"/>
      <c r="AN31" s="2275"/>
      <c r="AO31" s="2275"/>
      <c r="AP31" s="2275"/>
      <c r="AQ31" s="2275"/>
      <c r="AR31" s="2275"/>
      <c r="AS31" s="2275"/>
      <c r="AT31" s="2275"/>
      <c r="AU31" s="2275"/>
      <c r="AV31" s="2275"/>
      <c r="AW31" s="2275"/>
      <c r="AX31" s="2275"/>
      <c r="AY31" s="2275"/>
      <c r="AZ31" s="2275"/>
      <c r="BA31" s="350"/>
      <c r="BB31" s="350"/>
      <c r="BC31" s="304"/>
      <c r="BD31" s="392"/>
      <c r="BE31" s="392"/>
      <c r="BF31" s="392"/>
      <c r="BG31" s="392"/>
      <c r="BH31" s="392"/>
      <c r="BI31" s="442">
        <v>0</v>
      </c>
    </row>
    <row s="1877" customFormat="1" customHeight="1" ht="18.75" hidden="1">
      <c r="A32" s="1392"/>
      <c r="B32" s="1392"/>
      <c r="C32" s="1392"/>
      <c r="D32" s="1392"/>
      <c r="E32" s="1392"/>
      <c r="F32" s="1392"/>
      <c r="G32" s="1392"/>
      <c r="H32" s="1392"/>
      <c r="I32" s="1392"/>
      <c r="J32" s="1392"/>
      <c r="K32" s="1392"/>
      <c r="L32" s="1393"/>
      <c r="M32" s="1392"/>
      <c r="N32" s="1392"/>
      <c r="O32" s="1392"/>
      <c r="P32" s="1392"/>
      <c r="Q32" s="1392"/>
      <c r="S32" s="2274" t="s">
        <v>507</v>
      </c>
      <c r="T32" s="2274"/>
      <c r="U32" s="1396"/>
      <c r="V32" s="2288" t="str">
        <f>IF(TITLE_DATE_PR_CHANGE="",IF(TITLE_DATE_PR="","",TITLE_DATE_PR),TITLE_DATE_PR_CHANGE)</f>
        <v/>
      </c>
      <c r="W32" s="2288"/>
      <c r="X32" s="2288"/>
      <c r="Y32" s="2288"/>
      <c r="Z32" s="2288"/>
      <c r="AA32" s="2288"/>
      <c r="AB32" s="2288"/>
      <c r="AC32" s="350"/>
      <c r="AD32" s="2288" t="str">
        <f>IF(TITLE_DATE_PR_CHANGE="",IF(TITLE_DATE_PR="","",TITLE_DATE_PR),TITLE_DATE_PR_CHANGE)</f>
        <v/>
      </c>
      <c r="AE32" s="2288"/>
      <c r="AF32" s="2288"/>
      <c r="AG32" s="2288"/>
      <c r="AH32" s="2288"/>
      <c r="AI32" s="2288"/>
      <c r="AJ32" s="2288"/>
      <c r="AK32" s="2288"/>
      <c r="AL32" s="2288"/>
      <c r="AM32" s="2288"/>
      <c r="AN32" s="2288"/>
      <c r="AO32" s="2288"/>
      <c r="AP32" s="2288"/>
      <c r="AQ32" s="2288"/>
      <c r="AR32" s="2288"/>
      <c r="AS32" s="2288"/>
      <c r="AT32" s="2288"/>
      <c r="AU32" s="2288"/>
      <c r="AV32" s="2288"/>
      <c r="AW32" s="2288"/>
      <c r="AX32" s="2288"/>
      <c r="AY32" s="2288"/>
      <c r="AZ32" s="2288"/>
      <c r="BA32" s="350"/>
      <c r="BB32" s="350"/>
      <c r="BC32" s="304"/>
      <c r="BD32" s="392"/>
      <c r="BE32" s="392"/>
      <c r="BF32" s="392"/>
      <c r="BG32" s="392"/>
      <c r="BH32" s="392"/>
      <c r="BI32" s="442">
        <v>0</v>
      </c>
    </row>
    <row s="1877" customFormat="1" customHeight="1" ht="18.75" hidden="1">
      <c r="A33" s="1392"/>
      <c r="B33" s="1392"/>
      <c r="C33" s="1392"/>
      <c r="D33" s="1392"/>
      <c r="E33" s="1392"/>
      <c r="F33" s="1392"/>
      <c r="G33" s="1392"/>
      <c r="H33" s="1392"/>
      <c r="I33" s="1392"/>
      <c r="J33" s="1392"/>
      <c r="K33" s="1392"/>
      <c r="L33" s="1393"/>
      <c r="M33" s="1392"/>
      <c r="N33" s="1392"/>
      <c r="O33" s="1392"/>
      <c r="P33" s="1392"/>
      <c r="Q33" s="1392"/>
      <c r="S33" s="2274" t="s">
        <v>508</v>
      </c>
      <c r="T33" s="2274"/>
      <c r="U33" s="1396"/>
      <c r="V33" s="2275" t="str">
        <f>IF(TITLE_NUMBER_PR_CHANGE="",IF(TITLE_NUMBER_PR="","",TITLE_NUMBER_PR),TITLE_NUMBER_PR_CHANGE)</f>
        <v/>
      </c>
      <c r="W33" s="2275"/>
      <c r="X33" s="2275"/>
      <c r="Y33" s="2275"/>
      <c r="Z33" s="2275"/>
      <c r="AA33" s="2275"/>
      <c r="AB33" s="2275"/>
      <c r="AC33" s="350"/>
      <c r="AD33" s="2275" t="str">
        <f>IF(TITLE_NUMBER_PR_CHANGE="",IF(TITLE_NUMBER_PR="","",TITLE_NUMBER_PR),TITLE_NUMBER_PR_CHANGE)</f>
        <v/>
      </c>
      <c r="AE33" s="2275"/>
      <c r="AF33" s="2275"/>
      <c r="AG33" s="2275"/>
      <c r="AH33" s="2275"/>
      <c r="AI33" s="2275"/>
      <c r="AJ33" s="2275"/>
      <c r="AK33" s="2275"/>
      <c r="AL33" s="2275"/>
      <c r="AM33" s="2275"/>
      <c r="AN33" s="2275"/>
      <c r="AO33" s="2275"/>
      <c r="AP33" s="2275"/>
      <c r="AQ33" s="2275"/>
      <c r="AR33" s="2275"/>
      <c r="AS33" s="2275"/>
      <c r="AT33" s="2275"/>
      <c r="AU33" s="2275"/>
      <c r="AV33" s="2275"/>
      <c r="AW33" s="2275"/>
      <c r="AX33" s="2275"/>
      <c r="AY33" s="2275"/>
      <c r="AZ33" s="2275"/>
      <c r="BA33" s="350"/>
      <c r="BB33" s="350"/>
      <c r="BC33" s="304"/>
      <c r="BD33" s="392"/>
      <c r="BE33" s="392"/>
      <c r="BF33" s="392"/>
      <c r="BG33" s="392"/>
      <c r="BH33" s="392"/>
      <c r="BI33" s="442">
        <v>0</v>
      </c>
    </row>
    <row s="1877" customFormat="1" customHeight="1" ht="18.75" hidden="1">
      <c r="A34" s="1392"/>
      <c r="B34" s="1392"/>
      <c r="C34" s="1392"/>
      <c r="D34" s="1392"/>
      <c r="E34" s="1392"/>
      <c r="F34" s="1392"/>
      <c r="G34" s="1392"/>
      <c r="H34" s="1392"/>
      <c r="I34" s="1392"/>
      <c r="J34" s="1392"/>
      <c r="K34" s="1392"/>
      <c r="L34" s="1393"/>
      <c r="M34" s="1392"/>
      <c r="N34" s="1392"/>
      <c r="O34" s="1392"/>
      <c r="P34" s="1392"/>
      <c r="Q34" s="1392"/>
      <c r="S34" s="2274" t="s">
        <v>43</v>
      </c>
      <c r="T34" s="2274"/>
      <c r="U34" s="1396"/>
      <c r="V34" s="2275" t="str">
        <f>IF(TITLE_IST_PUB_CHANGE="",IF(TITLE_IST_PUB="","",TITLE_IST_PUB),TITLE_IST_PUB_CHANGE)</f>
        <v/>
      </c>
      <c r="W34" s="2275"/>
      <c r="X34" s="2275"/>
      <c r="Y34" s="2275"/>
      <c r="Z34" s="2275"/>
      <c r="AA34" s="2275"/>
      <c r="AB34" s="2275"/>
      <c r="AC34" s="350"/>
      <c r="AD34" s="2275" t="str">
        <f>IF(TITLE_IST_PUB_CHANGE="",IF(TITLE_IST_PUB="","",TITLE_IST_PUB),TITLE_IST_PUB_CHANGE)</f>
        <v/>
      </c>
      <c r="AE34" s="2275"/>
      <c r="AF34" s="2275"/>
      <c r="AG34" s="2275"/>
      <c r="AH34" s="2275"/>
      <c r="AI34" s="2275"/>
      <c r="AJ34" s="2275"/>
      <c r="AK34" s="2275"/>
      <c r="AL34" s="2275"/>
      <c r="AM34" s="2275"/>
      <c r="AN34" s="2275"/>
      <c r="AO34" s="2275"/>
      <c r="AP34" s="2275"/>
      <c r="AQ34" s="2275"/>
      <c r="AR34" s="2275"/>
      <c r="AS34" s="2275"/>
      <c r="AT34" s="2275"/>
      <c r="AU34" s="2275"/>
      <c r="AV34" s="2275"/>
      <c r="AW34" s="2275"/>
      <c r="AX34" s="2275"/>
      <c r="AY34" s="2275"/>
      <c r="AZ34" s="2275"/>
      <c r="BA34" s="350"/>
      <c r="BB34" s="350"/>
      <c r="BC34" s="304"/>
      <c r="BD34" s="392"/>
      <c r="BE34" s="392"/>
      <c r="BF34" s="392"/>
      <c r="BG34" s="392"/>
      <c r="BH34" s="392"/>
      <c r="BI34" s="442">
        <v>0</v>
      </c>
    </row>
    <row customHeight="1" ht="14.25" hidden="1">
      <c r="Q35" s="315"/>
      <c r="R35" s="400"/>
      <c r="S35" s="1299"/>
      <c r="T35" s="387"/>
      <c r="U35" s="387"/>
      <c r="V35" s="346"/>
      <c r="W35" s="346"/>
      <c r="X35" s="346"/>
      <c r="Y35" s="346"/>
      <c r="Z35" s="346"/>
      <c r="AA35" s="346"/>
      <c r="AB35" s="346"/>
      <c r="AC35" s="346"/>
      <c r="AD35" s="346"/>
      <c r="AE35" s="346"/>
      <c r="AF35" s="346"/>
      <c r="AG35" s="346"/>
      <c r="AH35" s="346"/>
      <c r="AI35" s="346"/>
      <c r="AJ35" s="346"/>
      <c r="AK35" s="346"/>
      <c r="AL35" s="346"/>
      <c r="AM35" s="346"/>
      <c r="AN35" s="346"/>
      <c r="AO35" s="346"/>
      <c r="AP35" s="346"/>
      <c r="AQ35" s="346"/>
      <c r="AR35" s="346"/>
      <c r="AS35" s="346"/>
      <c r="AT35" s="346"/>
      <c r="AU35" s="346"/>
      <c r="AV35" s="346"/>
      <c r="AW35" s="346"/>
      <c r="AX35" s="346"/>
      <c r="AY35" s="346"/>
      <c r="AZ35" s="346"/>
      <c r="BA35" s="346"/>
      <c r="BB35" s="533"/>
      <c r="BI35" s="1179">
        <v>0</v>
      </c>
    </row>
    <row s="1877" customFormat="1" customHeight="1" ht="18.75" hidden="1">
      <c r="A36" s="1392"/>
      <c r="B36" s="1392"/>
      <c r="C36" s="1392"/>
      <c r="D36" s="1392"/>
      <c r="E36" s="1392"/>
      <c r="F36" s="1392"/>
      <c r="G36" s="1392"/>
      <c r="H36" s="1392"/>
      <c r="I36" s="1392"/>
      <c r="J36" s="1392"/>
      <c r="K36" s="1392"/>
      <c r="L36" s="1393"/>
      <c r="M36" s="1392"/>
      <c r="N36" s="1392"/>
      <c r="O36" s="1392"/>
      <c r="P36" s="1392"/>
      <c r="Q36" s="1392"/>
      <c r="S36" s="2274" t="s">
        <v>507</v>
      </c>
      <c r="T36" s="2274"/>
      <c r="U36" s="1396"/>
      <c r="V36" s="2288" t="str">
        <f>IF(TITLE_DATE_PR_CHANGE="",IF(TITLE_DATE_PR="","",TITLE_DATE_PR),TITLE_DATE_PR_CHANGE)</f>
        <v/>
      </c>
      <c r="W36" s="2288"/>
      <c r="X36" s="2288"/>
      <c r="Y36" s="2288"/>
      <c r="Z36" s="2288"/>
      <c r="AA36" s="2288"/>
      <c r="AB36" s="2288"/>
      <c r="AC36" s="350"/>
      <c r="AD36" s="2288" t="str">
        <f>IF(TITLE_DATE_PR_CHANGE="",IF(TITLE_DATE_PR="","",TITLE_DATE_PR),TITLE_DATE_PR_CHANGE)</f>
        <v/>
      </c>
      <c r="AE36" s="2288"/>
      <c r="AF36" s="2288"/>
      <c r="AG36" s="2288"/>
      <c r="AH36" s="2288"/>
      <c r="AI36" s="2288"/>
      <c r="AJ36" s="2288"/>
      <c r="AK36" s="2288"/>
      <c r="AL36" s="2288"/>
      <c r="AM36" s="2288"/>
      <c r="AN36" s="2288"/>
      <c r="AO36" s="2288"/>
      <c r="AP36" s="2288"/>
      <c r="AQ36" s="2288"/>
      <c r="AR36" s="2288"/>
      <c r="AS36" s="2288"/>
      <c r="AT36" s="2288"/>
      <c r="AU36" s="2288"/>
      <c r="AV36" s="2288"/>
      <c r="AW36" s="2288"/>
      <c r="AX36" s="2288"/>
      <c r="AY36" s="2288"/>
      <c r="AZ36" s="2288"/>
      <c r="BA36" s="350"/>
      <c r="BB36" s="350"/>
      <c r="BC36" s="304"/>
      <c r="BD36" s="392"/>
      <c r="BE36" s="392"/>
      <c r="BF36" s="392"/>
      <c r="BG36" s="392"/>
      <c r="BH36" s="392"/>
      <c r="BI36" s="442">
        <v>0</v>
      </c>
    </row>
    <row s="1877" customFormat="1" customHeight="1" ht="18.75" hidden="1">
      <c r="A37" s="1392"/>
      <c r="B37" s="1392"/>
      <c r="C37" s="1392"/>
      <c r="D37" s="1392"/>
      <c r="E37" s="1392"/>
      <c r="F37" s="1392"/>
      <c r="G37" s="1392"/>
      <c r="H37" s="1392"/>
      <c r="I37" s="1392"/>
      <c r="J37" s="1392"/>
      <c r="K37" s="1392"/>
      <c r="L37" s="1393"/>
      <c r="M37" s="1392"/>
      <c r="N37" s="1392"/>
      <c r="O37" s="1392"/>
      <c r="P37" s="1392"/>
      <c r="Q37" s="1392"/>
      <c r="S37" s="2274" t="s">
        <v>508</v>
      </c>
      <c r="T37" s="2274"/>
      <c r="U37" s="1396"/>
      <c r="V37" s="2275" t="str">
        <f>IF(TITLE_NUMBER_PR_CHANGE="",IF(TITLE_NUMBER_PR="","",TITLE_NUMBER_PR),TITLE_NUMBER_PR_CHANGE)</f>
        <v/>
      </c>
      <c r="W37" s="2275"/>
      <c r="X37" s="2275"/>
      <c r="Y37" s="2275"/>
      <c r="Z37" s="2275"/>
      <c r="AA37" s="2275"/>
      <c r="AB37" s="2275"/>
      <c r="AC37" s="350"/>
      <c r="AD37" s="2275" t="str">
        <f>IF(TITLE_NUMBER_PR_CHANGE="",IF(TITLE_NUMBER_PR="","",TITLE_NUMBER_PR),TITLE_NUMBER_PR_CHANGE)</f>
        <v/>
      </c>
      <c r="AE37" s="2275"/>
      <c r="AF37" s="2275"/>
      <c r="AG37" s="2275"/>
      <c r="AH37" s="2275"/>
      <c r="AI37" s="2275"/>
      <c r="AJ37" s="2275"/>
      <c r="AK37" s="2275"/>
      <c r="AL37" s="2275"/>
      <c r="AM37" s="2275"/>
      <c r="AN37" s="2275"/>
      <c r="AO37" s="2275"/>
      <c r="AP37" s="2275"/>
      <c r="AQ37" s="2275"/>
      <c r="AR37" s="2275"/>
      <c r="AS37" s="2275"/>
      <c r="AT37" s="2275"/>
      <c r="AU37" s="2275"/>
      <c r="AV37" s="2275"/>
      <c r="AW37" s="2275"/>
      <c r="AX37" s="2275"/>
      <c r="AY37" s="2275"/>
      <c r="AZ37" s="2275"/>
      <c r="BA37" s="350"/>
      <c r="BB37" s="350"/>
      <c r="BC37" s="304"/>
      <c r="BD37" s="392"/>
      <c r="BE37" s="392"/>
      <c r="BF37" s="392"/>
      <c r="BG37" s="392"/>
      <c r="BH37" s="392"/>
      <c r="BI37" s="442">
        <v>0</v>
      </c>
    </row>
    <row s="1877" customFormat="1" customHeight="1" ht="0">
      <c r="A38" s="1392"/>
      <c r="B38" s="1392"/>
      <c r="C38" s="1392"/>
      <c r="D38" s="1392"/>
      <c r="E38" s="1392"/>
      <c r="F38" s="1392"/>
      <c r="G38" s="1392"/>
      <c r="H38" s="1392"/>
      <c r="I38" s="1392"/>
      <c r="J38" s="1392"/>
      <c r="K38" s="1392"/>
      <c r="L38" s="1393"/>
      <c r="M38" s="1392"/>
      <c r="N38" s="1392"/>
      <c r="O38" s="1392"/>
      <c r="P38" s="1392"/>
      <c r="Q38" s="1392"/>
      <c r="S38" s="347"/>
      <c r="T38" s="347"/>
      <c r="U38" s="1512"/>
      <c r="V38" s="350"/>
      <c r="W38" s="350"/>
      <c r="X38" s="350"/>
      <c r="Y38" s="350"/>
      <c r="Z38" s="350"/>
      <c r="AA38" s="350"/>
      <c r="AB38" s="350"/>
      <c r="AC38" s="302" t="s">
        <v>511</v>
      </c>
      <c r="AD38" s="350"/>
      <c r="AE38" s="350"/>
      <c r="AF38" s="350"/>
      <c r="AG38" s="350"/>
      <c r="AH38" s="350"/>
      <c r="AI38" s="350"/>
      <c r="AJ38" s="350"/>
      <c r="AK38" s="350"/>
      <c r="AL38" s="350"/>
      <c r="AM38" s="350"/>
      <c r="AN38" s="350"/>
      <c r="AO38" s="350"/>
      <c r="AP38" s="350"/>
      <c r="AQ38" s="350"/>
      <c r="AR38" s="350"/>
      <c r="AS38" s="350"/>
      <c r="AT38" s="350"/>
      <c r="AU38" s="350"/>
      <c r="AV38" s="350"/>
      <c r="AW38" s="350"/>
      <c r="AX38" s="350"/>
      <c r="AY38" s="350"/>
      <c r="AZ38" s="350"/>
      <c r="BA38" s="302" t="s">
        <v>511</v>
      </c>
      <c r="BD38" s="392"/>
      <c r="BE38" s="392"/>
      <c r="BF38" s="392"/>
      <c r="BG38" s="392"/>
      <c r="BH38" s="392"/>
      <c r="BI38" s="442">
        <v>0</v>
      </c>
    </row>
    <row customHeight="1" ht="14.699999999999998">
      <c r="Q39" s="315"/>
      <c r="R39" s="400"/>
      <c r="S39" s="1299"/>
      <c r="T39" s="387"/>
      <c r="U39" s="1268"/>
      <c r="V39" s="2276"/>
      <c r="W39" s="2276"/>
      <c r="X39" s="2276"/>
      <c r="Y39" s="2276"/>
      <c r="Z39" s="2276"/>
      <c r="AA39" s="2276"/>
      <c r="AB39" s="2276"/>
      <c r="AC39" s="2276"/>
      <c r="AD39" s="2276"/>
      <c r="AE39" s="2276"/>
      <c r="AF39" s="2276"/>
      <c r="AG39" s="2276"/>
      <c r="AH39" s="2276"/>
      <c r="AI39" s="2276"/>
      <c r="AJ39" s="2276"/>
      <c r="AK39" s="2276"/>
      <c r="AL39" s="2276"/>
      <c r="AM39" s="2276"/>
      <c r="AN39" s="2276"/>
      <c r="AO39" s="2276"/>
      <c r="AP39" s="2276"/>
      <c r="AQ39" s="2276"/>
      <c r="AR39" s="2276"/>
      <c r="AS39" s="2276"/>
      <c r="AT39" s="2276"/>
      <c r="AU39" s="2276"/>
      <c r="AV39" s="2276"/>
      <c r="AW39" s="2276"/>
      <c r="AX39" s="2276"/>
      <c r="AY39" s="2276"/>
      <c r="AZ39" s="2276"/>
      <c r="BA39" s="2276"/>
      <c r="BI39" s="1179">
        <v>14</v>
      </c>
    </row>
    <row customHeight="1" ht="14.699999999999998">
      <c r="Q40" s="315"/>
      <c r="R40" s="400"/>
      <c r="S40" s="2151" t="s">
        <v>384</v>
      </c>
      <c r="T40" s="2151"/>
      <c r="U40" s="2151"/>
      <c r="V40" s="2151"/>
      <c r="W40" s="2151"/>
      <c r="X40" s="2151"/>
      <c r="Y40" s="2151"/>
      <c r="Z40" s="2151"/>
      <c r="AA40" s="2151"/>
      <c r="AB40" s="2151"/>
      <c r="AC40" s="2151"/>
      <c r="AD40" s="2151"/>
      <c r="AE40" s="2151"/>
      <c r="AF40" s="2151"/>
      <c r="AG40" s="2151"/>
      <c r="AH40" s="2151"/>
      <c r="AI40" s="2151"/>
      <c r="AJ40" s="2151"/>
      <c r="AK40" s="2151"/>
      <c r="AL40" s="2151"/>
      <c r="AM40" s="2151"/>
      <c r="AN40" s="2151"/>
      <c r="AO40" s="2151"/>
      <c r="AP40" s="2151"/>
      <c r="AQ40" s="2151"/>
      <c r="AR40" s="2151"/>
      <c r="AS40" s="2151"/>
      <c r="AT40" s="2151"/>
      <c r="AU40" s="2151"/>
      <c r="AV40" s="2151"/>
      <c r="AW40" s="2151"/>
      <c r="AX40" s="2151"/>
      <c r="AY40" s="2151"/>
      <c r="AZ40" s="2151"/>
      <c r="BA40" s="2151"/>
      <c r="BB40" s="2151"/>
      <c r="BC40" s="2151" t="s">
        <v>385</v>
      </c>
      <c r="BI40" s="1179">
        <v>14</v>
      </c>
    </row>
    <row customHeight="1" ht="14.699999999999998">
      <c r="Q41" s="315"/>
      <c r="R41" s="400"/>
      <c r="S41" s="2297" t="s">
        <v>88</v>
      </c>
      <c r="T41" s="2233" t="s">
        <v>591</v>
      </c>
      <c r="U41" s="325"/>
      <c r="V41" s="2298" t="s">
        <v>513</v>
      </c>
      <c r="W41" s="2299"/>
      <c r="X41" s="2299"/>
      <c r="Y41" s="2299"/>
      <c r="Z41" s="2299"/>
      <c r="AA41" s="2299"/>
      <c r="AB41" s="2300"/>
      <c r="AC41" s="2301" t="s">
        <v>514</v>
      </c>
      <c r="AD41" s="2352" t="s">
        <v>592</v>
      </c>
      <c r="AE41" s="2315"/>
      <c r="AF41" s="2315"/>
      <c r="AG41" s="2353"/>
      <c r="AH41" s="2352" t="s">
        <v>593</v>
      </c>
      <c r="AI41" s="2315"/>
      <c r="AJ41" s="2315"/>
      <c r="AK41" s="2353"/>
      <c r="AL41" s="2352" t="s">
        <v>594</v>
      </c>
      <c r="AM41" s="2315"/>
      <c r="AN41" s="2315"/>
      <c r="AO41" s="2353"/>
      <c r="AP41" s="2352" t="s">
        <v>595</v>
      </c>
      <c r="AQ41" s="2315"/>
      <c r="AR41" s="2315"/>
      <c r="AS41" s="2353"/>
      <c r="AT41" s="2298" t="s">
        <v>513</v>
      </c>
      <c r="AU41" s="2299"/>
      <c r="AV41" s="2299"/>
      <c r="AW41" s="2299"/>
      <c r="AX41" s="2299"/>
      <c r="AY41" s="2299"/>
      <c r="AZ41" s="2300"/>
      <c r="BA41" s="2301" t="s">
        <v>514</v>
      </c>
      <c r="BB41" s="2304" t="s">
        <v>516</v>
      </c>
      <c r="BC41" s="2151"/>
      <c r="BI41" s="1179">
        <v>14</v>
      </c>
    </row>
    <row customHeight="1" ht="35.699999999999996">
      <c r="Q42" s="315"/>
      <c r="R42" s="400"/>
      <c r="S42" s="2297"/>
      <c r="T42" s="2233"/>
      <c r="U42" s="1055"/>
      <c r="V42" s="2216" t="s">
        <v>596</v>
      </c>
      <c r="W42" s="2217"/>
      <c r="X42" s="2216" t="s">
        <v>597</v>
      </c>
      <c r="Y42" s="2217"/>
      <c r="Z42" s="2318" t="s">
        <v>598</v>
      </c>
      <c r="AA42" s="2337"/>
      <c r="AB42" s="2338"/>
      <c r="AC42" s="2302"/>
      <c r="AD42" s="2354"/>
      <c r="AE42" s="2355"/>
      <c r="AF42" s="2355"/>
      <c r="AG42" s="2356"/>
      <c r="AH42" s="2354"/>
      <c r="AI42" s="2355"/>
      <c r="AJ42" s="2355"/>
      <c r="AK42" s="2356"/>
      <c r="AL42" s="2354"/>
      <c r="AM42" s="2355"/>
      <c r="AN42" s="2355"/>
      <c r="AO42" s="2356"/>
      <c r="AP42" s="2354"/>
      <c r="AQ42" s="2355"/>
      <c r="AR42" s="2355"/>
      <c r="AS42" s="2356"/>
      <c r="AT42" s="2216" t="s">
        <v>596</v>
      </c>
      <c r="AU42" s="2217"/>
      <c r="AV42" s="2216" t="s">
        <v>597</v>
      </c>
      <c r="AW42" s="2217"/>
      <c r="AX42" s="2318" t="s">
        <v>598</v>
      </c>
      <c r="AY42" s="2337"/>
      <c r="AZ42" s="2338"/>
      <c r="BA42" s="2302"/>
      <c r="BB42" s="2305"/>
      <c r="BC42" s="2151"/>
      <c r="BI42" s="1179">
        <v>34</v>
      </c>
    </row>
    <row customHeight="1" ht="14.699999999999998">
      <c r="Q43" s="315"/>
      <c r="R43" s="400"/>
      <c r="S43" s="2297"/>
      <c r="T43" s="2233"/>
      <c r="U43" s="1055"/>
      <c r="V43" s="2224"/>
      <c r="W43" s="2225"/>
      <c r="X43" s="2224"/>
      <c r="Y43" s="2225"/>
      <c r="Z43" s="2319"/>
      <c r="AA43" s="2339"/>
      <c r="AB43" s="2340"/>
      <c r="AC43" s="2302"/>
      <c r="AD43" s="2354"/>
      <c r="AE43" s="2355"/>
      <c r="AF43" s="2355"/>
      <c r="AG43" s="2356"/>
      <c r="AH43" s="2354"/>
      <c r="AI43" s="2355"/>
      <c r="AJ43" s="2355"/>
      <c r="AK43" s="2356"/>
      <c r="AL43" s="2354"/>
      <c r="AM43" s="2355"/>
      <c r="AN43" s="2355"/>
      <c r="AO43" s="2356"/>
      <c r="AP43" s="2354"/>
      <c r="AQ43" s="2355"/>
      <c r="AR43" s="2355"/>
      <c r="AS43" s="2356"/>
      <c r="AT43" s="2224"/>
      <c r="AU43" s="2225"/>
      <c r="AV43" s="2224"/>
      <c r="AW43" s="2225"/>
      <c r="AX43" s="2319"/>
      <c r="AY43" s="2339"/>
      <c r="AZ43" s="2340"/>
      <c r="BA43" s="2302"/>
      <c r="BB43" s="2305"/>
      <c r="BC43" s="2151"/>
      <c r="BI43" s="1179">
        <v>14</v>
      </c>
    </row>
    <row customHeight="1" ht="14.699999999999998">
      <c r="A44" s="1394"/>
      <c r="B44" s="1394" t="s">
        <v>223</v>
      </c>
      <c r="C44" s="1394" t="s">
        <v>224</v>
      </c>
      <c r="D44" s="1394" t="s">
        <v>225</v>
      </c>
      <c r="E44" s="1388" t="s">
        <v>521</v>
      </c>
      <c r="F44" s="1388" t="s">
        <v>522</v>
      </c>
      <c r="G44" s="1388" t="s">
        <v>523</v>
      </c>
      <c r="H44" s="1388" t="s">
        <v>524</v>
      </c>
      <c r="I44" s="1388" t="s">
        <v>525</v>
      </c>
      <c r="J44" s="1388" t="s">
        <v>526</v>
      </c>
      <c r="K44" s="1388" t="s">
        <v>527</v>
      </c>
      <c r="L44" s="1388" t="s">
        <v>502</v>
      </c>
      <c r="Q44" s="315"/>
      <c r="R44" s="400"/>
      <c r="S44" s="2297"/>
      <c r="T44" s="2233"/>
      <c r="U44" s="326"/>
      <c r="V44" s="1503" t="s">
        <v>562</v>
      </c>
      <c r="W44" s="1503" t="s">
        <v>563</v>
      </c>
      <c r="X44" s="1503" t="s">
        <v>562</v>
      </c>
      <c r="Y44" s="1503" t="s">
        <v>563</v>
      </c>
      <c r="Z44" s="1513" t="s">
        <v>530</v>
      </c>
      <c r="AA44" s="2294" t="s">
        <v>531</v>
      </c>
      <c r="AB44" s="2295"/>
      <c r="AC44" s="2303"/>
      <c r="AD44" s="2357"/>
      <c r="AE44" s="2358"/>
      <c r="AF44" s="2358"/>
      <c r="AG44" s="2359"/>
      <c r="AH44" s="2357"/>
      <c r="AI44" s="2358"/>
      <c r="AJ44" s="2358"/>
      <c r="AK44" s="2359"/>
      <c r="AL44" s="2357"/>
      <c r="AM44" s="2358"/>
      <c r="AN44" s="2358"/>
      <c r="AO44" s="2359"/>
      <c r="AP44" s="2357"/>
      <c r="AQ44" s="2358"/>
      <c r="AR44" s="2358"/>
      <c r="AS44" s="2359"/>
      <c r="AT44" s="1503" t="s">
        <v>562</v>
      </c>
      <c r="AU44" s="1503" t="s">
        <v>563</v>
      </c>
      <c r="AV44" s="1503" t="s">
        <v>562</v>
      </c>
      <c r="AW44" s="1503" t="s">
        <v>563</v>
      </c>
      <c r="AX44" s="1513" t="s">
        <v>530</v>
      </c>
      <c r="AY44" s="2294" t="s">
        <v>531</v>
      </c>
      <c r="AZ44" s="2295"/>
      <c r="BA44" s="2303"/>
      <c r="BB44" s="2306"/>
      <c r="BC44" s="2151"/>
      <c r="BI44" s="1179">
        <v>14</v>
      </c>
    </row>
    <row s="1665" customFormat="1" customHeight="1" ht="0">
      <c r="A45" s="1394"/>
      <c r="B45" s="1394"/>
      <c r="C45" s="1394"/>
      <c r="D45" s="1394"/>
      <c r="E45" s="1394"/>
      <c r="F45" s="1394"/>
      <c r="G45" s="1394"/>
      <c r="H45" s="1394"/>
      <c r="I45" s="1394"/>
      <c r="J45" s="1394"/>
      <c r="K45" s="1394"/>
      <c r="L45" s="1388"/>
      <c r="M45" s="1386"/>
      <c r="N45" s="1386"/>
      <c r="O45" s="1386"/>
      <c r="P45" s="534"/>
      <c r="Q45" s="1278"/>
      <c r="R45" s="1278">
        <v>1</v>
      </c>
      <c r="S45" s="1301" t="s">
        <v>170</v>
      </c>
      <c r="T45" s="1279" t="s">
        <v>103</v>
      </c>
      <c r="U45" s="1269" t="str">
        <f>OFFSET(U45,0,-1)</f>
        <v>2</v>
      </c>
      <c r="V45" s="1506">
        <f>OFFSET(V45,0,-1)+1</f>
        <v>3</v>
      </c>
      <c r="W45" s="1506">
        <f>OFFSET(W45,0,-1)+1</f>
        <v>4</v>
      </c>
      <c r="X45" s="1506">
        <f>OFFSET(X45,0,-1)+1</f>
        <v>5</v>
      </c>
      <c r="Y45" s="1506">
        <f>OFFSET(Y45,0,-1)+1</f>
        <v>6</v>
      </c>
      <c r="Z45" s="1506">
        <f>OFFSET(Z45,0,-1)+1</f>
        <v>7</v>
      </c>
      <c r="AA45" s="2296">
        <f>OFFSET(AA45,0,-1)+1</f>
        <v>8</v>
      </c>
      <c r="AB45" s="2296"/>
      <c r="AC45" s="1506">
        <f>OFFSET(AC45,0,-2)+1</f>
        <v>9</v>
      </c>
      <c r="AD45" s="1506">
        <f>OFFSET(AD45,0,-1)+1</f>
        <v>10</v>
      </c>
      <c r="AE45" s="1506"/>
      <c r="AF45" s="1506"/>
      <c r="AG45" s="1506"/>
      <c r="AH45" s="1506"/>
      <c r="AI45" s="1506"/>
      <c r="AJ45" s="1506"/>
      <c r="AK45" s="1506"/>
      <c r="AL45" s="1506"/>
      <c r="AM45" s="1506"/>
      <c r="AN45" s="1506"/>
      <c r="AO45" s="1506"/>
      <c r="AP45" s="1506"/>
      <c r="AQ45" s="1506"/>
      <c r="AR45" s="1506"/>
      <c r="AS45" s="1506"/>
      <c r="AT45" s="1506"/>
      <c r="AU45" s="1506"/>
      <c r="AV45" s="1506"/>
      <c r="AW45" s="1506">
        <f>OFFSET(AW45,0,-1)+1</f>
        <v>1</v>
      </c>
      <c r="AX45" s="1506">
        <f>OFFSET(AX45,0,-1)+1</f>
        <v>2</v>
      </c>
      <c r="AY45" s="2296">
        <f>OFFSET(AY45,0,-1)+1</f>
        <v>3</v>
      </c>
      <c r="AZ45" s="2296"/>
      <c r="BA45" s="1506">
        <f>OFFSET(BA45,0,-2)+1</f>
        <v>4</v>
      </c>
      <c r="BB45" s="1269">
        <f>OFFSET(BB45,0,-1)</f>
        <v>4</v>
      </c>
      <c r="BC45" s="1506">
        <f>OFFSET(BC45,0,-1)+1</f>
        <v>5</v>
      </c>
      <c r="BD45" s="535"/>
      <c r="BE45" s="535"/>
      <c r="BF45" s="535"/>
      <c r="BG45" s="535"/>
      <c r="BH45" s="535"/>
      <c r="BI45" s="520">
        <v>0</v>
      </c>
    </row>
    <row customHeight="1" ht="22.049999999999997">
      <c r="A46" s="1387" t="s">
        <v>345</v>
      </c>
      <c r="B46" s="1387"/>
      <c r="C46" s="1387"/>
      <c r="D46" s="1387"/>
      <c r="E46" s="2282">
        <v>1</v>
      </c>
      <c r="F46" s="1387"/>
      <c r="G46" s="1387"/>
      <c r="H46" s="1387"/>
      <c r="I46" s="1387"/>
      <c r="J46" s="1387"/>
      <c r="K46" s="1387"/>
      <c r="L46" s="1388"/>
      <c r="M46" s="1389"/>
      <c r="N46" s="1389"/>
      <c r="O46" s="1389"/>
      <c r="P46" s="1433"/>
      <c r="Q46" s="897"/>
      <c r="R46" s="379"/>
      <c r="S46" s="1517">
        <f>INDEX(PT_DIFFERENTIATION_NUM_NTAR,MATCH(A46,PT_DIFFERENTIATION_NTAR_ID,0))</f>
        <v>0</v>
      </c>
      <c r="T46" s="322" t="s">
        <v>211</v>
      </c>
      <c r="U46" s="324"/>
      <c r="V46" s="2267"/>
      <c r="W46" s="2267"/>
      <c r="X46" s="2267"/>
      <c r="Y46" s="2267"/>
      <c r="Z46" s="2267"/>
      <c r="AA46" s="2267"/>
      <c r="AB46" s="2267"/>
      <c r="AC46" s="2268"/>
      <c r="AD46" s="2266" t="str">
        <f>INDEX(PT_DIFFERENTIATION_NTAR,MATCH(A46,PT_DIFFERENTIATION_NTAR_ID,0))</f>
        <v/>
      </c>
      <c r="AE46" s="2267"/>
      <c r="AF46" s="2267"/>
      <c r="AG46" s="2267"/>
      <c r="AH46" s="2267"/>
      <c r="AI46" s="2267"/>
      <c r="AJ46" s="2267"/>
      <c r="AK46" s="2267"/>
      <c r="AL46" s="2267"/>
      <c r="AM46" s="2267"/>
      <c r="AN46" s="2267"/>
      <c r="AO46" s="2267"/>
      <c r="AP46" s="2267"/>
      <c r="AQ46" s="2267"/>
      <c r="AR46" s="2267"/>
      <c r="AS46" s="2267"/>
      <c r="AT46" s="2267"/>
      <c r="AU46" s="2267"/>
      <c r="AV46" s="2267"/>
      <c r="AW46" s="2267"/>
      <c r="AX46" s="2267"/>
      <c r="AY46" s="2267"/>
      <c r="AZ46" s="2267"/>
      <c r="BA46" s="2267"/>
      <c r="BB46" s="2268"/>
      <c r="BC46" s="12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24"/>
      <c r="BF46" s="524" t="str">
        <f>IF(T46="","",T46)</f>
        <v>Наименование тарифа</v>
      </c>
      <c r="BG46" s="524"/>
      <c r="BH46" s="524"/>
      <c r="BI46" s="1179">
        <v>21</v>
      </c>
    </row>
    <row customHeight="1" ht="22.049999999999997">
      <c r="A47" s="1387" t="s">
        <v>345</v>
      </c>
      <c r="B47" s="1387" t="s">
        <v>346</v>
      </c>
      <c r="C47" s="1387"/>
      <c r="D47" s="1387"/>
      <c r="E47" s="2283"/>
      <c r="F47" s="2282">
        <v>1</v>
      </c>
      <c r="G47" s="1387"/>
      <c r="H47" s="1387"/>
      <c r="I47" s="1387"/>
      <c r="J47" s="1387"/>
      <c r="K47" s="1387"/>
      <c r="L47" s="1388"/>
      <c r="M47" s="1389"/>
      <c r="N47" s="1389"/>
      <c r="O47" s="1389"/>
      <c r="P47" s="1434"/>
      <c r="Q47" s="1435"/>
      <c r="R47" s="377"/>
      <c r="S47" s="1517" t="str">
        <f>INDEX(PT_DIFFERENTIATION_NUM_TER,MATCH(B47,PT_DIFFERENTIATION_TER_ID,0))</f>
        <v>.</v>
      </c>
      <c r="T47" s="332" t="s">
        <v>481</v>
      </c>
      <c r="U47" s="324"/>
      <c r="V47" s="2267"/>
      <c r="W47" s="2267"/>
      <c r="X47" s="2267"/>
      <c r="Y47" s="2267"/>
      <c r="Z47" s="2267"/>
      <c r="AA47" s="2267"/>
      <c r="AB47" s="2267"/>
      <c r="AC47" s="2268"/>
      <c r="AD47" s="2266" t="str">
        <f>INDEX(PT_DIFFERENTIATION_TER,MATCH(B47,PT_DIFFERENTIATION_TER_ID,0))</f>
        <v/>
      </c>
      <c r="AE47" s="2267"/>
      <c r="AF47" s="2267"/>
      <c r="AG47" s="2267"/>
      <c r="AH47" s="2267"/>
      <c r="AI47" s="2267"/>
      <c r="AJ47" s="2267"/>
      <c r="AK47" s="2267"/>
      <c r="AL47" s="2267"/>
      <c r="AM47" s="2267"/>
      <c r="AN47" s="2267"/>
      <c r="AO47" s="2267"/>
      <c r="AP47" s="2267"/>
      <c r="AQ47" s="2267"/>
      <c r="AR47" s="2267"/>
      <c r="AS47" s="2267"/>
      <c r="AT47" s="2267"/>
      <c r="AU47" s="2267"/>
      <c r="AV47" s="2267"/>
      <c r="AW47" s="2267"/>
      <c r="AX47" s="2267"/>
      <c r="AY47" s="2267"/>
      <c r="AZ47" s="2267"/>
      <c r="BA47" s="2267"/>
      <c r="BB47" s="2268"/>
      <c r="BC47" s="1282" t="s">
        <v>482</v>
      </c>
      <c r="BE47" s="524"/>
      <c r="BF47" s="524" t="str">
        <f>IF(T47="","",T47)</f>
        <v>Территория действия тарифа</v>
      </c>
      <c r="BG47" s="524"/>
      <c r="BH47" s="524"/>
      <c r="BI47" s="1179">
        <v>21</v>
      </c>
    </row>
    <row customHeight="1" ht="35.699999999999996">
      <c r="A48" s="1387" t="s">
        <v>345</v>
      </c>
      <c r="B48" s="1387" t="s">
        <v>346</v>
      </c>
      <c r="C48" s="1387" t="s">
        <v>347</v>
      </c>
      <c r="D48" s="1387"/>
      <c r="E48" s="2283"/>
      <c r="F48" s="2283"/>
      <c r="G48" s="2282">
        <v>1</v>
      </c>
      <c r="H48" s="1387"/>
      <c r="I48" s="1387"/>
      <c r="J48" s="1387"/>
      <c r="K48" s="1387"/>
      <c r="L48" s="1388"/>
      <c r="M48" s="1389"/>
      <c r="N48" s="1389"/>
      <c r="O48" s="1389"/>
      <c r="P48" s="1436"/>
      <c r="Q48" s="1435"/>
      <c r="R48" s="377"/>
      <c r="S48" s="1517" t="str">
        <f>INDEX(PT_DIFFERENTIATION_NUM_CS,MATCH(C48,PT_DIFFERENTIATION_CS_ID,0))</f>
        <v>..</v>
      </c>
      <c r="T48" s="333" t="s">
        <v>614</v>
      </c>
      <c r="U48" s="324"/>
      <c r="V48" s="2267"/>
      <c r="W48" s="2267"/>
      <c r="X48" s="2267"/>
      <c r="Y48" s="2267"/>
      <c r="Z48" s="2267"/>
      <c r="AA48" s="2267"/>
      <c r="AB48" s="2267"/>
      <c r="AC48" s="2268"/>
      <c r="AD48" s="2266" t="str">
        <f>INDEX(PT_DIFFERENTIATION_CS,MATCH(C48,PT_DIFFERENTIATION_CS_ID,0))</f>
        <v/>
      </c>
      <c r="AE48" s="2267"/>
      <c r="AF48" s="2267"/>
      <c r="AG48" s="2267"/>
      <c r="AH48" s="2267"/>
      <c r="AI48" s="2267"/>
      <c r="AJ48" s="2267"/>
      <c r="AK48" s="2267"/>
      <c r="AL48" s="2267"/>
      <c r="AM48" s="2267"/>
      <c r="AN48" s="2267"/>
      <c r="AO48" s="2267"/>
      <c r="AP48" s="2267"/>
      <c r="AQ48" s="2267"/>
      <c r="AR48" s="2267"/>
      <c r="AS48" s="2267"/>
      <c r="AT48" s="2267"/>
      <c r="AU48" s="2267"/>
      <c r="AV48" s="2267"/>
      <c r="AW48" s="2267"/>
      <c r="AX48" s="2267"/>
      <c r="AY48" s="2267"/>
      <c r="AZ48" s="2267"/>
      <c r="BA48" s="2267"/>
      <c r="BB48" s="2268"/>
      <c r="BC48" s="1282" t="s">
        <v>615</v>
      </c>
      <c r="BE48" s="524"/>
      <c r="BF48" s="524" t="str">
        <f>IF(T48="","",T48)</f>
        <v>Наименование централизованной системы горячего водоснабжения</v>
      </c>
      <c r="BG48" s="524"/>
      <c r="BH48" s="524"/>
      <c r="BI48" s="1179">
        <v>34</v>
      </c>
    </row>
    <row s="1666" customFormat="1" customHeight="1" ht="0">
      <c r="A49" s="1367" t="s">
        <v>345</v>
      </c>
      <c r="B49" s="1367" t="s">
        <v>346</v>
      </c>
      <c r="C49" s="1367" t="s">
        <v>347</v>
      </c>
      <c r="D49" s="1367" t="s">
        <v>628</v>
      </c>
      <c r="E49" s="2283"/>
      <c r="F49" s="2283"/>
      <c r="G49" s="2283"/>
      <c r="H49" s="2282">
        <v>1</v>
      </c>
      <c r="I49" s="1367"/>
      <c r="J49" s="1367"/>
      <c r="K49" s="1367"/>
      <c r="L49" s="1370"/>
      <c r="M49" s="1339"/>
      <c r="N49" s="1339"/>
      <c r="O49" s="1339"/>
      <c r="P49" s="1521"/>
      <c r="Q49" s="1522"/>
      <c r="R49" s="381"/>
      <c r="S49" s="1066"/>
      <c r="T49" s="1523"/>
      <c r="U49" s="1408"/>
      <c r="V49" s="2321"/>
      <c r="W49" s="2321"/>
      <c r="X49" s="2321"/>
      <c r="Y49" s="2321"/>
      <c r="Z49" s="2321"/>
      <c r="AA49" s="2321"/>
      <c r="AB49" s="2321"/>
      <c r="AC49" s="2322"/>
      <c r="AD49" s="2320"/>
      <c r="AE49" s="2321"/>
      <c r="AF49" s="2321"/>
      <c r="AG49" s="2321"/>
      <c r="AH49" s="2321"/>
      <c r="AI49" s="2321"/>
      <c r="AJ49" s="2321"/>
      <c r="AK49" s="2321"/>
      <c r="AL49" s="2321"/>
      <c r="AM49" s="2321"/>
      <c r="AN49" s="2321"/>
      <c r="AO49" s="2321"/>
      <c r="AP49" s="2321"/>
      <c r="AQ49" s="2321"/>
      <c r="AR49" s="2321"/>
      <c r="AS49" s="2321"/>
      <c r="AT49" s="2321"/>
      <c r="AU49" s="2321"/>
      <c r="AV49" s="2321"/>
      <c r="AW49" s="2321"/>
      <c r="AX49" s="2321"/>
      <c r="AY49" s="2321"/>
      <c r="AZ49" s="2321"/>
      <c r="BA49" s="2321"/>
      <c r="BB49" s="2322"/>
      <c r="BC49" s="1409" t="s">
        <v>486</v>
      </c>
      <c r="BE49" s="524"/>
      <c r="BF49" s="524" t="str">
        <f>IF(T49="","",T49)</f>
        <v/>
      </c>
      <c r="BG49" s="524"/>
      <c r="BH49" s="524"/>
      <c r="BI49" s="535">
        <v>0</v>
      </c>
    </row>
    <row s="1666" customFormat="1" customHeight="1" ht="0">
      <c r="A50" s="1367" t="s">
        <v>345</v>
      </c>
      <c r="B50" s="1367" t="s">
        <v>346</v>
      </c>
      <c r="C50" s="1367" t="s">
        <v>347</v>
      </c>
      <c r="D50" s="1367" t="s">
        <v>628</v>
      </c>
      <c r="E50" s="2283"/>
      <c r="F50" s="2283"/>
      <c r="G50" s="2283"/>
      <c r="H50" s="2283"/>
      <c r="I50" s="2280" t="str">
        <f>S49&amp;".1"</f>
        <v>.1</v>
      </c>
      <c r="J50" s="1367"/>
      <c r="K50" s="1367"/>
      <c r="L50" s="1370" t="s">
        <v>487</v>
      </c>
      <c r="M50" s="534"/>
      <c r="N50" s="534"/>
      <c r="O50" s="534"/>
      <c r="P50" s="2281">
        <v>1</v>
      </c>
      <c r="Q50" s="1505"/>
      <c r="R50" s="380"/>
      <c r="S50" s="1066"/>
      <c r="T50" s="1407"/>
      <c r="U50" s="1408"/>
      <c r="V50" s="2321"/>
      <c r="W50" s="2321"/>
      <c r="X50" s="2321"/>
      <c r="Y50" s="2321"/>
      <c r="Z50" s="2321"/>
      <c r="AA50" s="2321"/>
      <c r="AB50" s="2321"/>
      <c r="AC50" s="2322"/>
      <c r="AD50" s="2320"/>
      <c r="AE50" s="2321"/>
      <c r="AF50" s="2321"/>
      <c r="AG50" s="2321"/>
      <c r="AH50" s="2321"/>
      <c r="AI50" s="2321"/>
      <c r="AJ50" s="2321"/>
      <c r="AK50" s="2321"/>
      <c r="AL50" s="2321"/>
      <c r="AM50" s="2321"/>
      <c r="AN50" s="2321"/>
      <c r="AO50" s="2321"/>
      <c r="AP50" s="2321"/>
      <c r="AQ50" s="2321"/>
      <c r="AR50" s="2321"/>
      <c r="AS50" s="2321"/>
      <c r="AT50" s="2321"/>
      <c r="AU50" s="2321"/>
      <c r="AV50" s="2321"/>
      <c r="AW50" s="2321"/>
      <c r="AX50" s="2321"/>
      <c r="AY50" s="2321"/>
      <c r="AZ50" s="2321"/>
      <c r="BA50" s="2321"/>
      <c r="BB50" s="2322"/>
      <c r="BC50" s="1409"/>
      <c r="BE50" s="524"/>
      <c r="BF50" s="524" t="str">
        <f>IF(T50="","",T50)</f>
        <v/>
      </c>
      <c r="BG50" s="524"/>
      <c r="BH50" s="524"/>
      <c r="BI50" s="535">
        <v>0</v>
      </c>
    </row>
    <row s="1666" customFormat="1" customHeight="1" ht="0">
      <c r="A51" s="1367" t="s">
        <v>345</v>
      </c>
      <c r="B51" s="1367" t="s">
        <v>346</v>
      </c>
      <c r="C51" s="1367" t="s">
        <v>347</v>
      </c>
      <c r="D51" s="1367" t="s">
        <v>628</v>
      </c>
      <c r="E51" s="2283"/>
      <c r="F51" s="2283"/>
      <c r="G51" s="2283"/>
      <c r="H51" s="2283"/>
      <c r="I51" s="2310"/>
      <c r="J51" s="2280" t="str">
        <f>S49&amp;".1"</f>
        <v>.1</v>
      </c>
      <c r="K51" s="1367"/>
      <c r="L51" s="1370"/>
      <c r="M51" s="534"/>
      <c r="N51" s="534"/>
      <c r="O51" s="534"/>
      <c r="P51" s="2281"/>
      <c r="Q51" s="2281">
        <v>1</v>
      </c>
      <c r="R51" s="381"/>
      <c r="S51" s="1066"/>
      <c r="T51" s="1423"/>
      <c r="U51" s="1408"/>
      <c r="V51" s="2321"/>
      <c r="W51" s="2321"/>
      <c r="X51" s="2321"/>
      <c r="Y51" s="2321"/>
      <c r="Z51" s="2321"/>
      <c r="AA51" s="2321"/>
      <c r="AB51" s="2321"/>
      <c r="AC51" s="2322"/>
      <c r="AD51" s="2320"/>
      <c r="AE51" s="2321"/>
      <c r="AF51" s="2321"/>
      <c r="AG51" s="2321"/>
      <c r="AH51" s="2321"/>
      <c r="AI51" s="2321"/>
      <c r="AJ51" s="2321"/>
      <c r="AK51" s="2321"/>
      <c r="AL51" s="2321"/>
      <c r="AM51" s="2321"/>
      <c r="AN51" s="2388"/>
      <c r="AO51" s="2388"/>
      <c r="AP51" s="2321"/>
      <c r="AQ51" s="2321"/>
      <c r="AR51" s="2321"/>
      <c r="AS51" s="2321"/>
      <c r="AT51" s="2321"/>
      <c r="AU51" s="2321"/>
      <c r="AV51" s="2321"/>
      <c r="AW51" s="2321"/>
      <c r="AX51" s="2321"/>
      <c r="AY51" s="2321"/>
      <c r="AZ51" s="2321"/>
      <c r="BA51" s="2321"/>
      <c r="BB51" s="2322"/>
      <c r="BC51" s="1409"/>
      <c r="BE51" s="524"/>
      <c r="BF51" s="524" t="str">
        <f>IF(T51="","",T51)</f>
        <v/>
      </c>
      <c r="BG51" s="524"/>
      <c r="BH51" s="524"/>
      <c r="BI51" s="535">
        <v>0</v>
      </c>
    </row>
    <row customHeight="1" ht="11.549999999999999">
      <c r="A52" s="1387" t="s">
        <v>345</v>
      </c>
      <c r="B52" s="1387" t="s">
        <v>346</v>
      </c>
      <c r="C52" s="1387" t="s">
        <v>347</v>
      </c>
      <c r="D52" s="1387" t="s">
        <v>628</v>
      </c>
      <c r="E52" s="2283"/>
      <c r="F52" s="2283"/>
      <c r="G52" s="2283"/>
      <c r="H52" s="2283"/>
      <c r="I52" s="2310"/>
      <c r="J52" s="2310"/>
      <c r="K52" s="2280" t="str">
        <f>S48&amp;".1"</f>
        <v>...1</v>
      </c>
      <c r="L52" s="1388"/>
      <c r="P52" s="2281"/>
      <c r="Q52" s="2281"/>
      <c r="R52" s="381">
        <v>1</v>
      </c>
      <c r="S52" s="2365" t="str">
        <f>$K52</f>
        <v>...1</v>
      </c>
      <c r="T52" s="2384"/>
      <c r="U52" s="324"/>
      <c r="V52" s="775"/>
      <c r="W52" s="1281"/>
      <c r="X52" s="775"/>
      <c r="Y52" s="1281"/>
      <c r="Z52" s="1758"/>
      <c r="AA52" s="1493" t="s">
        <v>66</v>
      </c>
      <c r="AB52" s="1758"/>
      <c r="AC52" s="1493" t="s">
        <v>66</v>
      </c>
      <c r="AD52" s="2209" t="s">
        <v>66</v>
      </c>
      <c r="AE52" s="2350"/>
      <c r="AF52" s="2229">
        <v>1</v>
      </c>
      <c r="AG52" s="2387"/>
      <c r="AH52" s="2131" t="s">
        <v>66</v>
      </c>
      <c r="AI52" s="2350"/>
      <c r="AJ52" s="2229">
        <v>1</v>
      </c>
      <c r="AK52" s="2351" t="s">
        <v>22</v>
      </c>
      <c r="AL52" s="2131" t="s">
        <v>66</v>
      </c>
      <c r="AM52" s="2216"/>
      <c r="AN52" s="2229">
        <v>1</v>
      </c>
      <c r="AO52" s="2381"/>
      <c r="AP52" s="2382" t="s">
        <v>66</v>
      </c>
      <c r="AQ52" s="335"/>
      <c r="AR52" s="1510">
        <v>1</v>
      </c>
      <c r="AS52" s="1516" t="s">
        <v>22</v>
      </c>
      <c r="AT52" s="775"/>
      <c r="AU52" s="1281"/>
      <c r="AV52" s="775"/>
      <c r="AW52" s="1281"/>
      <c r="AX52" s="1758"/>
      <c r="AY52" s="1493" t="s">
        <v>66</v>
      </c>
      <c r="AZ52" s="1758"/>
      <c r="BA52" s="1493" t="s">
        <v>66</v>
      </c>
      <c r="BB52" s="1372"/>
      <c r="BC52" s="2277" t="s">
        <v>585</v>
      </c>
      <c r="BE52" s="524"/>
      <c r="BF52" s="524" t="str">
        <f>IF(T52="","",T52)</f>
        <v/>
      </c>
      <c r="BG52" s="524"/>
      <c r="BH52" s="524"/>
      <c r="BI52" s="1179">
        <v>11</v>
      </c>
    </row>
    <row customHeight="1" ht="11.549999999999999">
      <c r="A53" s="1387"/>
      <c r="B53" s="1387"/>
      <c r="C53" s="1387"/>
      <c r="D53" s="1387"/>
      <c r="E53" s="2283"/>
      <c r="F53" s="2283"/>
      <c r="G53" s="2283"/>
      <c r="H53" s="2283"/>
      <c r="I53" s="2310"/>
      <c r="J53" s="2310"/>
      <c r="K53" s="2280"/>
      <c r="L53" s="1388"/>
      <c r="P53" s="2281"/>
      <c r="Q53" s="2281"/>
      <c r="R53" s="381"/>
      <c r="S53" s="2366"/>
      <c r="T53" s="2385"/>
      <c r="U53" s="324"/>
      <c r="V53" s="1417"/>
      <c r="W53" s="1520"/>
      <c r="X53" s="1417"/>
      <c r="Y53" s="1520"/>
      <c r="Z53" s="1417"/>
      <c r="AA53" s="1417"/>
      <c r="AB53" s="1417"/>
      <c r="AC53" s="1417"/>
      <c r="AD53" s="2210"/>
      <c r="AE53" s="2350"/>
      <c r="AF53" s="2229"/>
      <c r="AG53" s="2387"/>
      <c r="AH53" s="2131"/>
      <c r="AI53" s="2350"/>
      <c r="AJ53" s="2229"/>
      <c r="AK53" s="2351"/>
      <c r="AL53" s="2131"/>
      <c r="AM53" s="2224"/>
      <c r="AN53" s="2229"/>
      <c r="AO53" s="2381"/>
      <c r="AP53" s="2383"/>
      <c r="AQ53" s="340"/>
      <c r="AR53" s="440"/>
      <c r="AS53" s="440" t="s">
        <v>586</v>
      </c>
      <c r="AT53" s="1417"/>
      <c r="AU53" s="1520"/>
      <c r="AV53" s="1417"/>
      <c r="AW53" s="1520"/>
      <c r="AX53" s="1417"/>
      <c r="AY53" s="1417"/>
      <c r="AZ53" s="1417"/>
      <c r="BA53" s="1417"/>
      <c r="BB53" s="1421"/>
      <c r="BC53" s="2278"/>
      <c r="BE53" s="524"/>
      <c r="BF53" s="524"/>
      <c r="BG53" s="524"/>
      <c r="BH53" s="524"/>
      <c r="BI53" s="1179">
        <v>11</v>
      </c>
    </row>
    <row customHeight="1" ht="11.549999999999999">
      <c r="A54" s="1387" t="s">
        <v>345</v>
      </c>
      <c r="B54" s="1387"/>
      <c r="C54" s="1387"/>
      <c r="D54" s="1387"/>
      <c r="E54" s="2283"/>
      <c r="F54" s="2283"/>
      <c r="G54" s="2283"/>
      <c r="H54" s="2283"/>
      <c r="I54" s="2310"/>
      <c r="J54" s="2310"/>
      <c r="K54" s="2280"/>
      <c r="L54" s="1388"/>
      <c r="P54" s="2281"/>
      <c r="Q54" s="2281"/>
      <c r="R54" s="381"/>
      <c r="S54" s="2366"/>
      <c r="T54" s="2385"/>
      <c r="U54" s="324"/>
      <c r="V54" s="1417"/>
      <c r="W54" s="1520"/>
      <c r="X54" s="1417"/>
      <c r="Y54" s="1520"/>
      <c r="Z54" s="1417"/>
      <c r="AA54" s="1417"/>
      <c r="AB54" s="1417"/>
      <c r="AC54" s="1417"/>
      <c r="AD54" s="2210"/>
      <c r="AE54" s="2350"/>
      <c r="AF54" s="2229"/>
      <c r="AG54" s="2387"/>
      <c r="AH54" s="2131"/>
      <c r="AI54" s="2350"/>
      <c r="AJ54" s="2229"/>
      <c r="AK54" s="2351"/>
      <c r="AL54" s="2131"/>
      <c r="AM54" s="340"/>
      <c r="AN54" s="1524"/>
      <c r="AO54" s="1524" t="s">
        <v>587</v>
      </c>
      <c r="AP54" s="440"/>
      <c r="AQ54" s="440"/>
      <c r="AR54" s="440"/>
      <c r="AS54" s="1417"/>
      <c r="AT54" s="1417"/>
      <c r="AU54" s="1520"/>
      <c r="AV54" s="1417"/>
      <c r="AW54" s="1520"/>
      <c r="AX54" s="1417"/>
      <c r="AY54" s="1417"/>
      <c r="AZ54" s="1417"/>
      <c r="BA54" s="1417"/>
      <c r="BB54" s="1421"/>
      <c r="BC54" s="2278"/>
      <c r="BE54" s="524"/>
      <c r="BF54" s="524"/>
      <c r="BG54" s="524"/>
      <c r="BH54" s="524"/>
      <c r="BI54" s="1179">
        <v>11</v>
      </c>
    </row>
    <row customHeight="1" ht="11.549999999999999">
      <c r="A55" s="1387" t="s">
        <v>345</v>
      </c>
      <c r="B55" s="1387"/>
      <c r="C55" s="1387"/>
      <c r="D55" s="1387"/>
      <c r="E55" s="2283"/>
      <c r="F55" s="2283"/>
      <c r="G55" s="2283"/>
      <c r="H55" s="2283"/>
      <c r="I55" s="2310"/>
      <c r="J55" s="2310"/>
      <c r="K55" s="2280"/>
      <c r="L55" s="1388"/>
      <c r="P55" s="2281"/>
      <c r="Q55" s="2281"/>
      <c r="R55" s="381"/>
      <c r="S55" s="2366"/>
      <c r="T55" s="2385"/>
      <c r="U55" s="324"/>
      <c r="V55" s="1417"/>
      <c r="W55" s="1520"/>
      <c r="X55" s="1417"/>
      <c r="Y55" s="1520"/>
      <c r="Z55" s="1417"/>
      <c r="AA55" s="1417"/>
      <c r="AB55" s="1417"/>
      <c r="AC55" s="1417"/>
      <c r="AD55" s="2210"/>
      <c r="AE55" s="2350"/>
      <c r="AF55" s="2229"/>
      <c r="AG55" s="2387"/>
      <c r="AH55" s="2131"/>
      <c r="AI55" s="318"/>
      <c r="AJ55" s="439"/>
      <c r="AK55" s="337" t="s">
        <v>588</v>
      </c>
      <c r="AL55" s="1417"/>
      <c r="AM55" s="1417"/>
      <c r="AN55" s="1417"/>
      <c r="AO55" s="1417"/>
      <c r="AP55" s="1417"/>
      <c r="AQ55" s="1417"/>
      <c r="AR55" s="1417"/>
      <c r="AS55" s="1417"/>
      <c r="AT55" s="1417"/>
      <c r="AU55" s="1520"/>
      <c r="AV55" s="1417"/>
      <c r="AW55" s="1520"/>
      <c r="AX55" s="1417"/>
      <c r="AY55" s="1417"/>
      <c r="AZ55" s="1417"/>
      <c r="BA55" s="1417"/>
      <c r="BB55" s="1421"/>
      <c r="BC55" s="2278"/>
      <c r="BE55" s="524"/>
      <c r="BF55" s="524"/>
      <c r="BG55" s="524"/>
      <c r="BH55" s="524"/>
      <c r="BI55" s="1179">
        <v>11</v>
      </c>
    </row>
    <row customHeight="1" ht="11.549999999999999">
      <c r="A56" s="1387" t="s">
        <v>345</v>
      </c>
      <c r="B56" s="1387" t="s">
        <v>346</v>
      </c>
      <c r="C56" s="1387" t="s">
        <v>347</v>
      </c>
      <c r="D56" s="1387" t="s">
        <v>628</v>
      </c>
      <c r="E56" s="2283"/>
      <c r="F56" s="2283"/>
      <c r="G56" s="2283"/>
      <c r="H56" s="2283"/>
      <c r="I56" s="2310"/>
      <c r="J56" s="2310"/>
      <c r="K56" s="2280"/>
      <c r="L56" s="1388"/>
      <c r="P56" s="2281"/>
      <c r="Q56" s="2281"/>
      <c r="R56" s="381"/>
      <c r="S56" s="2367"/>
      <c r="T56" s="2386"/>
      <c r="U56" s="324"/>
      <c r="V56" s="1417"/>
      <c r="W56" s="1418" t="str">
        <f>Z52&amp;"-"&amp;AB52</f>
        <v>-</v>
      </c>
      <c r="X56" s="1417"/>
      <c r="Y56" s="1418" t="str">
        <f>AB52&amp;"-"&amp;AD52</f>
        <v>-да</v>
      </c>
      <c r="Z56" s="1417"/>
      <c r="AA56" s="1417"/>
      <c r="AB56" s="1417"/>
      <c r="AC56" s="1417"/>
      <c r="AD56" s="2136"/>
      <c r="AE56" s="336"/>
      <c r="AF56" s="338"/>
      <c r="AG56" s="440" t="s">
        <v>589</v>
      </c>
      <c r="AH56" s="1417"/>
      <c r="AI56" s="1417"/>
      <c r="AJ56" s="1417"/>
      <c r="AK56" s="1417"/>
      <c r="AL56" s="1417"/>
      <c r="AM56" s="1417"/>
      <c r="AN56" s="1417"/>
      <c r="AO56" s="1417"/>
      <c r="AP56" s="1417"/>
      <c r="AQ56" s="1417"/>
      <c r="AR56" s="1417"/>
      <c r="AS56" s="1417"/>
      <c r="AT56" s="1417"/>
      <c r="AU56" s="1418" t="str">
        <f>AX52&amp;"-"&amp;AZ52</f>
        <v>-</v>
      </c>
      <c r="AV56" s="1417"/>
      <c r="AW56" s="1418" t="str">
        <f>AZ52&amp;"-"&amp;BB52</f>
        <v>-</v>
      </c>
      <c r="AX56" s="1417"/>
      <c r="AY56" s="1417"/>
      <c r="AZ56" s="1417"/>
      <c r="BA56" s="1417"/>
      <c r="BB56" s="1420" t="str">
        <f>BE52&amp;"-"&amp;BG52</f>
        <v>-</v>
      </c>
      <c r="BC56" s="2278"/>
      <c r="BE56" s="524"/>
      <c r="BF56" s="524" t="str">
        <f>IF(T56="","",T56)</f>
        <v/>
      </c>
      <c r="BG56" s="524"/>
      <c r="BH56" s="524"/>
      <c r="BI56" s="1179">
        <v>11</v>
      </c>
    </row>
    <row customHeight="1" ht="11.549999999999999">
      <c r="A57" s="1387" t="s">
        <v>345</v>
      </c>
      <c r="B57" s="1387" t="s">
        <v>346</v>
      </c>
      <c r="C57" s="1387" t="s">
        <v>347</v>
      </c>
      <c r="D57" s="1387" t="s">
        <v>628</v>
      </c>
      <c r="E57" s="2283"/>
      <c r="F57" s="2283"/>
      <c r="G57" s="2283"/>
      <c r="H57" s="2283"/>
      <c r="I57" s="2310"/>
      <c r="J57" s="2280"/>
      <c r="K57" s="1387"/>
      <c r="L57" s="1388"/>
      <c r="P57" s="2281"/>
      <c r="Q57" s="2281"/>
      <c r="R57" s="380"/>
      <c r="S57" s="1302"/>
      <c r="T57" s="311" t="s">
        <v>552</v>
      </c>
      <c r="U57" s="391"/>
      <c r="V57" s="391"/>
      <c r="W57" s="391"/>
      <c r="X57" s="391"/>
      <c r="Y57" s="391"/>
      <c r="Z57" s="391"/>
      <c r="AA57" s="391"/>
      <c r="AB57" s="391"/>
      <c r="AC57" s="348"/>
      <c r="AD57" s="1529"/>
      <c r="AE57" s="391"/>
      <c r="AF57" s="391"/>
      <c r="AG57" s="391"/>
      <c r="AH57" s="391"/>
      <c r="AI57" s="391"/>
      <c r="AJ57" s="391"/>
      <c r="AK57" s="391"/>
      <c r="AL57" s="391"/>
      <c r="AM57" s="391"/>
      <c r="AN57" s="391"/>
      <c r="AO57" s="391"/>
      <c r="AP57" s="391"/>
      <c r="AQ57" s="391"/>
      <c r="AR57" s="391"/>
      <c r="AS57" s="391"/>
      <c r="AT57" s="391"/>
      <c r="AU57" s="391"/>
      <c r="AV57" s="391"/>
      <c r="AW57" s="391"/>
      <c r="AX57" s="391"/>
      <c r="AY57" s="391"/>
      <c r="AZ57" s="391"/>
      <c r="BA57" s="391"/>
      <c r="BB57" s="348"/>
      <c r="BC57" s="2279"/>
      <c r="BE57" s="524"/>
      <c r="BF57" s="524" t="str">
        <f>IF(T57="","",T57)</f>
        <v>Добавить строку</v>
      </c>
      <c r="BG57" s="524"/>
      <c r="BH57" s="524"/>
      <c r="BI57" s="1179">
        <v>11</v>
      </c>
    </row>
    <row s="1666" customFormat="1" customHeight="1" ht="0">
      <c r="A58" s="1367" t="s">
        <v>345</v>
      </c>
      <c r="B58" s="1367" t="s">
        <v>346</v>
      </c>
      <c r="C58" s="1367" t="s">
        <v>347</v>
      </c>
      <c r="D58" s="1367" t="s">
        <v>628</v>
      </c>
      <c r="E58" s="2283"/>
      <c r="F58" s="2283"/>
      <c r="G58" s="2283"/>
      <c r="H58" s="2283"/>
      <c r="I58" s="2280"/>
      <c r="J58" s="1367"/>
      <c r="K58" s="1367"/>
      <c r="L58" s="1370"/>
      <c r="M58" s="534"/>
      <c r="N58" s="534"/>
      <c r="O58" s="534"/>
      <c r="P58" s="2281"/>
      <c r="Q58" s="1505"/>
      <c r="R58" s="380"/>
      <c r="S58" s="1410"/>
      <c r="T58" s="1411"/>
      <c r="U58" s="1412"/>
      <c r="V58" s="1412"/>
      <c r="W58" s="1412"/>
      <c r="X58" s="1412"/>
      <c r="Y58" s="1412"/>
      <c r="Z58" s="1412"/>
      <c r="AA58" s="1412"/>
      <c r="AB58" s="1412"/>
      <c r="AC58" s="1412"/>
      <c r="AD58" s="1412"/>
      <c r="AE58" s="1412"/>
      <c r="AF58" s="1412"/>
      <c r="AG58" s="1412"/>
      <c r="AH58" s="1412"/>
      <c r="AI58" s="1412"/>
      <c r="AJ58" s="1412"/>
      <c r="AK58" s="1412"/>
      <c r="AL58" s="1412"/>
      <c r="AM58" s="1412"/>
      <c r="AN58" s="1412"/>
      <c r="AO58" s="1412"/>
      <c r="AP58" s="1412"/>
      <c r="AQ58" s="1412"/>
      <c r="AR58" s="1412"/>
      <c r="AS58" s="1412"/>
      <c r="AT58" s="1412"/>
      <c r="AU58" s="1412"/>
      <c r="AV58" s="1412"/>
      <c r="AW58" s="1412"/>
      <c r="AX58" s="1412"/>
      <c r="AY58" s="1412"/>
      <c r="AZ58" s="1412"/>
      <c r="BA58" s="1412"/>
      <c r="BB58" s="1412"/>
      <c r="BC58" s="1413"/>
      <c r="BE58" s="524"/>
      <c r="BF58" s="524" t="str">
        <f>IF(T58="","",T58)</f>
        <v/>
      </c>
      <c r="BG58" s="524"/>
      <c r="BH58" s="524"/>
      <c r="BI58" s="535">
        <v>0</v>
      </c>
    </row>
    <row s="1666" customFormat="1" customHeight="1" ht="0">
      <c r="A59" s="1367" t="s">
        <v>345</v>
      </c>
      <c r="B59" s="1367" t="s">
        <v>346</v>
      </c>
      <c r="C59" s="1367" t="s">
        <v>347</v>
      </c>
      <c r="D59" s="1367" t="s">
        <v>628</v>
      </c>
      <c r="E59" s="2283"/>
      <c r="F59" s="2283"/>
      <c r="G59" s="2283"/>
      <c r="H59" s="2282"/>
      <c r="I59" s="1367"/>
      <c r="J59" s="1367"/>
      <c r="K59" s="1367"/>
      <c r="L59" s="1370"/>
      <c r="M59" s="1339"/>
      <c r="N59" s="1339"/>
      <c r="O59" s="542"/>
      <c r="P59" s="404"/>
      <c r="Q59" s="1368"/>
      <c r="R59" s="1425"/>
      <c r="S59" s="1410"/>
      <c r="T59" s="1411"/>
      <c r="U59" s="1412"/>
      <c r="V59" s="1412"/>
      <c r="W59" s="1412"/>
      <c r="X59" s="1412"/>
      <c r="Y59" s="1412"/>
      <c r="Z59" s="1412"/>
      <c r="AA59" s="1412"/>
      <c r="AB59" s="1412"/>
      <c r="AC59" s="1412"/>
      <c r="AD59" s="1412"/>
      <c r="AE59" s="1412"/>
      <c r="AF59" s="1412"/>
      <c r="AG59" s="1412"/>
      <c r="AH59" s="1412"/>
      <c r="AI59" s="1412"/>
      <c r="AJ59" s="1412"/>
      <c r="AK59" s="1412"/>
      <c r="AL59" s="1412"/>
      <c r="AM59" s="1412"/>
      <c r="AN59" s="1412"/>
      <c r="AO59" s="1412"/>
      <c r="AP59" s="1412"/>
      <c r="AQ59" s="1412"/>
      <c r="AR59" s="1412"/>
      <c r="AS59" s="1412"/>
      <c r="AT59" s="1412"/>
      <c r="AU59" s="1412"/>
      <c r="AV59" s="1412"/>
      <c r="AW59" s="1412"/>
      <c r="AX59" s="1412"/>
      <c r="AY59" s="1412"/>
      <c r="AZ59" s="1412"/>
      <c r="BA59" s="1412"/>
      <c r="BB59" s="1412"/>
      <c r="BC59" s="1413"/>
      <c r="BE59" s="524"/>
      <c r="BF59" s="524" t="str">
        <f>IF(T59="","",T59)</f>
        <v/>
      </c>
      <c r="BG59" s="524"/>
      <c r="BH59" s="524"/>
      <c r="BI59" s="535">
        <v>0</v>
      </c>
    </row>
    <row s="1666" customFormat="1" customHeight="1" ht="0">
      <c r="A60" s="1367" t="s">
        <v>345</v>
      </c>
      <c r="B60" s="1367" t="s">
        <v>346</v>
      </c>
      <c r="C60" s="1367" t="s">
        <v>347</v>
      </c>
      <c r="D60" s="1338"/>
      <c r="E60" s="2283"/>
      <c r="F60" s="2283"/>
      <c r="G60" s="2282"/>
      <c r="H60" s="1338"/>
      <c r="I60" s="1338"/>
      <c r="J60" s="1338"/>
      <c r="K60" s="1338"/>
      <c r="L60" s="1518"/>
      <c r="M60" s="1339"/>
      <c r="N60" s="1339"/>
      <c r="P60" s="1340"/>
      <c r="Q60" s="1341"/>
      <c r="R60" s="1340"/>
      <c r="S60" s="1346"/>
      <c r="T60" s="1349"/>
      <c r="U60" s="1348"/>
      <c r="V60" s="1348"/>
      <c r="W60" s="1348"/>
      <c r="X60" s="1348"/>
      <c r="Y60" s="1348"/>
      <c r="Z60" s="1348"/>
      <c r="AA60" s="1348"/>
      <c r="AB60" s="1348"/>
      <c r="AC60" s="1348"/>
      <c r="AD60" s="1348"/>
      <c r="AE60" s="1348"/>
      <c r="AF60" s="1348"/>
      <c r="AG60" s="1348"/>
      <c r="AH60" s="1348"/>
      <c r="AI60" s="1348"/>
      <c r="AJ60" s="1348"/>
      <c r="AK60" s="1348"/>
      <c r="AL60" s="1348"/>
      <c r="AM60" s="1348"/>
      <c r="AN60" s="1348"/>
      <c r="AO60" s="1348"/>
      <c r="AP60" s="1348"/>
      <c r="AQ60" s="1348"/>
      <c r="AR60" s="1348"/>
      <c r="AS60" s="1348"/>
      <c r="AT60" s="1348"/>
      <c r="AU60" s="1348"/>
      <c r="AV60" s="1348"/>
      <c r="AW60" s="1348"/>
      <c r="AX60" s="1348"/>
      <c r="AY60" s="1348"/>
      <c r="AZ60" s="1348"/>
      <c r="BA60" s="1348"/>
      <c r="BB60" s="1348"/>
      <c r="BC60" s="1348"/>
      <c r="BE60" s="813"/>
      <c r="BF60" s="813" t="str">
        <f>IF(T60="","",T60)</f>
        <v/>
      </c>
      <c r="BG60" s="813"/>
      <c r="BH60" s="813"/>
      <c r="BI60" s="542">
        <v>0</v>
      </c>
    </row>
    <row s="1666" customFormat="1" customHeight="1" ht="0">
      <c r="A61" s="1367" t="s">
        <v>345</v>
      </c>
      <c r="B61" s="1367" t="s">
        <v>346</v>
      </c>
      <c r="C61" s="1338"/>
      <c r="D61" s="1338"/>
      <c r="E61" s="2283"/>
      <c r="F61" s="2282"/>
      <c r="G61" s="1338"/>
      <c r="H61" s="1338"/>
      <c r="I61" s="1338"/>
      <c r="J61" s="1338"/>
      <c r="K61" s="1338"/>
      <c r="L61" s="1518"/>
      <c r="M61" s="1345"/>
      <c r="N61" s="1345"/>
      <c r="P61" s="1340"/>
      <c r="Q61" s="1341"/>
      <c r="R61" s="1340"/>
      <c r="S61" s="1346"/>
      <c r="T61" s="1349" t="s">
        <v>499</v>
      </c>
      <c r="U61" s="1348"/>
      <c r="V61" s="1348"/>
      <c r="W61" s="1348"/>
      <c r="X61" s="1348"/>
      <c r="Y61" s="1348"/>
      <c r="Z61" s="1348"/>
      <c r="AA61" s="1348"/>
      <c r="AB61" s="1348"/>
      <c r="AC61" s="1348"/>
      <c r="AD61" s="1348"/>
      <c r="AE61" s="1348"/>
      <c r="AF61" s="1348"/>
      <c r="AG61" s="1348"/>
      <c r="AH61" s="1348"/>
      <c r="AI61" s="1348"/>
      <c r="AJ61" s="1348"/>
      <c r="AK61" s="1348"/>
      <c r="AL61" s="1348"/>
      <c r="AM61" s="1348"/>
      <c r="AN61" s="1348"/>
      <c r="AO61" s="1348"/>
      <c r="AP61" s="1348"/>
      <c r="AQ61" s="1348"/>
      <c r="AR61" s="1348"/>
      <c r="AS61" s="1348"/>
      <c r="AT61" s="1348"/>
      <c r="AU61" s="1348"/>
      <c r="AV61" s="1348"/>
      <c r="AW61" s="1348"/>
      <c r="AX61" s="1348"/>
      <c r="AY61" s="1348"/>
      <c r="AZ61" s="1348"/>
      <c r="BA61" s="1348"/>
      <c r="BB61" s="1348"/>
      <c r="BC61" s="1348"/>
      <c r="BE61" s="813"/>
      <c r="BF61" s="813" t="str">
        <f>IF(T61="","",T61)</f>
        <v>Добавить централизованную систему для дифференциации</v>
      </c>
      <c r="BG61" s="813"/>
      <c r="BH61" s="813"/>
      <c r="BI61" s="542">
        <v>0</v>
      </c>
    </row>
    <row s="1666" customFormat="1" customHeight="1" ht="0">
      <c r="A62" s="1367" t="s">
        <v>345</v>
      </c>
      <c r="B62" s="1367"/>
      <c r="C62" s="1367"/>
      <c r="D62" s="1367"/>
      <c r="E62" s="2282"/>
      <c r="F62" s="1367"/>
      <c r="G62" s="1367"/>
      <c r="H62" s="1367"/>
      <c r="I62" s="1367"/>
      <c r="J62" s="1367"/>
      <c r="K62" s="1367"/>
      <c r="L62" s="1370"/>
      <c r="M62" s="1345"/>
      <c r="N62" s="1345"/>
      <c r="O62" s="542"/>
      <c r="P62" s="404"/>
      <c r="Q62" s="1368"/>
      <c r="R62" s="404"/>
      <c r="S62" s="1346"/>
      <c r="T62" s="1349" t="s">
        <v>500</v>
      </c>
      <c r="U62" s="1348"/>
      <c r="V62" s="1348"/>
      <c r="W62" s="1348"/>
      <c r="X62" s="1348"/>
      <c r="Y62" s="1348"/>
      <c r="Z62" s="1348"/>
      <c r="AA62" s="1348"/>
      <c r="AB62" s="1348"/>
      <c r="AC62" s="1348"/>
      <c r="AD62" s="1348"/>
      <c r="AE62" s="1348"/>
      <c r="AF62" s="1348"/>
      <c r="AG62" s="1348"/>
      <c r="AH62" s="1348"/>
      <c r="AI62" s="1348"/>
      <c r="AJ62" s="1348"/>
      <c r="AK62" s="1348"/>
      <c r="AL62" s="1348"/>
      <c r="AM62" s="1348"/>
      <c r="AN62" s="1348"/>
      <c r="AO62" s="1348"/>
      <c r="AP62" s="1348"/>
      <c r="AQ62" s="1348"/>
      <c r="AR62" s="1348"/>
      <c r="AS62" s="1348"/>
      <c r="AT62" s="1348"/>
      <c r="AU62" s="1348"/>
      <c r="AV62" s="1348"/>
      <c r="AW62" s="1348"/>
      <c r="AX62" s="1348"/>
      <c r="AY62" s="1348"/>
      <c r="AZ62" s="1348"/>
      <c r="BA62" s="1348"/>
      <c r="BB62" s="1348"/>
      <c r="BC62" s="1348"/>
      <c r="BE62" s="524"/>
      <c r="BF62" s="524" t="str">
        <f>IF(T62="","",T62)</f>
        <v>Добавить территорию для дифференциации</v>
      </c>
      <c r="BG62" s="524"/>
      <c r="BH62" s="524"/>
      <c r="BI62" s="535">
        <v>0</v>
      </c>
    </row>
    <row s="1666" customFormat="1" customHeight="1" ht="0">
      <c r="A63" s="1338"/>
      <c r="B63" s="1338"/>
      <c r="C63" s="1338"/>
      <c r="D63" s="1338"/>
      <c r="E63" s="1367"/>
      <c r="F63" s="1338"/>
      <c r="G63" s="1338"/>
      <c r="H63" s="1338"/>
      <c r="I63" s="1338"/>
      <c r="J63" s="1338"/>
      <c r="K63" s="1338"/>
      <c r="L63" s="1518"/>
      <c r="M63" s="1345"/>
      <c r="N63" s="1345"/>
      <c r="P63" s="1340"/>
      <c r="Q63" s="1341"/>
      <c r="R63" s="1340"/>
      <c r="S63" s="1346"/>
      <c r="T63" s="1349" t="s">
        <v>532</v>
      </c>
      <c r="U63" s="1348"/>
      <c r="V63" s="1348"/>
      <c r="W63" s="1348"/>
      <c r="X63" s="1348"/>
      <c r="Y63" s="1348"/>
      <c r="Z63" s="1348"/>
      <c r="AA63" s="1348"/>
      <c r="AB63" s="1348"/>
      <c r="AC63" s="1348"/>
      <c r="AD63" s="1348"/>
      <c r="AE63" s="1348"/>
      <c r="AF63" s="1348"/>
      <c r="AG63" s="1348"/>
      <c r="AH63" s="1348"/>
      <c r="AI63" s="1348"/>
      <c r="AJ63" s="1348"/>
      <c r="AK63" s="1348"/>
      <c r="AL63" s="1348"/>
      <c r="AM63" s="1348"/>
      <c r="AN63" s="1348"/>
      <c r="AO63" s="1348"/>
      <c r="AP63" s="1348"/>
      <c r="AQ63" s="1348"/>
      <c r="AR63" s="1348"/>
      <c r="AS63" s="1348"/>
      <c r="AT63" s="1348"/>
      <c r="AU63" s="1348"/>
      <c r="AV63" s="1348"/>
      <c r="AW63" s="1348"/>
      <c r="AX63" s="1348"/>
      <c r="AY63" s="1348"/>
      <c r="AZ63" s="1348"/>
      <c r="BA63" s="1348"/>
      <c r="BB63" s="1348"/>
      <c r="BC63" s="1348"/>
      <c r="BE63" s="813"/>
      <c r="BF63" s="813" t="str">
        <f>IF(T63="","",T63)</f>
        <v>Добавить наименование тарифа</v>
      </c>
      <c r="BG63" s="813"/>
      <c r="BH63" s="813"/>
      <c r="BI63" s="542">
        <v>0</v>
      </c>
    </row>
    <row customHeight="1" ht="11.549999999999999">
      <c r="M64" s="1184"/>
      <c r="N64" s="1184"/>
      <c r="O64" s="561"/>
      <c r="P64" s="1184"/>
      <c r="Q64" s="1184"/>
      <c r="R64" s="1179"/>
      <c r="S64" s="1179"/>
      <c r="BD64" s="1179"/>
      <c r="BE64" s="1179"/>
      <c r="BF64" s="1179"/>
      <c r="BG64" s="1179"/>
      <c r="BH64" s="1179"/>
      <c r="BI64" s="1179">
        <v>11</v>
      </c>
    </row>
    <row customHeight="1" ht="19.95">
      <c r="O65" s="561"/>
      <c r="S65" s="1277"/>
      <c r="T65" s="2309"/>
      <c r="U65" s="2309"/>
      <c r="V65" s="2309"/>
      <c r="W65" s="2309"/>
      <c r="X65" s="2309"/>
      <c r="Y65" s="2309"/>
      <c r="Z65" s="2309"/>
      <c r="AA65" s="2309"/>
      <c r="AB65" s="2309"/>
      <c r="AC65" s="2309"/>
      <c r="AD65" s="2309"/>
      <c r="AE65" s="2309"/>
      <c r="AF65" s="2309"/>
      <c r="AG65" s="2309"/>
      <c r="AH65" s="2309"/>
      <c r="AI65" s="2309"/>
      <c r="AJ65" s="2309"/>
      <c r="AK65" s="2309"/>
      <c r="AL65" s="2309"/>
      <c r="AM65" s="2309"/>
      <c r="AN65" s="2309"/>
      <c r="AO65" s="2309"/>
      <c r="AP65" s="2309"/>
      <c r="AQ65" s="2309"/>
      <c r="AR65" s="2309"/>
      <c r="AS65" s="2309"/>
      <c r="AT65" s="2309"/>
      <c r="AU65" s="2309"/>
      <c r="AV65" s="2309"/>
      <c r="AW65" s="2309"/>
      <c r="AX65" s="2309"/>
      <c r="AY65" s="2309"/>
      <c r="AZ65" s="2309"/>
      <c r="BA65" s="2309"/>
      <c r="BB65" s="2309"/>
      <c r="BC65" s="2309"/>
      <c r="BI65" s="1179">
        <v>19</v>
      </c>
    </row>
    <row customHeight="1" ht="14.699999999999998">
      <c r="O66" s="561"/>
      <c r="T66" s="1504"/>
      <c r="U66" s="1504"/>
      <c r="V66" s="1504"/>
      <c r="W66" s="1504"/>
      <c r="X66" s="1504"/>
      <c r="Y66" s="1504"/>
      <c r="Z66" s="1504"/>
      <c r="AA66" s="1504"/>
      <c r="AB66" s="1504"/>
      <c r="AC66" s="1504"/>
      <c r="AD66" s="1504"/>
      <c r="AE66" s="1504"/>
      <c r="AF66" s="1504"/>
      <c r="AG66" s="1504"/>
      <c r="AH66" s="1504"/>
      <c r="AI66" s="1504"/>
      <c r="AJ66" s="1504"/>
      <c r="AK66" s="1504"/>
      <c r="AL66" s="1504"/>
      <c r="AM66" s="1504"/>
      <c r="AN66" s="1504"/>
      <c r="AO66" s="1504"/>
      <c r="AP66" s="1504"/>
      <c r="AQ66" s="1504"/>
      <c r="AR66" s="1504"/>
      <c r="AS66" s="1504"/>
      <c r="AT66" s="1504"/>
      <c r="AU66" s="1504"/>
      <c r="AV66" s="1504"/>
      <c r="AW66" s="1504"/>
      <c r="AX66" s="1504"/>
      <c r="AY66" s="1504"/>
      <c r="AZ66" s="1504"/>
      <c r="BA66" s="1504"/>
      <c r="BB66" s="1504"/>
      <c r="BC66" s="1504"/>
      <c r="BI66" s="1179">
        <v>14</v>
      </c>
    </row>
    <row customHeight="1" ht="19.95">
      <c r="O67" s="561"/>
      <c r="S67" s="1277"/>
      <c r="T67" s="2309"/>
      <c r="U67" s="2309"/>
      <c r="V67" s="2309"/>
      <c r="W67" s="2309"/>
      <c r="X67" s="2309"/>
      <c r="Y67" s="2309"/>
      <c r="Z67" s="2309"/>
      <c r="AA67" s="2309"/>
      <c r="AB67" s="2309"/>
      <c r="AC67" s="2309"/>
      <c r="AD67" s="2309"/>
      <c r="AE67" s="2309"/>
      <c r="AF67" s="2309"/>
      <c r="AG67" s="2309"/>
      <c r="AH67" s="2309"/>
      <c r="AI67" s="2309"/>
      <c r="AJ67" s="2309"/>
      <c r="AK67" s="2309"/>
      <c r="AL67" s="2309"/>
      <c r="AM67" s="2309"/>
      <c r="AN67" s="2309"/>
      <c r="AO67" s="2309"/>
      <c r="AP67" s="2309"/>
      <c r="AQ67" s="2309"/>
      <c r="AR67" s="2309"/>
      <c r="AS67" s="2309"/>
      <c r="AT67" s="2309"/>
      <c r="AU67" s="2309"/>
      <c r="AV67" s="2309"/>
      <c r="AW67" s="2309"/>
      <c r="AX67" s="2309"/>
      <c r="AY67" s="2309"/>
      <c r="AZ67" s="2309"/>
      <c r="BA67" s="2309"/>
      <c r="BB67" s="2309"/>
      <c r="BC67" s="2309"/>
      <c r="BI67" s="1179">
        <v>19</v>
      </c>
    </row>
    <row customHeight="1" ht="14.699999999999998">
      <c r="O68" s="561"/>
      <c r="BI68" s="1179">
        <v>14</v>
      </c>
    </row>
    <row customHeight="1" ht="14.25" hidden="1">
      <c r="A69" s="1184" t="s">
        <v>82</v>
      </c>
      <c r="B69" s="1184">
        <v>0</v>
      </c>
      <c r="C69" s="1184">
        <v>0</v>
      </c>
      <c r="D69" s="1184">
        <v>0</v>
      </c>
      <c r="E69" s="1184">
        <v>0</v>
      </c>
      <c r="F69" s="1184">
        <v>0</v>
      </c>
      <c r="G69" s="1184">
        <v>0</v>
      </c>
      <c r="H69" s="1184">
        <v>0</v>
      </c>
      <c r="I69" s="1184">
        <v>0</v>
      </c>
      <c r="J69" s="1184">
        <v>0</v>
      </c>
      <c r="K69" s="1184">
        <v>0</v>
      </c>
      <c r="L69" s="1502">
        <v>0</v>
      </c>
      <c r="M69" s="1386">
        <v>0</v>
      </c>
      <c r="N69" s="1386">
        <v>0</v>
      </c>
      <c r="O69" s="1386">
        <v>0</v>
      </c>
      <c r="P69" s="1386">
        <v>0</v>
      </c>
      <c r="Q69" s="1395">
        <v>0</v>
      </c>
      <c r="R69" s="368">
        <v>3</v>
      </c>
      <c r="S69" s="605">
        <v>12</v>
      </c>
      <c r="T69" s="1179">
        <v>31</v>
      </c>
      <c r="U69" s="1179">
        <v>0</v>
      </c>
      <c r="V69" s="1179">
        <v>0</v>
      </c>
      <c r="W69" s="1179">
        <v>0</v>
      </c>
      <c r="X69" s="1179">
        <v>0</v>
      </c>
      <c r="Y69" s="1179">
        <v>0</v>
      </c>
      <c r="Z69" s="1179">
        <v>0</v>
      </c>
      <c r="AA69" s="1179">
        <v>0</v>
      </c>
      <c r="AB69" s="1179">
        <v>0</v>
      </c>
      <c r="AC69" s="1179">
        <v>0</v>
      </c>
      <c r="AD69" s="1179">
        <v>3</v>
      </c>
      <c r="AE69" s="1179">
        <v>3</v>
      </c>
      <c r="AF69" s="1179">
        <v>3</v>
      </c>
      <c r="AG69" s="1179">
        <v>24</v>
      </c>
      <c r="AH69" s="1179">
        <v>3</v>
      </c>
      <c r="AI69" s="1179">
        <v>3</v>
      </c>
      <c r="AJ69" s="1179">
        <v>3</v>
      </c>
      <c r="AK69" s="1179">
        <v>24</v>
      </c>
      <c r="AL69" s="1179">
        <v>3</v>
      </c>
      <c r="AM69" s="1179">
        <v>3</v>
      </c>
      <c r="AN69" s="1179">
        <v>3</v>
      </c>
      <c r="AO69" s="1179">
        <v>18</v>
      </c>
      <c r="AP69" s="1179">
        <v>3</v>
      </c>
      <c r="AQ69" s="1179">
        <v>3</v>
      </c>
      <c r="AR69" s="1179">
        <v>3</v>
      </c>
      <c r="AS69" s="1179">
        <v>18</v>
      </c>
      <c r="AT69" s="1179">
        <v>21</v>
      </c>
      <c r="AU69" s="1179">
        <v>21</v>
      </c>
      <c r="AV69" s="1179">
        <v>21</v>
      </c>
      <c r="AW69" s="1179">
        <v>21</v>
      </c>
      <c r="AX69" s="1179">
        <v>11</v>
      </c>
      <c r="AY69" s="1179">
        <v>3</v>
      </c>
      <c r="AZ69" s="1179">
        <v>11</v>
      </c>
      <c r="BA69" s="1179">
        <v>0</v>
      </c>
      <c r="BB69" s="1179">
        <v>4</v>
      </c>
      <c r="BC69" s="1179">
        <v>115</v>
      </c>
      <c r="BD69" s="535">
        <v>10</v>
      </c>
      <c r="BE69" s="535">
        <v>10</v>
      </c>
      <c r="BF69" s="535">
        <v>10</v>
      </c>
      <c r="BG69" s="535">
        <v>10</v>
      </c>
      <c r="BH69" s="535">
        <v>10</v>
      </c>
      <c r="BI69" s="1179">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6E263B-6FE9-8D88-C891-0.03654CD9}" mc:Ignorable="x14ac xr xr2 xr3">
  <sheetPr>
    <tabColor theme="9" tint="-0.25"/>
  </sheetPr>
  <dimension ref="A1:AT303"/>
  <sheetViews>
    <sheetView showGridLines="0" zoomScale="90" workbookViewId="0">
      <pane xSplit="8" ySplit="29" topLeftCell="W30" activePane="bottomRight" state="frozen"/>
      <selection pane="bottomLeft" activeCell="A30" sqref="A30"/>
      <selection pane="topRight" activeCell="I1" sqref="I1"/>
      <selection pane="bottomRight" activeCell="W24" sqref="W24"/>
    </sheetView>
  </sheetViews>
  <sheetFormatPr defaultColWidth="9.140625" customHeight="1" defaultRowHeight="11.25"/>
  <cols>
    <col min="1" max="1" style="1011" width="10.7109375" hidden="1" customWidth="1"/>
    <col min="2" max="2" style="1390" width="16.8515625" hidden="1" customWidth="1"/>
    <col min="3" max="3" style="1666" width="5.57421875" hidden="1" customWidth="1"/>
    <col min="4" max="4" style="1659" width="3.00390625" customWidth="1"/>
    <col min="5" max="5" style="1659" width="7.00390625" customWidth="1"/>
    <col min="6" max="6" style="1659" width="54.00390625" customWidth="1"/>
    <col min="7" max="7" style="1659" width="10.00390625" customWidth="1"/>
    <col min="8" max="8" style="1659" width="40.7109375" hidden="1" customWidth="1"/>
    <col min="9" max="23" style="1659" width="40.7109375" customWidth="1"/>
    <col min="24" max="24" style="1659" width="102.00390625" customWidth="1"/>
    <col min="25" max="25" style="1390" width="9.00390625" customWidth="1"/>
    <col min="26" max="26" style="1666" width="5.00390625" customWidth="1"/>
    <col min="27" max="27" style="1666" width="3.00390625" customWidth="1"/>
    <col min="28" max="31" style="1390" width="3.00390625" customWidth="1"/>
    <col min="32" max="32" style="1666" width="10.00390625" customWidth="1"/>
    <col min="33" max="33" style="1390" width="34.00390625" customWidth="1"/>
    <col min="34" max="34" style="1390" width="9.00390625" customWidth="1"/>
    <col min="35" max="35" style="760" width="8.00390625" customWidth="1"/>
    <col min="36" max="40" style="1390" width="8.00390625" customWidth="1"/>
    <col min="41" max="45" style="1656" width="8.00390625" customWidth="1"/>
    <col min="46" max="46" style="1659" width="9.140625" hidden="1"/>
  </cols>
  <sheetData>
    <row customHeight="1" ht="22.5" hidden="1">
      <c r="J1" s="1659"/>
      <c r="K1" s="1659"/>
      <c r="L1" s="1659"/>
      <c r="M1" s="1659"/>
      <c r="N1" s="1659"/>
      <c r="O1" s="1659"/>
      <c r="P1" s="1659"/>
      <c r="Q1" s="1659"/>
      <c r="R1" s="1659"/>
      <c r="S1" s="1659"/>
      <c r="T1" s="1659"/>
      <c r="U1" s="1659"/>
      <c r="V1" s="1659"/>
      <c r="W1" s="1659"/>
      <c r="AT1" s="1655" t="s">
        <v>14</v>
      </c>
    </row>
    <row customHeight="1" ht="23.25" hidden="1">
      <c r="B2" s="2123"/>
      <c r="C2" s="1191" t="s">
        <v>629</v>
      </c>
      <c r="D2" s="1662"/>
      <c r="E2" s="570">
        <f>B2</f>
        <v>0</v>
      </c>
      <c r="F2" s="571"/>
      <c r="G2" s="1670" t="s">
        <v>630</v>
      </c>
      <c r="H2" s="1670" t="s">
        <v>630</v>
      </c>
      <c r="I2" s="1670" t="s">
        <v>630</v>
      </c>
      <c r="J2" s="2336" t="s">
        <v>630</v>
      </c>
      <c r="K2" s="2336" t="s">
        <v>630</v>
      </c>
      <c r="L2" s="2336" t="s">
        <v>630</v>
      </c>
      <c r="M2" s="2336" t="s">
        <v>630</v>
      </c>
      <c r="N2" s="2336" t="s">
        <v>630</v>
      </c>
      <c r="O2" s="2336" t="s">
        <v>630</v>
      </c>
      <c r="P2" s="2336" t="s">
        <v>630</v>
      </c>
      <c r="Q2" s="2336" t="s">
        <v>630</v>
      </c>
      <c r="R2" s="2336" t="s">
        <v>630</v>
      </c>
      <c r="S2" s="2336" t="s">
        <v>630</v>
      </c>
      <c r="T2" s="2336" t="s">
        <v>630</v>
      </c>
      <c r="U2" s="2336" t="s">
        <v>630</v>
      </c>
      <c r="V2" s="2336" t="s">
        <v>630</v>
      </c>
      <c r="W2" s="2336" t="s">
        <v>630</v>
      </c>
      <c r="X2" s="313" t="s">
        <v>631</v>
      </c>
      <c r="Y2" s="567"/>
      <c r="AT2" s="1655">
        <v>0</v>
      </c>
    </row>
    <row s="1666" customFormat="1" customHeight="1" ht="0.75" hidden="1">
      <c r="B3" s="2123"/>
      <c r="C3" s="1191"/>
      <c r="D3" s="572"/>
      <c r="E3" s="573"/>
      <c r="F3" s="574" t="s">
        <v>632</v>
      </c>
      <c r="G3" s="575"/>
      <c r="H3" s="575">
        <f>H4*H5+H7</f>
        <v>0</v>
      </c>
      <c r="I3" s="575">
        <f>I4*I5+I6</f>
        <v>0</v>
      </c>
      <c r="J3" s="1397">
        <f>J4*J5+J7</f>
        <v>0</v>
      </c>
      <c r="K3" s="1397">
        <f>K4*K5+K7</f>
        <v>0</v>
      </c>
      <c r="L3" s="1397">
        <f>L4*L5+L7</f>
        <v>0</v>
      </c>
      <c r="M3" s="1397">
        <f>M4*M5+M7</f>
        <v>0</v>
      </c>
      <c r="N3" s="1397">
        <f>N4*N5+N7</f>
        <v>0</v>
      </c>
      <c r="O3" s="1397">
        <f>O4*O5+O7</f>
        <v>0</v>
      </c>
      <c r="P3" s="1397">
        <f>P4*P5+P7</f>
        <v>0</v>
      </c>
      <c r="Q3" s="1397">
        <f>Q4*Q5+Q7</f>
        <v>0</v>
      </c>
      <c r="R3" s="1397">
        <f>R4*R5+R7</f>
        <v>0</v>
      </c>
      <c r="S3" s="1397">
        <f>S4*S5+S7</f>
        <v>0</v>
      </c>
      <c r="T3" s="1397">
        <f>T4*T5+T7</f>
        <v>0</v>
      </c>
      <c r="U3" s="1397">
        <f>U4*U5+U7</f>
        <v>0</v>
      </c>
      <c r="V3" s="1397">
        <f>V4*V5+V7</f>
        <v>0</v>
      </c>
      <c r="W3" s="1397">
        <f>W4*W5+W7</f>
        <v>0</v>
      </c>
      <c r="X3" s="576"/>
      <c r="AT3" s="1660">
        <v>0</v>
      </c>
    </row>
    <row customHeight="1" ht="23.25" hidden="1">
      <c r="B4" s="2123"/>
      <c r="C4" s="1191"/>
      <c r="D4" s="1662"/>
      <c r="E4" s="570" t="str">
        <f>B2&amp;".1"</f>
        <v>.1</v>
      </c>
      <c r="F4" s="577" t="s">
        <v>633</v>
      </c>
      <c r="G4" s="578"/>
      <c r="H4" s="565"/>
      <c r="I4" s="565"/>
      <c r="J4" s="775"/>
      <c r="K4" s="775"/>
      <c r="L4" s="775"/>
      <c r="M4" s="775"/>
      <c r="N4" s="775"/>
      <c r="O4" s="775"/>
      <c r="P4" s="775"/>
      <c r="Q4" s="775"/>
      <c r="R4" s="775"/>
      <c r="S4" s="775"/>
      <c r="T4" s="775"/>
      <c r="U4" s="775"/>
      <c r="V4" s="775"/>
      <c r="W4" s="775"/>
      <c r="X4" s="313" t="s">
        <v>634</v>
      </c>
      <c r="Y4" s="567"/>
      <c r="AT4" s="1655">
        <v>0</v>
      </c>
    </row>
    <row customHeight="1" ht="18.75" hidden="1">
      <c r="B5" s="2123"/>
      <c r="C5" s="1191"/>
      <c r="D5" s="1662"/>
      <c r="E5" s="570" t="str">
        <f>B2&amp;".2"</f>
        <v>.2</v>
      </c>
      <c r="F5" s="577" t="s">
        <v>635</v>
      </c>
      <c r="G5" s="1670" t="s">
        <v>636</v>
      </c>
      <c r="H5" s="565"/>
      <c r="I5" s="565"/>
      <c r="J5" s="775"/>
      <c r="K5" s="775"/>
      <c r="L5" s="775"/>
      <c r="M5" s="775"/>
      <c r="N5" s="775"/>
      <c r="O5" s="775"/>
      <c r="P5" s="775"/>
      <c r="Q5" s="775"/>
      <c r="R5" s="775"/>
      <c r="S5" s="775"/>
      <c r="T5" s="775"/>
      <c r="U5" s="775"/>
      <c r="V5" s="775"/>
      <c r="W5" s="775"/>
      <c r="X5" s="313"/>
      <c r="Y5" s="567"/>
      <c r="AT5" s="1655">
        <v>0</v>
      </c>
    </row>
    <row customHeight="1" ht="18.75" hidden="1">
      <c r="B6" s="2123"/>
      <c r="C6" s="1191"/>
      <c r="D6" s="1662"/>
      <c r="E6" s="570" t="str">
        <f>B2&amp;".3"</f>
        <v>.3</v>
      </c>
      <c r="F6" s="577" t="s">
        <v>637</v>
      </c>
      <c r="G6" s="1670" t="s">
        <v>636</v>
      </c>
      <c r="H6" s="565"/>
      <c r="I6" s="565"/>
      <c r="J6" s="775"/>
      <c r="K6" s="775"/>
      <c r="L6" s="775"/>
      <c r="M6" s="775"/>
      <c r="N6" s="775"/>
      <c r="O6" s="775"/>
      <c r="P6" s="775"/>
      <c r="Q6" s="775"/>
      <c r="R6" s="775"/>
      <c r="S6" s="775"/>
      <c r="T6" s="775"/>
      <c r="U6" s="775"/>
      <c r="V6" s="775"/>
      <c r="W6" s="775"/>
      <c r="X6" s="313"/>
      <c r="Y6" s="567"/>
      <c r="AT6" s="1655">
        <v>0</v>
      </c>
    </row>
    <row customHeight="1" ht="18.75" hidden="1">
      <c r="B7" s="2123"/>
      <c r="C7" s="1191"/>
      <c r="D7" s="1662"/>
      <c r="E7" s="570" t="str">
        <f>B2&amp;".4"</f>
        <v>.4</v>
      </c>
      <c r="F7" s="577" t="s">
        <v>638</v>
      </c>
      <c r="G7" s="1670" t="s">
        <v>630</v>
      </c>
      <c r="H7" s="579"/>
      <c r="I7" s="579"/>
      <c r="J7" s="579"/>
      <c r="K7" s="579"/>
      <c r="L7" s="579"/>
      <c r="M7" s="579"/>
      <c r="N7" s="579"/>
      <c r="O7" s="579"/>
      <c r="P7" s="579"/>
      <c r="Q7" s="579"/>
      <c r="R7" s="579"/>
      <c r="S7" s="579"/>
      <c r="T7" s="579"/>
      <c r="U7" s="579"/>
      <c r="V7" s="579"/>
      <c r="W7" s="579"/>
      <c r="X7" s="313"/>
      <c r="Y7" s="567"/>
      <c r="AT7" s="1655">
        <v>0</v>
      </c>
    </row>
    <row s="1390" customFormat="1" customHeight="1" ht="11.25" hidden="1">
      <c r="A8" s="1011"/>
      <c r="C8" s="1660"/>
      <c r="D8" s="561"/>
      <c r="H8" s="1184">
        <v>4</v>
      </c>
      <c r="I8" s="1184">
        <v>4</v>
      </c>
      <c r="J8" s="1390">
        <v>4</v>
      </c>
      <c r="K8" s="1390">
        <v>4</v>
      </c>
      <c r="L8" s="1390">
        <v>4</v>
      </c>
      <c r="M8" s="1390">
        <v>4</v>
      </c>
      <c r="N8" s="1390">
        <v>4</v>
      </c>
      <c r="O8" s="1390">
        <v>4</v>
      </c>
      <c r="P8" s="1390">
        <v>4</v>
      </c>
      <c r="Q8" s="1390">
        <v>4</v>
      </c>
      <c r="R8" s="1390">
        <v>4</v>
      </c>
      <c r="S8" s="1390">
        <v>4</v>
      </c>
      <c r="T8" s="1390">
        <v>4</v>
      </c>
      <c r="U8" s="1390">
        <v>4</v>
      </c>
      <c r="V8" s="1390">
        <v>4</v>
      </c>
      <c r="W8" s="1390">
        <v>4</v>
      </c>
      <c r="Z8" s="1660"/>
      <c r="AA8" s="1660"/>
      <c r="AF8" s="1660"/>
      <c r="AT8" s="1184">
        <v>0</v>
      </c>
    </row>
    <row s="1390" customFormat="1" customHeight="1" ht="22.5" hidden="1">
      <c r="A9" s="1011"/>
      <c r="C9" s="1660"/>
      <c r="D9" s="562"/>
      <c r="E9" s="1672"/>
      <c r="F9" s="564"/>
      <c r="G9" s="1670" t="s">
        <v>636</v>
      </c>
      <c r="H9" s="565"/>
      <c r="I9" s="565"/>
      <c r="J9" s="775"/>
      <c r="K9" s="775"/>
      <c r="L9" s="775"/>
      <c r="M9" s="775"/>
      <c r="N9" s="775"/>
      <c r="O9" s="775"/>
      <c r="P9" s="775"/>
      <c r="Q9" s="775"/>
      <c r="R9" s="775"/>
      <c r="S9" s="775"/>
      <c r="T9" s="775"/>
      <c r="U9" s="775"/>
      <c r="V9" s="775"/>
      <c r="W9" s="775"/>
      <c r="X9" s="566" t="s">
        <v>639</v>
      </c>
      <c r="Y9" s="567"/>
      <c r="Z9" s="1660"/>
      <c r="AA9" s="1660"/>
      <c r="AF9" s="1660"/>
      <c r="AI9" s="568"/>
      <c r="AO9" s="1656"/>
      <c r="AP9" s="1656"/>
      <c r="AQ9" s="1656"/>
      <c r="AR9" s="1656"/>
      <c r="AS9" s="1656"/>
      <c r="AT9" s="1184">
        <v>0</v>
      </c>
    </row>
    <row customHeight="1" ht="11.25" hidden="1">
      <c r="J10" s="1659"/>
      <c r="K10" s="1659"/>
      <c r="L10" s="1659"/>
      <c r="M10" s="1659"/>
      <c r="N10" s="1659"/>
      <c r="O10" s="1659"/>
      <c r="P10" s="1659"/>
      <c r="Q10" s="1659"/>
      <c r="R10" s="1659"/>
      <c r="S10" s="1659"/>
      <c r="T10" s="1659"/>
      <c r="U10" s="1659"/>
      <c r="V10" s="1659"/>
      <c r="W10" s="1659"/>
      <c r="AT10" s="1655">
        <v>0</v>
      </c>
    </row>
    <row customHeight="1" ht="18.75" hidden="1">
      <c r="D11" s="1662"/>
      <c r="E11" s="570"/>
      <c r="F11" s="564"/>
      <c r="G11" s="1670" t="s">
        <v>640</v>
      </c>
      <c r="H11" s="565"/>
      <c r="I11" s="565"/>
      <c r="J11" s="775"/>
      <c r="K11" s="775"/>
      <c r="L11" s="775"/>
      <c r="M11" s="775"/>
      <c r="N11" s="775"/>
      <c r="O11" s="775"/>
      <c r="P11" s="775"/>
      <c r="Q11" s="775"/>
      <c r="R11" s="775"/>
      <c r="S11" s="775"/>
      <c r="T11" s="775"/>
      <c r="U11" s="775"/>
      <c r="V11" s="775"/>
      <c r="W11" s="775"/>
      <c r="X11" s="313" t="s">
        <v>641</v>
      </c>
      <c r="Y11" s="567"/>
      <c r="AT11" s="1655">
        <v>0</v>
      </c>
    </row>
    <row customHeight="1" ht="11.25" hidden="1">
      <c r="J12" s="1659"/>
      <c r="K12" s="1659"/>
      <c r="L12" s="1659"/>
      <c r="M12" s="1659"/>
      <c r="N12" s="1659"/>
      <c r="O12" s="1659"/>
      <c r="P12" s="1659"/>
      <c r="Q12" s="1659"/>
      <c r="R12" s="1659"/>
      <c r="S12" s="1659"/>
      <c r="T12" s="1659"/>
      <c r="U12" s="1659"/>
      <c r="V12" s="1659"/>
      <c r="W12" s="1659"/>
      <c r="AT12" s="1655">
        <v>0</v>
      </c>
    </row>
    <row customHeight="1" ht="22.5" hidden="1">
      <c r="D13" s="1662"/>
      <c r="E13" s="570"/>
      <c r="F13" s="564"/>
      <c r="G13" s="993" t="s">
        <v>642</v>
      </c>
      <c r="H13" s="569"/>
      <c r="I13" s="569"/>
      <c r="J13" s="569"/>
      <c r="K13" s="569"/>
      <c r="L13" s="569"/>
      <c r="M13" s="569"/>
      <c r="N13" s="569"/>
      <c r="O13" s="569"/>
      <c r="P13" s="569"/>
      <c r="Q13" s="569"/>
      <c r="R13" s="569"/>
      <c r="S13" s="569"/>
      <c r="T13" s="569"/>
      <c r="U13" s="569"/>
      <c r="V13" s="569"/>
      <c r="W13" s="569"/>
      <c r="X13" s="769" t="s">
        <v>643</v>
      </c>
      <c r="Y13" s="567"/>
      <c r="AT13" s="1655">
        <v>0</v>
      </c>
    </row>
    <row customHeight="1" ht="11.25" hidden="1">
      <c r="J14" s="1659"/>
      <c r="K14" s="1659"/>
      <c r="L14" s="1659"/>
      <c r="M14" s="1659"/>
      <c r="N14" s="1659"/>
      <c r="O14" s="1659"/>
      <c r="P14" s="1659"/>
      <c r="Q14" s="1659"/>
      <c r="R14" s="1659"/>
      <c r="S14" s="1659"/>
      <c r="T14" s="1659"/>
      <c r="U14" s="1659"/>
      <c r="V14" s="1659"/>
      <c r="W14" s="1659"/>
      <c r="AT14" s="1655">
        <v>0</v>
      </c>
    </row>
    <row customHeight="1" ht="22.5" hidden="1">
      <c r="D15" s="1662"/>
      <c r="E15" s="570"/>
      <c r="F15" s="564"/>
      <c r="G15" s="1670" t="s">
        <v>644</v>
      </c>
      <c r="H15" s="569"/>
      <c r="I15" s="569"/>
      <c r="J15" s="569"/>
      <c r="K15" s="569"/>
      <c r="L15" s="569"/>
      <c r="M15" s="569"/>
      <c r="N15" s="569"/>
      <c r="O15" s="569"/>
      <c r="P15" s="569"/>
      <c r="Q15" s="569"/>
      <c r="R15" s="569"/>
      <c r="S15" s="569"/>
      <c r="T15" s="569"/>
      <c r="U15" s="569"/>
      <c r="V15" s="569"/>
      <c r="W15" s="569"/>
      <c r="X15" s="313" t="s">
        <v>645</v>
      </c>
      <c r="Y15" s="567"/>
      <c r="AT15" s="1655">
        <v>0</v>
      </c>
    </row>
    <row customHeight="1" ht="11.25" hidden="1">
      <c r="J16" s="1659"/>
      <c r="K16" s="1659"/>
      <c r="L16" s="1659"/>
      <c r="M16" s="1659"/>
      <c r="N16" s="1659"/>
      <c r="O16" s="1659"/>
      <c r="P16" s="1659"/>
      <c r="Q16" s="1659"/>
      <c r="R16" s="1659"/>
      <c r="S16" s="1659"/>
      <c r="T16" s="1659"/>
      <c r="U16" s="1659"/>
      <c r="V16" s="1659"/>
      <c r="W16" s="1659"/>
      <c r="AT16" s="1655">
        <v>0</v>
      </c>
    </row>
    <row customHeight="1" ht="22.5" hidden="1">
      <c r="D17" s="1662"/>
      <c r="E17" s="570"/>
      <c r="F17" s="564"/>
      <c r="G17" s="1670" t="s">
        <v>646</v>
      </c>
      <c r="H17" s="569"/>
      <c r="I17" s="569"/>
      <c r="J17" s="569"/>
      <c r="K17" s="569"/>
      <c r="L17" s="569"/>
      <c r="M17" s="569"/>
      <c r="N17" s="569"/>
      <c r="O17" s="569"/>
      <c r="P17" s="569"/>
      <c r="Q17" s="569"/>
      <c r="R17" s="569"/>
      <c r="S17" s="569"/>
      <c r="T17" s="569"/>
      <c r="U17" s="569"/>
      <c r="V17" s="569"/>
      <c r="W17" s="569"/>
      <c r="X17" s="313" t="s">
        <v>647</v>
      </c>
      <c r="Y17" s="567"/>
      <c r="AT17" s="1655">
        <v>0</v>
      </c>
    </row>
    <row customHeight="1" ht="11.25" hidden="1">
      <c r="J18" s="1659"/>
      <c r="K18" s="1659"/>
      <c r="L18" s="1659"/>
      <c r="M18" s="1659"/>
      <c r="N18" s="1659"/>
      <c r="O18" s="1659"/>
      <c r="P18" s="1659"/>
      <c r="Q18" s="1659"/>
      <c r="R18" s="1659"/>
      <c r="S18" s="1659"/>
      <c r="T18" s="1659"/>
      <c r="U18" s="1659"/>
      <c r="V18" s="1659"/>
      <c r="W18" s="1659"/>
      <c r="AT18" s="1655">
        <v>0</v>
      </c>
    </row>
    <row s="1656" customFormat="1" customHeight="1" ht="11.25" hidden="1">
      <c r="A19" s="1011"/>
      <c r="B19" s="1184"/>
      <c r="C19" s="1660"/>
      <c r="D19" s="386"/>
      <c r="J19" s="1656"/>
      <c r="K19" s="1656"/>
      <c r="L19" s="1656"/>
      <c r="M19" s="1656"/>
      <c r="N19" s="1656"/>
      <c r="O19" s="1656"/>
      <c r="P19" s="1656"/>
      <c r="Q19" s="1656"/>
      <c r="R19" s="1656"/>
      <c r="S19" s="1656"/>
      <c r="T19" s="1656"/>
      <c r="U19" s="1656"/>
      <c r="V19" s="1656"/>
      <c r="W19" s="1656"/>
      <c r="X19" s="1656">
        <v>4</v>
      </c>
      <c r="Y19" s="1184"/>
      <c r="Z19" s="1660"/>
      <c r="AA19" s="1660"/>
      <c r="AB19" s="1184"/>
      <c r="AC19" s="1184"/>
      <c r="AD19" s="1184"/>
      <c r="AE19" s="1184"/>
      <c r="AF19" s="1660"/>
      <c r="AG19" s="1184"/>
      <c r="AH19" s="1184"/>
      <c r="AI19" s="568"/>
      <c r="AJ19" s="1184"/>
      <c r="AK19" s="1184"/>
      <c r="AL19" s="1184"/>
      <c r="AM19" s="1184"/>
      <c r="AN19" s="1184"/>
      <c r="AT19" s="1656">
        <v>0</v>
      </c>
    </row>
    <row customHeight="1" ht="11.549999999999999">
      <c r="J20" s="1659"/>
      <c r="K20" s="1659"/>
      <c r="L20" s="1659"/>
      <c r="M20" s="1659"/>
      <c r="N20" s="1659"/>
      <c r="O20" s="1659"/>
      <c r="P20" s="1659"/>
      <c r="Q20" s="1659"/>
      <c r="R20" s="1659"/>
      <c r="S20" s="1659"/>
      <c r="T20" s="1659"/>
      <c r="U20" s="1659"/>
      <c r="V20" s="1659"/>
      <c r="W20" s="1659"/>
      <c r="AT20" s="1655">
        <v>11</v>
      </c>
    </row>
    <row customHeight="1" ht="25.2">
      <c r="E21" s="227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72"/>
      <c r="G21" s="2272"/>
      <c r="H21" s="2272"/>
      <c r="I21" s="2272"/>
      <c r="J21" s="2272"/>
      <c r="K21" s="2272"/>
      <c r="L21" s="2272"/>
      <c r="M21" s="2272"/>
      <c r="N21" s="2272"/>
      <c r="O21" s="2272"/>
      <c r="P21" s="2272"/>
      <c r="Q21" s="2272"/>
      <c r="R21" s="2272"/>
      <c r="S21" s="2272"/>
      <c r="T21" s="2272"/>
      <c r="U21" s="2272"/>
      <c r="V21" s="2272"/>
      <c r="W21" s="2272"/>
      <c r="X21" s="580"/>
      <c r="AT21" s="1655">
        <v>24</v>
      </c>
    </row>
    <row customHeight="1" ht="25.2">
      <c r="E22" s="2273" t="str">
        <f>IF(org=0,"Не определено",org)</f>
        <v>АО "ДГК"</v>
      </c>
      <c r="F22" s="2273"/>
      <c r="G22" s="2273"/>
      <c r="H22" s="2273"/>
      <c r="I22" s="2273"/>
      <c r="J22" s="2273"/>
      <c r="K22" s="2273"/>
      <c r="L22" s="2273"/>
      <c r="M22" s="2273"/>
      <c r="N22" s="2273"/>
      <c r="O22" s="2273"/>
      <c r="P22" s="2273"/>
      <c r="Q22" s="2273"/>
      <c r="R22" s="2273"/>
      <c r="S22" s="2273"/>
      <c r="T22" s="2273"/>
      <c r="U22" s="2273"/>
      <c r="V22" s="2273"/>
      <c r="W22" s="2273"/>
      <c r="AT22" s="1655">
        <v>24</v>
      </c>
    </row>
    <row customHeight="1" ht="11.549999999999999">
      <c r="E23" s="1159"/>
      <c r="F23" s="1159"/>
      <c r="G23" s="1159"/>
      <c r="H23" s="1159"/>
      <c r="I23" s="1159"/>
      <c r="J23" s="1160" t="s">
        <v>22</v>
      </c>
      <c r="K23" s="1160" t="s">
        <v>22</v>
      </c>
      <c r="L23" s="1160" t="s">
        <v>22</v>
      </c>
      <c r="M23" s="1160" t="s">
        <v>22</v>
      </c>
      <c r="N23" s="1160" t="s">
        <v>22</v>
      </c>
      <c r="O23" s="1160" t="s">
        <v>22</v>
      </c>
      <c r="P23" s="1160" t="s">
        <v>22</v>
      </c>
      <c r="Q23" s="1160" t="s">
        <v>22</v>
      </c>
      <c r="R23" s="1160" t="s">
        <v>22</v>
      </c>
      <c r="S23" s="1160" t="s">
        <v>22</v>
      </c>
      <c r="T23" s="1160" t="s">
        <v>22</v>
      </c>
      <c r="U23" s="1160" t="s">
        <v>22</v>
      </c>
      <c r="V23" s="1160" t="s">
        <v>22</v>
      </c>
      <c r="W23" s="1160" t="s">
        <v>22</v>
      </c>
      <c r="AT23" s="1655">
        <v>11</v>
      </c>
    </row>
    <row s="1666" customFormat="1" customHeight="1" ht="1.05">
      <c r="A24" s="1191"/>
      <c r="D24" s="1666"/>
      <c r="H24" s="913"/>
      <c r="I24" s="913" t="s">
        <v>176</v>
      </c>
      <c r="J24" s="913" t="s">
        <v>181</v>
      </c>
      <c r="K24" s="913" t="s">
        <v>183</v>
      </c>
      <c r="L24" s="913" t="s">
        <v>185</v>
      </c>
      <c r="M24" s="913" t="s">
        <v>187</v>
      </c>
      <c r="N24" s="913" t="s">
        <v>189</v>
      </c>
      <c r="O24" s="913" t="s">
        <v>191</v>
      </c>
      <c r="P24" s="913" t="s">
        <v>193</v>
      </c>
      <c r="Q24" s="913" t="s">
        <v>195</v>
      </c>
      <c r="R24" s="913" t="s">
        <v>197</v>
      </c>
      <c r="S24" s="913" t="s">
        <v>199</v>
      </c>
      <c r="T24" s="913" t="s">
        <v>201</v>
      </c>
      <c r="U24" s="913" t="s">
        <v>203</v>
      </c>
      <c r="V24" s="913" t="s">
        <v>205</v>
      </c>
      <c r="W24" s="913" t="s">
        <v>207</v>
      </c>
      <c r="AT24" s="1660">
        <v>1</v>
      </c>
    </row>
    <row customHeight="1" ht="11.549999999999999">
      <c r="E25" s="735"/>
      <c r="F25" s="2391" t="s">
        <v>166</v>
      </c>
      <c r="G25" s="2392"/>
      <c r="H25" s="1676" t="str">
        <f>IF(H24="","",INDEX(DIFFERENTIATION_UNMERGE_VD,MATCH(H24,DIFFERENTIATION_ID_DIFF,0)))</f>
        <v/>
      </c>
      <c r="I25" s="1676" t="str">
        <f>IF(I24="","",INDEX(DIFFERENTIATION_UNMERGE_VD,MATCH(I24,DIFFERENTIATION_ID_DIFF,0)))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25" s="2417" t="str">
        <f>IF(J24="","",INDEX(DIFFERENTIATION_UNMERGE_VD,MATCH(J24,DIFFERENTIATION_ID_DIFF,0)))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K25" s="2417" t="str">
        <f>IF(K24="","",INDEX(DIFFERENTIATION_UNMERGE_VD,MATCH(K24,DIFFERENTIATION_ID_DIFF,0)))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L25" s="2417" t="str">
        <f>IF(L24="","",INDEX(DIFFERENTIATION_UNMERGE_VD,MATCH(L24,DIFFERENTIATION_ID_DIFF,0)))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M25" s="2417" t="str">
        <f>IF(M24="","",INDEX(DIFFERENTIATION_UNMERGE_VD,MATCH(M24,DIFFERENTIATION_ID_DIFF,0)))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N25" s="2417" t="str">
        <f>IF(N24="","",INDEX(DIFFERENTIATION_UNMERGE_VD,MATCH(N24,DIFFERENTIATION_ID_DIFF,0)))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O25" s="2417" t="str">
        <f>IF(O24="","",INDEX(DIFFERENTIATION_UNMERGE_VD,MATCH(O24,DIFFERENTIATION_ID_DIFF,0)))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25" s="2417" t="str">
        <f>IF(P24="","",INDEX(DIFFERENTIATION_UNMERGE_VD,MATCH(P24,DIFFERENTIATION_ID_DIFF,0)))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25" s="2417" t="str">
        <f>IF(Q24="","",INDEX(DIFFERENTIATION_UNMERGE_VD,MATCH(Q24,DIFFERENTIATION_ID_DIFF,0)))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R25" s="2417" t="str">
        <f>IF(R24="","",INDEX(DIFFERENTIATION_UNMERGE_VD,MATCH(R24,DIFFERENTIATION_ID_DIFF,0)))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S25" s="2417" t="str">
        <f>IF(S24="","",INDEX(DIFFERENTIATION_UNMERGE_VD,MATCH(S24,DIFFERENTIATION_ID_DIFF,0)))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T25" s="2417" t="str">
        <f>IF(T24="","",INDEX(DIFFERENTIATION_UNMERGE_VD,MATCH(T24,DIFFERENTIATION_ID_DIFF,0)))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U25" s="2417" t="str">
        <f>IF(U24="","",INDEX(DIFFERENTIATION_UNMERGE_VD,MATCH(U24,DIFFERENTIATION_ID_DIFF,0)))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V25" s="2417" t="str">
        <f>IF(V24="","",INDEX(DIFFERENTIATION_UNMERGE_VD,MATCH(V24,DIFFERENTIATION_ID_DIFF,0)))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W25" s="2417" t="str">
        <f>IF(W24="","",INDEX(DIFFERENTIATION_UNMERGE_VD,MATCH(W24,DIFFERENTIATION_ID_DIFF,0)))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X25" s="2151"/>
      <c r="AT25" s="1655">
        <v>11</v>
      </c>
    </row>
    <row customHeight="1" ht="11.549999999999999">
      <c r="E26" s="735"/>
      <c r="F26" s="2391" t="s">
        <v>648</v>
      </c>
      <c r="G26" s="2392"/>
      <c r="H26" s="1676" t="str">
        <f>IF(H24="","",INDEX(DIFFERENTIATION_UNMERGE_AREA,MATCH(H24,DIFFERENTIATION_ID_DIFF,0)))</f>
        <v/>
      </c>
      <c r="I26" s="1676" t="str">
        <f>IF(I24="","",INDEX(DIFFERENTIATION_UNMERGE_AREA,MATCH(I24,DIFFERENTIATION_ID_DIFF,0)))</f>
        <v>Территория 1</v>
      </c>
      <c r="J26" s="2417" t="str">
        <f>IF(J24="","",INDEX(DIFFERENTIATION_UNMERGE_AREA,MATCH(J24,DIFFERENTIATION_ID_DIFF,0)))</f>
        <v>Территория 2</v>
      </c>
      <c r="K26" s="2417" t="str">
        <f>IF(K24="","",INDEX(DIFFERENTIATION_UNMERGE_AREA,MATCH(K24,DIFFERENTIATION_ID_DIFF,0)))</f>
        <v>Территория 2</v>
      </c>
      <c r="L26" s="2417" t="str">
        <f>IF(L24="","",INDEX(DIFFERENTIATION_UNMERGE_AREA,MATCH(L24,DIFFERENTIATION_ID_DIFF,0)))</f>
        <v>Территория 3</v>
      </c>
      <c r="M26" s="2417" t="str">
        <f>IF(M24="","",INDEX(DIFFERENTIATION_UNMERGE_AREA,MATCH(M24,DIFFERENTIATION_ID_DIFF,0)))</f>
        <v>Территория 3</v>
      </c>
      <c r="N26" s="2417" t="str">
        <f>IF(N24="","",INDEX(DIFFERENTIATION_UNMERGE_AREA,MATCH(N24,DIFFERENTIATION_ID_DIFF,0)))</f>
        <v>Территория 3</v>
      </c>
      <c r="O26" s="2417" t="str">
        <f>IF(O24="","",INDEX(DIFFERENTIATION_UNMERGE_AREA,MATCH(O24,DIFFERENTIATION_ID_DIFF,0)))</f>
        <v>Территория 3</v>
      </c>
      <c r="P26" s="2417" t="str">
        <f>IF(P24="","",INDEX(DIFFERENTIATION_UNMERGE_AREA,MATCH(P24,DIFFERENTIATION_ID_DIFF,0)))</f>
        <v>Территория 4</v>
      </c>
      <c r="Q26" s="2417" t="str">
        <f>IF(Q24="","",INDEX(DIFFERENTIATION_UNMERGE_AREA,MATCH(Q24,DIFFERENTIATION_ID_DIFF,0)))</f>
        <v>Территория 5</v>
      </c>
      <c r="R26" s="2417" t="str">
        <f>IF(R24="","",INDEX(DIFFERENTIATION_UNMERGE_AREA,MATCH(R24,DIFFERENTIATION_ID_DIFF,0)))</f>
        <v>Территория 6</v>
      </c>
      <c r="S26" s="2417" t="str">
        <f>IF(S24="","",INDEX(DIFFERENTIATION_UNMERGE_AREA,MATCH(S24,DIFFERENTIATION_ID_DIFF,0)))</f>
        <v>Территория 7</v>
      </c>
      <c r="T26" s="2417" t="str">
        <f>IF(T24="","",INDEX(DIFFERENTIATION_UNMERGE_AREA,MATCH(T24,DIFFERENTIATION_ID_DIFF,0)))</f>
        <v>Территория 8</v>
      </c>
      <c r="U26" s="2417" t="str">
        <f>IF(U24="","",INDEX(DIFFERENTIATION_UNMERGE_AREA,MATCH(U24,DIFFERENTIATION_ID_DIFF,0)))</f>
        <v>Территория 8</v>
      </c>
      <c r="V26" s="2417" t="str">
        <f>IF(V24="","",INDEX(DIFFERENTIATION_UNMERGE_AREA,MATCH(V24,DIFFERENTIATION_ID_DIFF,0)))</f>
        <v>Территория 9</v>
      </c>
      <c r="W26" s="2417" t="str">
        <f>IF(W24="","",INDEX(DIFFERENTIATION_UNMERGE_AREA,MATCH(W24,DIFFERENTIATION_ID_DIFF,0)))</f>
        <v>Территория 10</v>
      </c>
      <c r="X26" s="2151"/>
      <c r="AT26" s="1655">
        <v>11</v>
      </c>
    </row>
    <row customHeight="1" ht="11.549999999999999">
      <c r="E27" s="735"/>
      <c r="F27" s="2391" t="s">
        <v>649</v>
      </c>
      <c r="G27" s="2392"/>
      <c r="H27" s="1676" t="str">
        <f>IF(H24="","",INDEX(DIFFERENTIATION_UNMERGE_SYSTEM,MATCH(H24,DIFFERENTIATION_ID_DIFF,0)))</f>
        <v/>
      </c>
      <c r="I27" s="1676" t="str">
        <f>IF(I24="","",INDEX(DIFFERENTIATION_UNMERGE_SYSTEM,MATCH(I24,DIFFERENTIATION_ID_DIFF,0)))</f>
        <v>Амурская ТЭЦ-1 (г. Амурск)</v>
      </c>
      <c r="J27" s="2417" t="str">
        <f>IF(J24="","",INDEX(DIFFERENTIATION_UNMERGE_SYSTEM,MATCH(J24,DIFFERENTIATION_ID_DIFF,0)))</f>
        <v>Николаевская ТЭЦ (г. Николаевск)</v>
      </c>
      <c r="K27" s="2417" t="str">
        <f>IF(K24="","",INDEX(DIFFERENTIATION_UNMERGE_SYSTEM,MATCH(K24,DIFFERENTIATION_ID_DIFF,0)))</f>
        <v>котельная "Аэропорт"</v>
      </c>
      <c r="L27" s="2417" t="str">
        <f>IF(L24="","",INDEX(DIFFERENTIATION_UNMERGE_SYSTEM,MATCH(L24,DIFFERENTIATION_ID_DIFF,0)))</f>
        <v>Комсомольская ТЭЦ-1 (г. Комсомольск)</v>
      </c>
      <c r="M27" s="2417" t="str">
        <f>IF(M24="","",INDEX(DIFFERENTIATION_UNMERGE_SYSTEM,MATCH(M24,DIFFERENTIATION_ID_DIFF,0)))</f>
        <v>Комсомольская ТЭЦ-2 (г. Комсомольск)</v>
      </c>
      <c r="N27" s="2417" t="str">
        <f>IF(N24="","",INDEX(DIFFERENTIATION_UNMERGE_SYSTEM,MATCH(N24,DIFFERENTIATION_ID_DIFF,0)))</f>
        <v>Комсомольская ТЭЦ-3 (г. Комсомольск)</v>
      </c>
      <c r="O27" s="2417" t="str">
        <f>IF(O24="","",INDEX(DIFFERENTIATION_UNMERGE_SYSTEM,MATCH(O24,DIFFERENTIATION_ID_DIFF,0)))</f>
        <v>ВК "Дземги" (г. Комсомольск)</v>
      </c>
      <c r="P27" s="2417" t="str">
        <f>IF(P24="","",INDEX(DIFFERENTIATION_UNMERGE_SYSTEM,MATCH(P24,DIFFERENTIATION_ID_DIFF,0)))</f>
        <v>ТЭЦ в г. Советская Гавань</v>
      </c>
      <c r="Q27" s="2417" t="str">
        <f>IF(Q24="","",INDEX(DIFFERENTIATION_UNMERGE_SYSTEM,MATCH(Q24,DIFFERENTIATION_ID_DIFF,0)))</f>
        <v>Майская котельная </v>
      </c>
      <c r="R27" s="2417" t="str">
        <f>IF(R24="","",INDEX(DIFFERENTIATION_UNMERGE_SYSTEM,MATCH(R24,DIFFERENTIATION_ID_DIFF,0)))</f>
        <v>Ургальская котельная (п. Чегдомын)</v>
      </c>
      <c r="S27" s="2417" t="str">
        <f>IF(S24="","",INDEX(DIFFERENTIATION_UNMERGE_SYSTEM,MATCH(S24,DIFFERENTIATION_ID_DIFF,0)))</f>
        <v>Хабаровская ТЭЦ-1 (г. Хабаровск, с. Ильинское, п. Корфовский, с. Ракитненское)</v>
      </c>
      <c r="T27" s="2417" t="str">
        <f>IF(T24="","",INDEX(DIFFERENTIATION_UNMERGE_SYSTEM,MATCH(T24,DIFFERENTIATION_ID_DIFF,0)))</f>
        <v>Хабаровская ТЭЦ-2 (г. Хабаровск)</v>
      </c>
      <c r="U27" s="2417" t="str">
        <f>IF(U24="","",INDEX(DIFFERENTIATION_UNMERGE_SYSTEM,MATCH(U24,DIFFERENTIATION_ID_DIFF,0)))</f>
        <v>Котельная в Волочаевском городке</v>
      </c>
      <c r="V27" s="2417" t="str">
        <f>IF(V24="","",INDEX(DIFFERENTIATION_UNMERGE_SYSTEM,MATCH(V24,DIFFERENTIATION_ID_DIFF,0)))</f>
        <v>Хабаровская ТЭЦ-3 (г. Хабаровск, с. Восточное, с. Мирненское, с. Тополевское)</v>
      </c>
      <c r="W27" s="2417" t="str">
        <f>IF(W24="","",INDEX(DIFFERENTIATION_UNMERGE_SYSTEM,MATCH(W24,DIFFERENTIATION_ID_DIFF,0)))</f>
        <v>Котельная в с. Некрасовка (с. Дружбинское, с. Некрасовское) </v>
      </c>
      <c r="X27" s="2151"/>
      <c r="AT27" s="1655">
        <v>11</v>
      </c>
    </row>
    <row customHeight="1" ht="11.549999999999999">
      <c r="E28" s="2393" t="s">
        <v>384</v>
      </c>
      <c r="F28" s="2394"/>
      <c r="G28" s="2394"/>
      <c r="H28" s="1669"/>
      <c r="I28" s="1669"/>
      <c r="J28" s="2391"/>
      <c r="K28" s="2391"/>
      <c r="L28" s="2391"/>
      <c r="M28" s="2391"/>
      <c r="N28" s="2391"/>
      <c r="O28" s="2391"/>
      <c r="P28" s="2391"/>
      <c r="Q28" s="2391"/>
      <c r="R28" s="2391"/>
      <c r="S28" s="2391"/>
      <c r="T28" s="2391"/>
      <c r="U28" s="2391"/>
      <c r="V28" s="2391"/>
      <c r="W28" s="2391"/>
      <c r="X28" s="2151"/>
      <c r="AT28" s="1655">
        <v>11</v>
      </c>
    </row>
    <row customHeight="1" ht="24">
      <c r="E29" s="1670" t="s">
        <v>88</v>
      </c>
      <c r="F29" s="1677" t="s">
        <v>386</v>
      </c>
      <c r="G29" s="1677" t="s">
        <v>650</v>
      </c>
      <c r="H29" s="1677" t="s">
        <v>387</v>
      </c>
      <c r="I29" s="1677" t="s">
        <v>387</v>
      </c>
      <c r="J29" s="2336" t="s">
        <v>387</v>
      </c>
      <c r="K29" s="2336" t="s">
        <v>387</v>
      </c>
      <c r="L29" s="2336" t="s">
        <v>387</v>
      </c>
      <c r="M29" s="2336" t="s">
        <v>387</v>
      </c>
      <c r="N29" s="2336" t="s">
        <v>387</v>
      </c>
      <c r="O29" s="2336" t="s">
        <v>387</v>
      </c>
      <c r="P29" s="2336" t="s">
        <v>387</v>
      </c>
      <c r="Q29" s="2336" t="s">
        <v>387</v>
      </c>
      <c r="R29" s="2336" t="s">
        <v>387</v>
      </c>
      <c r="S29" s="2336" t="s">
        <v>387</v>
      </c>
      <c r="T29" s="2336" t="s">
        <v>387</v>
      </c>
      <c r="U29" s="2336" t="s">
        <v>387</v>
      </c>
      <c r="V29" s="2336" t="s">
        <v>387</v>
      </c>
      <c r="W29" s="2336" t="s">
        <v>387</v>
      </c>
      <c r="X29" s="2151"/>
      <c r="AT29" s="1655">
        <v>23</v>
      </c>
    </row>
    <row customHeight="1" ht="19.95">
      <c r="D30" s="1662"/>
      <c r="E30" s="570">
        <f>FHD_NUM_P_1</f>
        <v>1</v>
      </c>
      <c r="F30" s="1904" t="str">
        <f>FHD_P_1</f>
        <v>Выручка от регулируемого вида деятельности с распределением по видам деятельности</v>
      </c>
      <c r="G30" s="1902" t="s">
        <v>636</v>
      </c>
      <c r="H30" s="581"/>
      <c r="I30" s="581"/>
      <c r="J30" s="581"/>
      <c r="K30" s="581"/>
      <c r="L30" s="581"/>
      <c r="M30" s="581"/>
      <c r="N30" s="581"/>
      <c r="O30" s="581"/>
      <c r="P30" s="581"/>
      <c r="Q30" s="581"/>
      <c r="R30" s="581"/>
      <c r="S30" s="581"/>
      <c r="T30" s="581"/>
      <c r="U30" s="581"/>
      <c r="V30" s="581"/>
      <c r="W30" s="581"/>
      <c r="X30" s="313" t="str">
        <f>FHD_NOTE_P_1</f>
        <v>Указывается выручка от регулируемого вида деятельности с распределением по видам деятельности.</v>
      </c>
      <c r="Y30" s="567"/>
      <c r="AT30" s="1655">
        <v>19</v>
      </c>
    </row>
    <row customHeight="1" ht="11.549999999999999">
      <c r="D31" s="1662"/>
      <c r="E31" s="570">
        <f>FHD_NUM_P_2</f>
        <v>2</v>
      </c>
      <c r="F31" s="1904" t="str">
        <f>FHD_P_2</f>
        <v>Себестоимость производимых товаров (оказываемых услуг) по регулируемому виду деятельности, включая:</v>
      </c>
      <c r="G31" s="1902" t="s">
        <v>636</v>
      </c>
      <c r="H31" s="582">
        <f>SUMIF($Y33:$Y71,$Y31,H33:H71)</f>
        <v>0</v>
      </c>
      <c r="I31" s="582">
        <f>SUMIF($Y33:$Y71,$Y31,I33:I71)</f>
        <v>0</v>
      </c>
      <c r="J31" s="582">
        <f>SUMIF($Y33:$Y71,$Y31,J33:J71)</f>
        <v>0</v>
      </c>
      <c r="K31" s="582">
        <f>SUMIF($Y33:$Y71,$Y31,K33:K71)</f>
        <v>0</v>
      </c>
      <c r="L31" s="582">
        <f>SUMIF($Y33:$Y71,$Y31,L33:L71)</f>
        <v>0</v>
      </c>
      <c r="M31" s="582">
        <f>SUMIF($Y33:$Y71,$Y31,M33:M71)</f>
        <v>0</v>
      </c>
      <c r="N31" s="582">
        <f>SUMIF($Y33:$Y71,$Y31,N33:N71)</f>
        <v>0</v>
      </c>
      <c r="O31" s="582">
        <f>SUMIF($Y33:$Y71,$Y31,O33:O71)</f>
        <v>0</v>
      </c>
      <c r="P31" s="582">
        <f>SUMIF($Y33:$Y71,$Y31,P33:P71)</f>
        <v>0</v>
      </c>
      <c r="Q31" s="582">
        <f>SUMIF($Y33:$Y71,$Y31,Q33:Q71)</f>
        <v>0</v>
      </c>
      <c r="R31" s="582">
        <f>SUMIF($Y33:$Y71,$Y31,R33:R71)</f>
        <v>0</v>
      </c>
      <c r="S31" s="582">
        <f>SUMIF($Y33:$Y71,$Y31,S33:S71)</f>
        <v>0</v>
      </c>
      <c r="T31" s="582">
        <f>SUMIF($Y33:$Y71,$Y31,T33:T71)</f>
        <v>0</v>
      </c>
      <c r="U31" s="582">
        <f>SUMIF($Y33:$Y71,$Y31,U33:U71)</f>
        <v>0</v>
      </c>
      <c r="V31" s="582">
        <f>SUMIF($Y33:$Y71,$Y31,V33:V71)</f>
        <v>0</v>
      </c>
      <c r="W31" s="582">
        <f>SUMIF($Y33:$Y71,$Y31,W33:W71)</f>
        <v>0</v>
      </c>
      <c r="X31" s="313" t="str">
        <f>FHD_NOTE_P_2</f>
        <v>Указывается суммарная себестоимость производимых товаров.</v>
      </c>
      <c r="Y31" s="1660" t="s">
        <v>651</v>
      </c>
      <c r="AT31" s="1655">
        <v>11</v>
      </c>
    </row>
    <row customHeight="1" ht="11.549999999999999">
      <c r="D32" s="1662"/>
      <c r="E32" s="570" t="str">
        <f>FHD_NUM_P_3</f>
        <v>2.1</v>
      </c>
      <c r="F32" s="1548" t="str">
        <f>FHD_P_3</f>
        <v>Расходы на приобретаемую тепловую энергию (мощность), теплоноситель</v>
      </c>
      <c r="G32" s="1902" t="s">
        <v>636</v>
      </c>
      <c r="H32" s="581"/>
      <c r="I32" s="581"/>
      <c r="J32" s="581"/>
      <c r="K32" s="581"/>
      <c r="L32" s="581"/>
      <c r="M32" s="581"/>
      <c r="N32" s="581"/>
      <c r="O32" s="581"/>
      <c r="P32" s="581"/>
      <c r="Q32" s="581"/>
      <c r="R32" s="581"/>
      <c r="S32" s="581"/>
      <c r="T32" s="581"/>
      <c r="U32" s="581"/>
      <c r="V32" s="581"/>
      <c r="W32" s="581"/>
      <c r="X32" s="313" t="str">
        <f>FHD_NOTE_P_3</f>
        <v/>
      </c>
      <c r="Y32" s="1660" t="str">
        <f>IF((LEN(E32)-LEN(SUBSTITUTE(E32,".","")))/LEN(".")=1,"p","")</f>
        <v>p</v>
      </c>
      <c r="AT32" s="1655">
        <v>11</v>
      </c>
    </row>
    <row customHeight="1" ht="11.25">
      <c r="A33" s="2395" t="s">
        <v>652</v>
      </c>
      <c r="D33" s="1662"/>
      <c r="E33" s="570" t="str">
        <f>FHD_NUM_P_4</f>
        <v>2.2</v>
      </c>
      <c r="F33" s="154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02" t="s">
        <v>636</v>
      </c>
      <c r="H33" s="582">
        <f>SUMIF($F34:$F40,$F3,H34:H40)</f>
        <v>0</v>
      </c>
      <c r="I33" s="582">
        <f>SUMIF($F34:$F40,$F3,I34:I40)</f>
        <v>0</v>
      </c>
      <c r="J33" s="582">
        <f>SUMIF($F34:$F40,$F3,J34:J40)</f>
        <v>0</v>
      </c>
      <c r="K33" s="582">
        <f>SUMIF($F34:$F40,$F3,K34:K40)</f>
        <v>0</v>
      </c>
      <c r="L33" s="582">
        <f>SUMIF($F34:$F40,$F3,L34:L40)</f>
        <v>0</v>
      </c>
      <c r="M33" s="582">
        <f>SUMIF($F34:$F40,$F3,M34:M40)</f>
        <v>0</v>
      </c>
      <c r="N33" s="582">
        <f>SUMIF($F34:$F40,$F3,N34:N40)</f>
        <v>0</v>
      </c>
      <c r="O33" s="582">
        <f>SUMIF($F34:$F40,$F3,O34:O40)</f>
        <v>0</v>
      </c>
      <c r="P33" s="582">
        <f>SUMIF($F34:$F40,$F3,P34:P40)</f>
        <v>0</v>
      </c>
      <c r="Q33" s="582">
        <f>SUMIF($F34:$F40,$F3,Q34:Q40)</f>
        <v>0</v>
      </c>
      <c r="R33" s="582">
        <f>SUMIF($F34:$F40,$F3,R34:R40)</f>
        <v>0</v>
      </c>
      <c r="S33" s="582">
        <f>SUMIF($F34:$F40,$F3,S34:S40)</f>
        <v>0</v>
      </c>
      <c r="T33" s="582">
        <f>SUMIF($F34:$F40,$F3,T34:T40)</f>
        <v>0</v>
      </c>
      <c r="U33" s="582">
        <f>SUMIF($F34:$F40,$F3,U34:U40)</f>
        <v>0</v>
      </c>
      <c r="V33" s="582">
        <f>SUMIF($F34:$F40,$F3,V34:V40)</f>
        <v>0</v>
      </c>
      <c r="W33" s="582">
        <f>SUMIF($F34:$F40,$F3,W34:W40)</f>
        <v>0</v>
      </c>
      <c r="X33" s="313" t="str">
        <f>FHD_NOTE_P_4</f>
        <v>Указываются суммарные расходы на приобретение топлива всех видов.</v>
      </c>
      <c r="Y33" s="1660" t="str">
        <f>IF((LEN(E33)-LEN(SUBSTITUTE(E33,".","")))/LEN(".")=1,"p","")</f>
        <v>p</v>
      </c>
      <c r="AT33" s="1655">
        <v>0</v>
      </c>
    </row>
    <row s="1665" customFormat="1" customHeight="1" ht="0.75">
      <c r="A34" s="2395"/>
      <c r="B34" s="2396" t="str">
        <f>E33&amp;".0"</f>
        <v>2.2.0</v>
      </c>
      <c r="C34" s="1191"/>
      <c r="D34" s="584"/>
      <c r="E34" s="585"/>
      <c r="F34" s="586"/>
      <c r="G34" s="587"/>
      <c r="H34" s="521"/>
      <c r="I34" s="521"/>
      <c r="J34" s="521"/>
      <c r="K34" s="521"/>
      <c r="L34" s="521"/>
      <c r="M34" s="521"/>
      <c r="N34" s="521"/>
      <c r="O34" s="521"/>
      <c r="P34" s="521"/>
      <c r="Q34" s="521"/>
      <c r="R34" s="521"/>
      <c r="S34" s="521"/>
      <c r="T34" s="521"/>
      <c r="U34" s="521"/>
      <c r="V34" s="521"/>
      <c r="W34" s="521"/>
      <c r="X34" s="588"/>
      <c r="Y34" s="1660" t="str">
        <f>IF((LEN(E34)-LEN(SUBSTITUTE(E34,".","")))/LEN(".")=1,"p","")</f>
        <v/>
      </c>
      <c r="Z34" s="1660"/>
      <c r="AA34" s="1660"/>
      <c r="AB34" s="1660"/>
      <c r="AC34" s="1660"/>
      <c r="AD34" s="1660"/>
      <c r="AE34" s="1660"/>
      <c r="AF34" s="1660"/>
      <c r="AG34" s="1660"/>
      <c r="AH34" s="1660"/>
      <c r="AI34" s="589"/>
      <c r="AJ34" s="1660"/>
      <c r="AK34" s="1660"/>
      <c r="AL34" s="1660"/>
      <c r="AM34" s="1660"/>
      <c r="AN34" s="1660"/>
      <c r="AO34" s="590"/>
      <c r="AP34" s="590"/>
      <c r="AQ34" s="590"/>
      <c r="AR34" s="590"/>
      <c r="AS34" s="590"/>
      <c r="AT34" s="1665">
        <v>0</v>
      </c>
    </row>
    <row s="1665" customFormat="1" customHeight="1" ht="0.75">
      <c r="A35" s="2395"/>
      <c r="B35" s="2396"/>
      <c r="C35" s="1191"/>
      <c r="D35" s="584"/>
      <c r="E35" s="591"/>
      <c r="F35" s="592"/>
      <c r="G35" s="587"/>
      <c r="H35" s="593"/>
      <c r="I35" s="593"/>
      <c r="J35" s="593"/>
      <c r="K35" s="593"/>
      <c r="L35" s="593"/>
      <c r="M35" s="593"/>
      <c r="N35" s="593"/>
      <c r="O35" s="593"/>
      <c r="P35" s="593"/>
      <c r="Q35" s="593"/>
      <c r="R35" s="593"/>
      <c r="S35" s="593"/>
      <c r="T35" s="593"/>
      <c r="U35" s="593"/>
      <c r="V35" s="593"/>
      <c r="W35" s="593"/>
      <c r="X35" s="588"/>
      <c r="Y35" s="1660" t="str">
        <f>IF((LEN(E35)-LEN(SUBSTITUTE(E35,".","")))/LEN(".")=1,"p","")</f>
        <v/>
      </c>
      <c r="Z35" s="1660"/>
      <c r="AA35" s="1660"/>
      <c r="AB35" s="1660"/>
      <c r="AC35" s="1660"/>
      <c r="AD35" s="1660"/>
      <c r="AE35" s="1660"/>
      <c r="AF35" s="1660"/>
      <c r="AG35" s="1660"/>
      <c r="AH35" s="1660"/>
      <c r="AI35" s="589"/>
      <c r="AJ35" s="1660"/>
      <c r="AK35" s="1660"/>
      <c r="AL35" s="1660"/>
      <c r="AM35" s="1660"/>
      <c r="AN35" s="1660"/>
      <c r="AO35" s="590"/>
      <c r="AP35" s="590"/>
      <c r="AQ35" s="590"/>
      <c r="AR35" s="590"/>
      <c r="AS35" s="590"/>
      <c r="AT35" s="1665">
        <v>0</v>
      </c>
    </row>
    <row s="1665" customFormat="1" customHeight="1" ht="0.75">
      <c r="A36" s="2395"/>
      <c r="B36" s="2396"/>
      <c r="C36" s="1191"/>
      <c r="D36" s="584"/>
      <c r="E36" s="591"/>
      <c r="F36" s="592"/>
      <c r="G36" s="587"/>
      <c r="H36" s="593"/>
      <c r="I36" s="593"/>
      <c r="J36" s="593"/>
      <c r="K36" s="593"/>
      <c r="L36" s="593"/>
      <c r="M36" s="593"/>
      <c r="N36" s="593"/>
      <c r="O36" s="593"/>
      <c r="P36" s="593"/>
      <c r="Q36" s="593"/>
      <c r="R36" s="593"/>
      <c r="S36" s="593"/>
      <c r="T36" s="593"/>
      <c r="U36" s="593"/>
      <c r="V36" s="593"/>
      <c r="W36" s="593"/>
      <c r="X36" s="588"/>
      <c r="Y36" s="1660" t="str">
        <f>IF((LEN(E36)-LEN(SUBSTITUTE(E36,".","")))/LEN(".")=1,"p","")</f>
        <v/>
      </c>
      <c r="Z36" s="1660"/>
      <c r="AA36" s="1660"/>
      <c r="AB36" s="1660"/>
      <c r="AC36" s="1660"/>
      <c r="AD36" s="1660"/>
      <c r="AE36" s="1660"/>
      <c r="AF36" s="1660"/>
      <c r="AG36" s="1660"/>
      <c r="AH36" s="1660"/>
      <c r="AI36" s="589"/>
      <c r="AJ36" s="1660"/>
      <c r="AK36" s="1660"/>
      <c r="AL36" s="1660"/>
      <c r="AM36" s="1660"/>
      <c r="AN36" s="1660"/>
      <c r="AO36" s="590"/>
      <c r="AP36" s="590"/>
      <c r="AQ36" s="590"/>
      <c r="AR36" s="590"/>
      <c r="AS36" s="590"/>
      <c r="AT36" s="1665">
        <v>0</v>
      </c>
    </row>
    <row s="1665" customFormat="1" customHeight="1" ht="0.75">
      <c r="A37" s="2395"/>
      <c r="B37" s="2396"/>
      <c r="C37" s="1191"/>
      <c r="D37" s="584"/>
      <c r="E37" s="591"/>
      <c r="F37" s="592"/>
      <c r="G37" s="587"/>
      <c r="H37" s="593"/>
      <c r="I37" s="593"/>
      <c r="J37" s="593"/>
      <c r="K37" s="593"/>
      <c r="L37" s="593"/>
      <c r="M37" s="593"/>
      <c r="N37" s="593"/>
      <c r="O37" s="593"/>
      <c r="P37" s="593"/>
      <c r="Q37" s="593"/>
      <c r="R37" s="593"/>
      <c r="S37" s="593"/>
      <c r="T37" s="593"/>
      <c r="U37" s="593"/>
      <c r="V37" s="593"/>
      <c r="W37" s="593"/>
      <c r="X37" s="588"/>
      <c r="Y37" s="1660" t="str">
        <f>IF((LEN(E37)-LEN(SUBSTITUTE(E37,".","")))/LEN(".")=1,"p","")</f>
        <v/>
      </c>
      <c r="Z37" s="1660"/>
      <c r="AA37" s="1660"/>
      <c r="AB37" s="1660"/>
      <c r="AC37" s="1660"/>
      <c r="AD37" s="1660"/>
      <c r="AE37" s="1660"/>
      <c r="AF37" s="1660"/>
      <c r="AG37" s="1660"/>
      <c r="AH37" s="1660"/>
      <c r="AI37" s="589"/>
      <c r="AJ37" s="1660"/>
      <c r="AK37" s="1660"/>
      <c r="AL37" s="1660"/>
      <c r="AM37" s="1660"/>
      <c r="AN37" s="1660"/>
      <c r="AO37" s="590"/>
      <c r="AP37" s="590"/>
      <c r="AQ37" s="590"/>
      <c r="AR37" s="590"/>
      <c r="AS37" s="590"/>
      <c r="AT37" s="1665">
        <v>0</v>
      </c>
    </row>
    <row s="1665" customFormat="1" customHeight="1" ht="0.75">
      <c r="A38" s="2395"/>
      <c r="B38" s="2396"/>
      <c r="C38" s="1191"/>
      <c r="D38" s="584"/>
      <c r="E38" s="591"/>
      <c r="F38" s="592"/>
      <c r="G38" s="587"/>
      <c r="H38" s="593"/>
      <c r="I38" s="593"/>
      <c r="J38" s="593"/>
      <c r="K38" s="593"/>
      <c r="L38" s="593"/>
      <c r="M38" s="593"/>
      <c r="N38" s="593"/>
      <c r="O38" s="593"/>
      <c r="P38" s="593"/>
      <c r="Q38" s="593"/>
      <c r="R38" s="593"/>
      <c r="S38" s="593"/>
      <c r="T38" s="593"/>
      <c r="U38" s="593"/>
      <c r="V38" s="593"/>
      <c r="W38" s="593"/>
      <c r="X38" s="588"/>
      <c r="Y38" s="1660" t="str">
        <f>IF((LEN(E38)-LEN(SUBSTITUTE(E38,".","")))/LEN(".")=1,"p","")</f>
        <v/>
      </c>
      <c r="Z38" s="1660"/>
      <c r="AA38" s="1660"/>
      <c r="AB38" s="1660"/>
      <c r="AC38" s="1660"/>
      <c r="AD38" s="1660"/>
      <c r="AE38" s="1660"/>
      <c r="AF38" s="1660"/>
      <c r="AG38" s="1660"/>
      <c r="AH38" s="1660"/>
      <c r="AI38" s="589"/>
      <c r="AJ38" s="1660"/>
      <c r="AK38" s="1660"/>
      <c r="AL38" s="1660"/>
      <c r="AM38" s="1660"/>
      <c r="AN38" s="1660"/>
      <c r="AO38" s="590"/>
      <c r="AP38" s="590"/>
      <c r="AQ38" s="590"/>
      <c r="AR38" s="590"/>
      <c r="AS38" s="590"/>
      <c r="AT38" s="1665">
        <v>0</v>
      </c>
    </row>
    <row s="1665" customFormat="1" customHeight="1" ht="0.75">
      <c r="A39" s="2395"/>
      <c r="B39" s="2396"/>
      <c r="C39" s="1191"/>
      <c r="D39" s="584"/>
      <c r="E39" s="591"/>
      <c r="F39" s="592"/>
      <c r="G39" s="587"/>
      <c r="H39" s="521"/>
      <c r="I39" s="521"/>
      <c r="J39" s="521"/>
      <c r="K39" s="521"/>
      <c r="L39" s="521"/>
      <c r="M39" s="521"/>
      <c r="N39" s="521"/>
      <c r="O39" s="521"/>
      <c r="P39" s="521"/>
      <c r="Q39" s="521"/>
      <c r="R39" s="521"/>
      <c r="S39" s="521"/>
      <c r="T39" s="521"/>
      <c r="U39" s="521"/>
      <c r="V39" s="521"/>
      <c r="W39" s="521"/>
      <c r="X39" s="588"/>
      <c r="Y39" s="1660" t="str">
        <f>IF((LEN(E39)-LEN(SUBSTITUTE(E39,".","")))/LEN(".")=1,"p","")</f>
        <v/>
      </c>
      <c r="Z39" s="1660"/>
      <c r="AA39" s="1660"/>
      <c r="AB39" s="1660"/>
      <c r="AC39" s="1660"/>
      <c r="AD39" s="1660"/>
      <c r="AE39" s="1660"/>
      <c r="AF39" s="1660"/>
      <c r="AG39" s="1660"/>
      <c r="AH39" s="1660"/>
      <c r="AI39" s="589"/>
      <c r="AJ39" s="1660"/>
      <c r="AK39" s="1660"/>
      <c r="AL39" s="1660"/>
      <c r="AM39" s="1660"/>
      <c r="AN39" s="1660"/>
      <c r="AO39" s="590"/>
      <c r="AP39" s="590"/>
      <c r="AQ39" s="590"/>
      <c r="AR39" s="590"/>
      <c r="AS39" s="590"/>
      <c r="AT39" s="1665">
        <v>0</v>
      </c>
    </row>
    <row s="1390" customFormat="1" customHeight="1" ht="15">
      <c r="A40" s="2395"/>
      <c r="C40" s="1660"/>
      <c r="D40" s="1657"/>
      <c r="E40" s="594"/>
      <c r="F40" s="595" t="s">
        <v>653</v>
      </c>
      <c r="G40" s="596"/>
      <c r="H40" s="597"/>
      <c r="I40" s="597"/>
      <c r="J40" s="2657"/>
      <c r="K40" s="2658"/>
      <c r="L40" s="2659"/>
      <c r="M40" s="2660"/>
      <c r="N40" s="2661"/>
      <c r="O40" s="2662"/>
      <c r="P40" s="2663"/>
      <c r="Q40" s="2664"/>
      <c r="R40" s="2665"/>
      <c r="S40" s="2666"/>
      <c r="T40" s="2667"/>
      <c r="U40" s="2668"/>
      <c r="V40" s="2669"/>
      <c r="W40" s="2670"/>
      <c r="X40" s="325"/>
      <c r="Y40" s="1660" t="str">
        <f>IF((LEN(E40)-LEN(SUBSTITUTE(E40,".","")))/LEN(".")=1,"p","")</f>
        <v/>
      </c>
      <c r="Z40" s="1660"/>
      <c r="AA40" s="1660"/>
      <c r="AF40" s="1660"/>
      <c r="AI40" s="568"/>
      <c r="AO40" s="1656"/>
      <c r="AP40" s="1656"/>
      <c r="AQ40" s="1656"/>
      <c r="AR40" s="1656"/>
      <c r="AS40" s="1656"/>
      <c r="AT40" s="1184">
        <v>0</v>
      </c>
    </row>
    <row customHeight="1" ht="11.25" hidden="1">
      <c r="A41" s="2395" t="s">
        <v>654</v>
      </c>
      <c r="D41" s="1662"/>
      <c r="E41" s="570" t="str">
        <f>FHD_NUM_P_5</f>
        <v/>
      </c>
      <c r="F41" s="1548" t="str">
        <f>FHD_P_5</f>
        <v/>
      </c>
      <c r="G41" s="1902" t="s">
        <v>636</v>
      </c>
      <c r="H41" s="581"/>
      <c r="I41" s="581"/>
      <c r="J41" s="581"/>
      <c r="K41" s="581"/>
      <c r="L41" s="581"/>
      <c r="M41" s="581"/>
      <c r="N41" s="581"/>
      <c r="O41" s="581"/>
      <c r="P41" s="581"/>
      <c r="Q41" s="581"/>
      <c r="R41" s="581"/>
      <c r="S41" s="581"/>
      <c r="T41" s="581"/>
      <c r="U41" s="581"/>
      <c r="V41" s="581"/>
      <c r="W41" s="581"/>
      <c r="X41" s="313" t="str">
        <f>FHD_NOTE_P_5</f>
        <v/>
      </c>
      <c r="Y41" s="1660" t="str">
        <f>IF((LEN(E41)-LEN(SUBSTITUTE(E41,".","")))/LEN(".")=1,"p","")</f>
        <v/>
      </c>
      <c r="AT41" s="1655">
        <v>0</v>
      </c>
    </row>
    <row customHeight="1" ht="11.25" hidden="1">
      <c r="A42" s="2395"/>
      <c r="D42" s="1662"/>
      <c r="E42" s="570" t="str">
        <f>FHD_NUM_P_6</f>
        <v/>
      </c>
      <c r="F42" s="1548" t="str">
        <f>FHD_P_6</f>
        <v/>
      </c>
      <c r="G42" s="1902" t="s">
        <v>636</v>
      </c>
      <c r="H42" s="581"/>
      <c r="I42" s="581"/>
      <c r="J42" s="581"/>
      <c r="K42" s="581"/>
      <c r="L42" s="581"/>
      <c r="M42" s="581"/>
      <c r="N42" s="581"/>
      <c r="O42" s="581"/>
      <c r="P42" s="581"/>
      <c r="Q42" s="581"/>
      <c r="R42" s="581"/>
      <c r="S42" s="581"/>
      <c r="T42" s="581"/>
      <c r="U42" s="581"/>
      <c r="V42" s="581"/>
      <c r="W42" s="581"/>
      <c r="X42" s="313" t="str">
        <f>FHD_NOTE_P_6</f>
        <v/>
      </c>
      <c r="Y42" s="1660" t="str">
        <f>IF((LEN(E42)-LEN(SUBSTITUTE(E42,".","")))/LEN(".")=1,"p","")</f>
        <v/>
      </c>
      <c r="AT42" s="1655">
        <v>0</v>
      </c>
    </row>
    <row customHeight="1" ht="11.25" hidden="1">
      <c r="A43" s="2395"/>
      <c r="D43" s="1662"/>
      <c r="E43" s="570" t="str">
        <f>FHD_NUM_P_7</f>
        <v/>
      </c>
      <c r="F43" s="1548" t="str">
        <f>FHD_P_7</f>
        <v/>
      </c>
      <c r="G43" s="1902" t="s">
        <v>636</v>
      </c>
      <c r="H43" s="581"/>
      <c r="I43" s="581"/>
      <c r="J43" s="581"/>
      <c r="K43" s="581"/>
      <c r="L43" s="581"/>
      <c r="M43" s="581"/>
      <c r="N43" s="581"/>
      <c r="O43" s="581"/>
      <c r="P43" s="581"/>
      <c r="Q43" s="581"/>
      <c r="R43" s="581"/>
      <c r="S43" s="581"/>
      <c r="T43" s="581"/>
      <c r="U43" s="581"/>
      <c r="V43" s="581"/>
      <c r="W43" s="581"/>
      <c r="X43" s="313" t="str">
        <f>FHD_NOTE_P_7</f>
        <v/>
      </c>
      <c r="Y43" s="1660" t="str">
        <f>IF((LEN(E43)-LEN(SUBSTITUTE(E43,".","")))/LEN(".")=1,"p","")</f>
        <v/>
      </c>
      <c r="AT43" s="1655">
        <v>0</v>
      </c>
    </row>
    <row customHeight="1" ht="11.549999999999999">
      <c r="D44" s="1662"/>
      <c r="E44" s="570" t="str">
        <f>FHD_NUM_P_8</f>
        <v>2.3</v>
      </c>
      <c r="F44" s="1548" t="str">
        <f>FHD_P_8</f>
        <v>Расходы на приобретаемую электрическую энергию (мощность), используемую в технологическом процессе</v>
      </c>
      <c r="G44" s="1902" t="s">
        <v>636</v>
      </c>
      <c r="H44" s="581"/>
      <c r="I44" s="581"/>
      <c r="J44" s="581"/>
      <c r="K44" s="581"/>
      <c r="L44" s="581"/>
      <c r="M44" s="581"/>
      <c r="N44" s="581"/>
      <c r="O44" s="581"/>
      <c r="P44" s="581"/>
      <c r="Q44" s="581"/>
      <c r="R44" s="581"/>
      <c r="S44" s="581"/>
      <c r="T44" s="581"/>
      <c r="U44" s="581"/>
      <c r="V44" s="581"/>
      <c r="W44" s="581"/>
      <c r="X44" s="313" t="str">
        <f>FHD_NOTE_P_8</f>
        <v/>
      </c>
      <c r="Y44" s="1660" t="str">
        <f>IF((LEN(E44)-LEN(SUBSTITUTE(E44,".","")))/LEN(".")=1,"p","")</f>
        <v>p</v>
      </c>
      <c r="AT44" s="1655">
        <v>11</v>
      </c>
    </row>
    <row customHeight="1" ht="11.549999999999999">
      <c r="D45" s="1662"/>
      <c r="E45" s="570" t="str">
        <f>FHD_NUM_P_9</f>
        <v>2.3.1</v>
      </c>
      <c r="F45" s="1674" t="str">
        <f>FHD_P_9</f>
        <v>Средневзвешенная стоимость 1 кВт.ч (с учетом мощности)</v>
      </c>
      <c r="G45" s="1902" t="s">
        <v>655</v>
      </c>
      <c r="H45" s="581"/>
      <c r="I45" s="581"/>
      <c r="J45" s="581"/>
      <c r="K45" s="581"/>
      <c r="L45" s="581"/>
      <c r="M45" s="581"/>
      <c r="N45" s="581"/>
      <c r="O45" s="581"/>
      <c r="P45" s="581"/>
      <c r="Q45" s="581"/>
      <c r="R45" s="581"/>
      <c r="S45" s="581"/>
      <c r="T45" s="581"/>
      <c r="U45" s="581"/>
      <c r="V45" s="581"/>
      <c r="W45" s="581"/>
      <c r="X45" s="313" t="str">
        <f>FHD_NOTE_P_9</f>
        <v/>
      </c>
      <c r="Y45" s="1660" t="str">
        <f>IF((LEN(E45)-LEN(SUBSTITUTE(E45,".","")))/LEN(".")=1,"p","")</f>
        <v/>
      </c>
      <c r="AT45" s="1655">
        <v>11</v>
      </c>
    </row>
    <row s="1390" customFormat="1" customHeight="1" ht="11.549999999999999">
      <c r="A46" s="1011"/>
      <c r="C46" s="1660"/>
      <c r="D46" s="598"/>
      <c r="E46" s="570" t="str">
        <f>FHD_NUM_P_10</f>
        <v>2.3.2</v>
      </c>
      <c r="F46" s="1674" t="str">
        <f>FHD_P_10</f>
        <v>Объём приобретения электрической энергии</v>
      </c>
      <c r="G46" s="1902" t="s">
        <v>656</v>
      </c>
      <c r="H46" s="581"/>
      <c r="I46" s="581"/>
      <c r="J46" s="581"/>
      <c r="K46" s="581"/>
      <c r="L46" s="581"/>
      <c r="M46" s="581"/>
      <c r="N46" s="581"/>
      <c r="O46" s="581"/>
      <c r="P46" s="581"/>
      <c r="Q46" s="581"/>
      <c r="R46" s="581"/>
      <c r="S46" s="581"/>
      <c r="T46" s="581"/>
      <c r="U46" s="581"/>
      <c r="V46" s="581"/>
      <c r="W46" s="581"/>
      <c r="X46" s="313" t="str">
        <f>FHD_NOTE_P_10</f>
        <v/>
      </c>
      <c r="Y46" s="1660" t="str">
        <f>IF((LEN(E46)-LEN(SUBSTITUTE(E46,".","")))/LEN(".")=1,"p","")</f>
        <v/>
      </c>
      <c r="Z46" s="1660"/>
      <c r="AA46" s="1660"/>
      <c r="AF46" s="1660"/>
      <c r="AI46" s="568"/>
      <c r="AO46" s="1656"/>
      <c r="AP46" s="1656"/>
      <c r="AQ46" s="1656"/>
      <c r="AR46" s="1656"/>
      <c r="AS46" s="1656"/>
      <c r="AT46" s="1184">
        <v>11</v>
      </c>
    </row>
    <row s="1390" customFormat="1" customHeight="1" ht="11.25">
      <c r="A47" s="1013" t="s">
        <v>657</v>
      </c>
      <c r="C47" s="1660"/>
      <c r="D47" s="599"/>
      <c r="E47" s="570" t="str">
        <f>FHD_NUM_P_11</f>
        <v>2.4</v>
      </c>
      <c r="F47" s="1548" t="str">
        <f>FHD_P_11</f>
        <v>Расходы на приобретение холодной воды, используемой в технологическом процессе</v>
      </c>
      <c r="G47" s="1902" t="s">
        <v>636</v>
      </c>
      <c r="H47" s="581"/>
      <c r="I47" s="581"/>
      <c r="J47" s="581"/>
      <c r="K47" s="581"/>
      <c r="L47" s="581"/>
      <c r="M47" s="581"/>
      <c r="N47" s="581"/>
      <c r="O47" s="581"/>
      <c r="P47" s="581"/>
      <c r="Q47" s="581"/>
      <c r="R47" s="581"/>
      <c r="S47" s="581"/>
      <c r="T47" s="581"/>
      <c r="U47" s="581"/>
      <c r="V47" s="581"/>
      <c r="W47" s="581"/>
      <c r="X47" s="313" t="str">
        <f>FHD_NOTE_P_11</f>
        <v/>
      </c>
      <c r="Y47" s="1660" t="str">
        <f>IF((LEN(E47)-LEN(SUBSTITUTE(E47,".","")))/LEN(".")=1,"p","")</f>
        <v>p</v>
      </c>
      <c r="Z47" s="1660"/>
      <c r="AA47" s="1660"/>
      <c r="AF47" s="1660"/>
      <c r="AI47" s="568"/>
      <c r="AO47" s="1656"/>
      <c r="AP47" s="1656"/>
      <c r="AQ47" s="1656"/>
      <c r="AR47" s="1656"/>
      <c r="AS47" s="1656"/>
      <c r="AT47" s="1184">
        <v>0</v>
      </c>
    </row>
    <row s="1390" customFormat="1" customHeight="1" ht="18.75">
      <c r="A48" s="1013" t="s">
        <v>658</v>
      </c>
      <c r="C48" s="1660"/>
      <c r="D48" s="1662"/>
      <c r="E48" s="570" t="str">
        <f>FHD_NUM_P_12</f>
        <v>2.5</v>
      </c>
      <c r="F48" s="1548" t="str">
        <f>FHD_P_12</f>
        <v>Расходы на  химические реагенты, используемые в технологическом процессе</v>
      </c>
      <c r="G48" s="1902" t="s">
        <v>636</v>
      </c>
      <c r="H48" s="601"/>
      <c r="I48" s="601"/>
      <c r="J48" s="601"/>
      <c r="K48" s="601"/>
      <c r="L48" s="601"/>
      <c r="M48" s="601"/>
      <c r="N48" s="601"/>
      <c r="O48" s="601"/>
      <c r="P48" s="601"/>
      <c r="Q48" s="601"/>
      <c r="R48" s="601"/>
      <c r="S48" s="601"/>
      <c r="T48" s="601"/>
      <c r="U48" s="601"/>
      <c r="V48" s="601"/>
      <c r="W48" s="601"/>
      <c r="X48" s="313" t="str">
        <f>FHD_NOTE_P_12</f>
        <v/>
      </c>
      <c r="Y48" s="1660" t="str">
        <f>IF((LEN(E48)-LEN(SUBSTITUTE(E48,".","")))/LEN(".")=1,"p","")</f>
        <v>p</v>
      </c>
      <c r="Z48" s="1660"/>
      <c r="AA48" s="1660"/>
      <c r="AF48" s="1660"/>
      <c r="AI48" s="568"/>
      <c r="AO48" s="1656"/>
      <c r="AP48" s="1656"/>
      <c r="AQ48" s="1656"/>
      <c r="AR48" s="1656"/>
      <c r="AS48" s="1656"/>
      <c r="AT48" s="1184">
        <v>18</v>
      </c>
    </row>
    <row s="1389" customFormat="1" customHeight="1" ht="11.549999999999999">
      <c r="A49" s="1012"/>
      <c r="C49" s="754"/>
      <c r="D49" s="697"/>
      <c r="E49" s="570" t="str">
        <f>FHD_NUM_P_13</f>
        <v>2.6</v>
      </c>
      <c r="F49" s="154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02" t="s">
        <v>636</v>
      </c>
      <c r="H49" s="581"/>
      <c r="I49" s="581"/>
      <c r="J49" s="581"/>
      <c r="K49" s="581"/>
      <c r="L49" s="581"/>
      <c r="M49" s="581"/>
      <c r="N49" s="581"/>
      <c r="O49" s="581"/>
      <c r="P49" s="581"/>
      <c r="Q49" s="581"/>
      <c r="R49" s="581"/>
      <c r="S49" s="581"/>
      <c r="T49" s="581"/>
      <c r="U49" s="581"/>
      <c r="V49" s="581"/>
      <c r="W49" s="581"/>
      <c r="X49" s="313" t="str">
        <f>FHD_NOTE_P_13</f>
        <v/>
      </c>
      <c r="Y49" s="1660" t="str">
        <f>IF((LEN(E49)-LEN(SUBSTITUTE(E49,".","")))/LEN(".")=1,"p","")</f>
        <v>p</v>
      </c>
      <c r="Z49" s="754"/>
      <c r="AA49" s="754"/>
      <c r="AF49" s="754"/>
      <c r="AI49" s="755"/>
      <c r="AO49" s="756"/>
      <c r="AP49" s="756"/>
      <c r="AQ49" s="756"/>
      <c r="AR49" s="756"/>
      <c r="AS49" s="756"/>
      <c r="AT49" s="753">
        <v>11</v>
      </c>
    </row>
    <row s="1389" customFormat="1" customHeight="1" ht="11.549999999999999">
      <c r="A50" s="1012"/>
      <c r="C50" s="754"/>
      <c r="D50" s="697"/>
      <c r="E50" s="570" t="str">
        <f>FHD_NUM_P_14</f>
        <v>2.6.1</v>
      </c>
      <c r="F50" s="1674" t="str">
        <f>FHD_P_14</f>
        <v>Расходы на оплату труда основного производственного персонала</v>
      </c>
      <c r="G50" s="1902" t="s">
        <v>636</v>
      </c>
      <c r="H50" s="581"/>
      <c r="I50" s="581"/>
      <c r="J50" s="581"/>
      <c r="K50" s="581"/>
      <c r="L50" s="581"/>
      <c r="M50" s="581"/>
      <c r="N50" s="581"/>
      <c r="O50" s="581"/>
      <c r="P50" s="581"/>
      <c r="Q50" s="581"/>
      <c r="R50" s="581"/>
      <c r="S50" s="581"/>
      <c r="T50" s="581"/>
      <c r="U50" s="581"/>
      <c r="V50" s="581"/>
      <c r="W50" s="581"/>
      <c r="X50" s="313" t="str">
        <f>FHD_NOTE_P_14</f>
        <v/>
      </c>
      <c r="Y50" s="1660" t="str">
        <f>IF((LEN(E50)-LEN(SUBSTITUTE(E50,".","")))/LEN(".")=1,"p","")</f>
        <v/>
      </c>
      <c r="Z50" s="754"/>
      <c r="AA50" s="754"/>
      <c r="AF50" s="754"/>
      <c r="AI50" s="755"/>
      <c r="AO50" s="756"/>
      <c r="AP50" s="756"/>
      <c r="AQ50" s="756"/>
      <c r="AR50" s="756"/>
      <c r="AS50" s="756"/>
      <c r="AT50" s="753">
        <v>11</v>
      </c>
    </row>
    <row s="1389" customFormat="1" customHeight="1" ht="11.549999999999999">
      <c r="A51" s="1012"/>
      <c r="C51" s="754"/>
      <c r="D51" s="697"/>
      <c r="E51" s="570" t="str">
        <f>FHD_NUM_P_15</f>
        <v>2.6.2</v>
      </c>
      <c r="F51" s="1674" t="str">
        <f>FHD_P_15</f>
        <v>Страховые взносы на обязательное социальное страхование, выплачиваемые из фонда оплаты труда основного производственного персонала</v>
      </c>
      <c r="G51" s="1902" t="s">
        <v>636</v>
      </c>
      <c r="H51" s="581"/>
      <c r="I51" s="581"/>
      <c r="J51" s="581"/>
      <c r="K51" s="581"/>
      <c r="L51" s="581"/>
      <c r="M51" s="581"/>
      <c r="N51" s="581"/>
      <c r="O51" s="581"/>
      <c r="P51" s="581"/>
      <c r="Q51" s="581"/>
      <c r="R51" s="581"/>
      <c r="S51" s="581"/>
      <c r="T51" s="581"/>
      <c r="U51" s="581"/>
      <c r="V51" s="581"/>
      <c r="W51" s="581"/>
      <c r="X51" s="313" t="str">
        <f>FHD_NOTE_P_15</f>
        <v/>
      </c>
      <c r="Y51" s="1660" t="str">
        <f>IF((LEN(E51)-LEN(SUBSTITUTE(E51,".","")))/LEN(".")=1,"p","")</f>
        <v/>
      </c>
      <c r="Z51" s="754"/>
      <c r="AA51" s="754"/>
      <c r="AF51" s="754"/>
      <c r="AI51" s="755"/>
      <c r="AO51" s="756"/>
      <c r="AP51" s="756"/>
      <c r="AQ51" s="756"/>
      <c r="AR51" s="756"/>
      <c r="AS51" s="756"/>
      <c r="AT51" s="753">
        <v>11</v>
      </c>
    </row>
    <row s="1390" customFormat="1" customHeight="1" ht="11.549999999999999">
      <c r="A52" s="1011"/>
      <c r="C52" s="1660"/>
      <c r="D52" s="1662"/>
      <c r="E52" s="570" t="str">
        <f>FHD_NUM_P_16</f>
        <v>2.7</v>
      </c>
      <c r="F52" s="154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02" t="s">
        <v>636</v>
      </c>
      <c r="H52" s="581"/>
      <c r="I52" s="581"/>
      <c r="J52" s="581"/>
      <c r="K52" s="581"/>
      <c r="L52" s="581"/>
      <c r="M52" s="581"/>
      <c r="N52" s="581"/>
      <c r="O52" s="581"/>
      <c r="P52" s="581"/>
      <c r="Q52" s="581"/>
      <c r="R52" s="581"/>
      <c r="S52" s="581"/>
      <c r="T52" s="581"/>
      <c r="U52" s="581"/>
      <c r="V52" s="581"/>
      <c r="W52" s="581"/>
      <c r="X52" s="313" t="str">
        <f>FHD_NOTE_P_16</f>
        <v/>
      </c>
      <c r="Y52" s="1660" t="str">
        <f>IF((LEN(E52)-LEN(SUBSTITUTE(E52,".","")))/LEN(".")=1,"p","")</f>
        <v>p</v>
      </c>
      <c r="Z52" s="1660"/>
      <c r="AA52" s="1666"/>
      <c r="AB52" s="561"/>
      <c r="AC52" s="561"/>
      <c r="AF52" s="1660"/>
      <c r="AI52" s="568"/>
      <c r="AO52" s="1656"/>
      <c r="AP52" s="1656"/>
      <c r="AQ52" s="1656"/>
      <c r="AR52" s="1656"/>
      <c r="AS52" s="1656"/>
      <c r="AT52" s="1184">
        <v>11</v>
      </c>
    </row>
    <row s="1390" customFormat="1" customHeight="1" ht="11.549999999999999">
      <c r="A53" s="1011"/>
      <c r="C53" s="1660"/>
      <c r="D53" s="1662"/>
      <c r="E53" s="570" t="str">
        <f>FHD_NUM_P_17</f>
        <v>2.7.1</v>
      </c>
      <c r="F53" s="1674" t="str">
        <f>FHD_P_17</f>
        <v>Расходы на оплату труда административно-управленческого персонала</v>
      </c>
      <c r="G53" s="1902" t="s">
        <v>636</v>
      </c>
      <c r="H53" s="581"/>
      <c r="I53" s="581"/>
      <c r="J53" s="581"/>
      <c r="K53" s="581"/>
      <c r="L53" s="581"/>
      <c r="M53" s="581"/>
      <c r="N53" s="581"/>
      <c r="O53" s="581"/>
      <c r="P53" s="581"/>
      <c r="Q53" s="581"/>
      <c r="R53" s="581"/>
      <c r="S53" s="581"/>
      <c r="T53" s="581"/>
      <c r="U53" s="581"/>
      <c r="V53" s="581"/>
      <c r="W53" s="581"/>
      <c r="X53" s="313" t="str">
        <f>FHD_NOTE_P_17</f>
        <v/>
      </c>
      <c r="Y53" s="1660" t="str">
        <f>IF((LEN(E53)-LEN(SUBSTITUTE(E53,".","")))/LEN(".")=1,"p","")</f>
        <v/>
      </c>
      <c r="Z53" s="1660"/>
      <c r="AA53" s="1666"/>
      <c r="AB53" s="561"/>
      <c r="AC53" s="561"/>
      <c r="AF53" s="1660"/>
      <c r="AI53" s="568"/>
      <c r="AO53" s="1656"/>
      <c r="AP53" s="1656"/>
      <c r="AQ53" s="1656"/>
      <c r="AR53" s="1656"/>
      <c r="AS53" s="1656"/>
      <c r="AT53" s="1184">
        <v>11</v>
      </c>
    </row>
    <row s="1390" customFormat="1" customHeight="1" ht="11.549999999999999">
      <c r="A54" s="1011"/>
      <c r="C54" s="1660"/>
      <c r="D54" s="1662"/>
      <c r="E54" s="570" t="str">
        <f>FHD_NUM_P_18</f>
        <v>2.7.2</v>
      </c>
      <c r="F54" s="167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02" t="s">
        <v>636</v>
      </c>
      <c r="H54" s="581"/>
      <c r="I54" s="581"/>
      <c r="J54" s="581"/>
      <c r="K54" s="581"/>
      <c r="L54" s="581"/>
      <c r="M54" s="581"/>
      <c r="N54" s="581"/>
      <c r="O54" s="581"/>
      <c r="P54" s="581"/>
      <c r="Q54" s="581"/>
      <c r="R54" s="581"/>
      <c r="S54" s="581"/>
      <c r="T54" s="581"/>
      <c r="U54" s="581"/>
      <c r="V54" s="581"/>
      <c r="W54" s="581"/>
      <c r="X54" s="313" t="str">
        <f>FHD_NOTE_P_18</f>
        <v/>
      </c>
      <c r="Y54" s="1660" t="str">
        <f>IF((LEN(E54)-LEN(SUBSTITUTE(E54,".","")))/LEN(".")=1,"p","")</f>
        <v/>
      </c>
      <c r="Z54" s="1660"/>
      <c r="AA54" s="1666"/>
      <c r="AB54" s="561"/>
      <c r="AC54" s="561"/>
      <c r="AF54" s="1660"/>
      <c r="AI54" s="568"/>
      <c r="AO54" s="1656"/>
      <c r="AP54" s="1656"/>
      <c r="AQ54" s="1656"/>
      <c r="AR54" s="1656"/>
      <c r="AS54" s="1656"/>
      <c r="AT54" s="1184">
        <v>11</v>
      </c>
    </row>
    <row s="1390" customFormat="1" customHeight="1" ht="11.549999999999999">
      <c r="A55" s="1011"/>
      <c r="C55" s="1660"/>
      <c r="D55" s="599"/>
      <c r="E55" s="570" t="str">
        <f>FHD_NUM_P_19</f>
        <v>2.8</v>
      </c>
      <c r="F55" s="1548" t="str">
        <f>FHD_P_19</f>
        <v>Расходы на амортизацию основных средств и нематериальных активов</v>
      </c>
      <c r="G55" s="1902" t="s">
        <v>636</v>
      </c>
      <c r="H55" s="581"/>
      <c r="I55" s="581"/>
      <c r="J55" s="581"/>
      <c r="K55" s="581"/>
      <c r="L55" s="581"/>
      <c r="M55" s="581"/>
      <c r="N55" s="581"/>
      <c r="O55" s="581"/>
      <c r="P55" s="581"/>
      <c r="Q55" s="581"/>
      <c r="R55" s="581"/>
      <c r="S55" s="581"/>
      <c r="T55" s="581"/>
      <c r="U55" s="581"/>
      <c r="V55" s="581"/>
      <c r="W55" s="581"/>
      <c r="X55" s="313" t="str">
        <f>FHD_NOTE_P_19</f>
        <v/>
      </c>
      <c r="Y55" s="1660" t="str">
        <f>IF((LEN(E55)-LEN(SUBSTITUTE(E55,".","")))/LEN(".")=1,"p","")</f>
        <v>p</v>
      </c>
      <c r="Z55" s="1660"/>
      <c r="AA55" s="1660"/>
      <c r="AF55" s="1660"/>
      <c r="AI55" s="568"/>
      <c r="AO55" s="1656"/>
      <c r="AP55" s="1656"/>
      <c r="AQ55" s="1656"/>
      <c r="AR55" s="1656"/>
      <c r="AS55" s="1656"/>
      <c r="AT55" s="1184">
        <v>11</v>
      </c>
    </row>
    <row s="1390" customFormat="1" customHeight="1" ht="11.549999999999999">
      <c r="A56" s="1011"/>
      <c r="C56" s="1660"/>
      <c r="D56" s="599"/>
      <c r="E56" s="570" t="str">
        <f>FHD_NUM_P_20</f>
        <v>2.8.1</v>
      </c>
      <c r="F56" s="1674" t="str">
        <f>FHD_P_20</f>
        <v>Расходы на амортизацию основных средств</v>
      </c>
      <c r="G56" s="1902" t="s">
        <v>636</v>
      </c>
      <c r="H56" s="581"/>
      <c r="I56" s="581"/>
      <c r="J56" s="581"/>
      <c r="K56" s="581"/>
      <c r="L56" s="581"/>
      <c r="M56" s="581"/>
      <c r="N56" s="581"/>
      <c r="O56" s="581"/>
      <c r="P56" s="581"/>
      <c r="Q56" s="581"/>
      <c r="R56" s="581"/>
      <c r="S56" s="581"/>
      <c r="T56" s="581"/>
      <c r="U56" s="581"/>
      <c r="V56" s="581"/>
      <c r="W56" s="581"/>
      <c r="X56" s="313" t="str">
        <f>FHD_NOTE_P_20</f>
        <v/>
      </c>
      <c r="Y56" s="1660" t="str">
        <f>IF((LEN(E56)-LEN(SUBSTITUTE(E56,".","")))/LEN(".")=1,"p","")</f>
        <v/>
      </c>
      <c r="Z56" s="1660"/>
      <c r="AA56" s="1660"/>
      <c r="AF56" s="1660"/>
      <c r="AI56" s="568"/>
      <c r="AO56" s="1656"/>
      <c r="AP56" s="1656"/>
      <c r="AQ56" s="1656"/>
      <c r="AR56" s="1656"/>
      <c r="AS56" s="1656"/>
      <c r="AT56" s="1184">
        <v>11</v>
      </c>
    </row>
    <row s="1390" customFormat="1" customHeight="1" ht="11.549999999999999">
      <c r="A57" s="1011"/>
      <c r="C57" s="1660"/>
      <c r="D57" s="599"/>
      <c r="E57" s="570" t="str">
        <f>FHD_NUM_P_21</f>
        <v>2.8.2</v>
      </c>
      <c r="F57" s="1674" t="str">
        <f>FHD_P_21</f>
        <v>Расходы на амортизацию нематериальных активов</v>
      </c>
      <c r="G57" s="1902" t="s">
        <v>636</v>
      </c>
      <c r="H57" s="581"/>
      <c r="I57" s="581"/>
      <c r="J57" s="581"/>
      <c r="K57" s="581"/>
      <c r="L57" s="581"/>
      <c r="M57" s="581"/>
      <c r="N57" s="581"/>
      <c r="O57" s="581"/>
      <c r="P57" s="581"/>
      <c r="Q57" s="581"/>
      <c r="R57" s="581"/>
      <c r="S57" s="581"/>
      <c r="T57" s="581"/>
      <c r="U57" s="581"/>
      <c r="V57" s="581"/>
      <c r="W57" s="581"/>
      <c r="X57" s="313" t="str">
        <f>FHD_NOTE_P_21</f>
        <v/>
      </c>
      <c r="Y57" s="1660" t="str">
        <f>IF((LEN(E57)-LEN(SUBSTITUTE(E57,".","")))/LEN(".")=1,"p","")</f>
        <v/>
      </c>
      <c r="Z57" s="1660"/>
      <c r="AA57" s="1660"/>
      <c r="AF57" s="1660"/>
      <c r="AI57" s="568"/>
      <c r="AO57" s="1656"/>
      <c r="AP57" s="1656"/>
      <c r="AQ57" s="1656"/>
      <c r="AR57" s="1656"/>
      <c r="AS57" s="1656"/>
      <c r="AT57" s="1184">
        <v>11</v>
      </c>
    </row>
    <row s="1390" customFormat="1" customHeight="1" ht="11.549999999999999">
      <c r="A58" s="1011"/>
      <c r="C58" s="1660"/>
      <c r="D58" s="1662"/>
      <c r="E58" s="570" t="str">
        <f>FHD_NUM_P_22</f>
        <v>2.9</v>
      </c>
      <c r="F58" s="1548" t="str">
        <f>FHD_P_22</f>
        <v>Расходы на аренду имущества, используемого для осуществления регулируемого вида деятельности</v>
      </c>
      <c r="G58" s="1902" t="s">
        <v>636</v>
      </c>
      <c r="H58" s="581"/>
      <c r="I58" s="581"/>
      <c r="J58" s="581"/>
      <c r="K58" s="581"/>
      <c r="L58" s="581"/>
      <c r="M58" s="581"/>
      <c r="N58" s="581"/>
      <c r="O58" s="581"/>
      <c r="P58" s="581"/>
      <c r="Q58" s="581"/>
      <c r="R58" s="581"/>
      <c r="S58" s="581"/>
      <c r="T58" s="581"/>
      <c r="U58" s="581"/>
      <c r="V58" s="581"/>
      <c r="W58" s="581"/>
      <c r="X58" s="313" t="str">
        <f>FHD_NOTE_P_22</f>
        <v/>
      </c>
      <c r="Y58" s="1660" t="str">
        <f>IF((LEN(E58)-LEN(SUBSTITUTE(E58,".","")))/LEN(".")=1,"p","")</f>
        <v>p</v>
      </c>
      <c r="Z58" s="1660"/>
      <c r="AA58" s="1660"/>
      <c r="AF58" s="1660"/>
      <c r="AI58" s="568"/>
      <c r="AO58" s="1656"/>
      <c r="AP58" s="1656"/>
      <c r="AQ58" s="1656"/>
      <c r="AR58" s="1656"/>
      <c r="AS58" s="1656"/>
      <c r="AT58" s="1184">
        <v>11</v>
      </c>
    </row>
    <row s="1390" customFormat="1" customHeight="1" ht="11.549999999999999">
      <c r="A59" s="1011"/>
      <c r="C59" s="1660"/>
      <c r="D59" s="599"/>
      <c r="E59" s="570" t="str">
        <f>FHD_NUM_P_23</f>
        <v>2.10</v>
      </c>
      <c r="F59" s="1548" t="str">
        <f>FHD_P_23</f>
        <v>Общепроизводственные расходы, в том числе:</v>
      </c>
      <c r="G59" s="1902" t="s">
        <v>636</v>
      </c>
      <c r="H59" s="581"/>
      <c r="I59" s="581"/>
      <c r="J59" s="581"/>
      <c r="K59" s="581"/>
      <c r="L59" s="581"/>
      <c r="M59" s="581"/>
      <c r="N59" s="581"/>
      <c r="O59" s="581"/>
      <c r="P59" s="581"/>
      <c r="Q59" s="581"/>
      <c r="R59" s="581"/>
      <c r="S59" s="581"/>
      <c r="T59" s="581"/>
      <c r="U59" s="581"/>
      <c r="V59" s="581"/>
      <c r="W59" s="581"/>
      <c r="X59" s="313" t="str">
        <f>FHD_NOTE_P_23</f>
        <v>Указывается общая сумма общепроизводственных расходов.</v>
      </c>
      <c r="Y59" s="1660" t="str">
        <f>IF((LEN(E59)-LEN(SUBSTITUTE(E59,".","")))/LEN(".")=1,"p","")</f>
        <v>p</v>
      </c>
      <c r="Z59" s="1660"/>
      <c r="AA59" s="1660"/>
      <c r="AF59" s="1660"/>
      <c r="AI59" s="568"/>
      <c r="AO59" s="1656"/>
      <c r="AP59" s="1656"/>
      <c r="AQ59" s="1656"/>
      <c r="AR59" s="1656"/>
      <c r="AS59" s="1656"/>
      <c r="AT59" s="1184">
        <v>11</v>
      </c>
    </row>
    <row s="1390" customFormat="1" customHeight="1" ht="11.549999999999999">
      <c r="A60" s="1011"/>
      <c r="C60" s="1660"/>
      <c r="D60" s="599"/>
      <c r="E60" s="570" t="str">
        <f>FHD_NUM_P_24</f>
        <v>2.10.1</v>
      </c>
      <c r="F60" s="1674" t="str">
        <f>FHD_P_24</f>
        <v>Расходы на текущий ремонт</v>
      </c>
      <c r="G60" s="1902" t="s">
        <v>636</v>
      </c>
      <c r="H60" s="581"/>
      <c r="I60" s="581"/>
      <c r="J60" s="581"/>
      <c r="K60" s="581"/>
      <c r="L60" s="581"/>
      <c r="M60" s="581"/>
      <c r="N60" s="581"/>
      <c r="O60" s="581"/>
      <c r="P60" s="581"/>
      <c r="Q60" s="581"/>
      <c r="R60" s="581"/>
      <c r="S60" s="581"/>
      <c r="T60" s="581"/>
      <c r="U60" s="581"/>
      <c r="V60" s="581"/>
      <c r="W60" s="581"/>
      <c r="X60" s="313" t="str">
        <f>FHD_NOTE_P_24</f>
        <v>Указываются расходы на текущий ремонт, отнесенные к общепроизводственным расходам.</v>
      </c>
      <c r="Y60" s="1660" t="str">
        <f>IF((LEN(E60)-LEN(SUBSTITUTE(E60,".","")))/LEN(".")=1,"p","")</f>
        <v/>
      </c>
      <c r="Z60" s="1660"/>
      <c r="AA60" s="1660"/>
      <c r="AF60" s="1660"/>
      <c r="AI60" s="568"/>
      <c r="AO60" s="1656"/>
      <c r="AP60" s="1656"/>
      <c r="AQ60" s="1656"/>
      <c r="AR60" s="1656"/>
      <c r="AS60" s="1656"/>
      <c r="AT60" s="1184">
        <v>11</v>
      </c>
    </row>
    <row s="1390" customFormat="1" customHeight="1" ht="11.549999999999999">
      <c r="A61" s="1011"/>
      <c r="C61" s="1660"/>
      <c r="D61" s="599"/>
      <c r="E61" s="570" t="str">
        <f>FHD_NUM_P_25</f>
        <v>2.10.2</v>
      </c>
      <c r="F61" s="1674" t="str">
        <f>FHD_P_25</f>
        <v>Расходы на капитальный ремонт</v>
      </c>
      <c r="G61" s="1902" t="s">
        <v>636</v>
      </c>
      <c r="H61" s="581"/>
      <c r="I61" s="581"/>
      <c r="J61" s="581"/>
      <c r="K61" s="581"/>
      <c r="L61" s="581"/>
      <c r="M61" s="581"/>
      <c r="N61" s="581"/>
      <c r="O61" s="581"/>
      <c r="P61" s="581"/>
      <c r="Q61" s="581"/>
      <c r="R61" s="581"/>
      <c r="S61" s="581"/>
      <c r="T61" s="581"/>
      <c r="U61" s="581"/>
      <c r="V61" s="581"/>
      <c r="W61" s="581"/>
      <c r="X61" s="313" t="str">
        <f>FHD_NOTE_P_25</f>
        <v>Указываются расходы на капитальный ремонт, отнесенные к общепроизводственным расходам.</v>
      </c>
      <c r="Y61" s="1660" t="str">
        <f>IF((LEN(E61)-LEN(SUBSTITUTE(E61,".","")))/LEN(".")=1,"p","")</f>
        <v/>
      </c>
      <c r="Z61" s="1660"/>
      <c r="AA61" s="1660"/>
      <c r="AF61" s="1660"/>
      <c r="AI61" s="568"/>
      <c r="AO61" s="1656"/>
      <c r="AP61" s="1656"/>
      <c r="AQ61" s="1656"/>
      <c r="AR61" s="1656"/>
      <c r="AS61" s="1656"/>
      <c r="AT61" s="1184">
        <v>11</v>
      </c>
    </row>
    <row s="1390" customFormat="1" customHeight="1" ht="11.549999999999999">
      <c r="A62" s="1011"/>
      <c r="C62" s="1660"/>
      <c r="D62" s="1662"/>
      <c r="E62" s="570" t="str">
        <f>FHD_NUM_P_26</f>
        <v>2.11</v>
      </c>
      <c r="F62" s="1548" t="str">
        <f>FHD_P_26</f>
        <v>Общехозяйственные расходы, в том числе:</v>
      </c>
      <c r="G62" s="1902" t="s">
        <v>636</v>
      </c>
      <c r="H62" s="581"/>
      <c r="I62" s="581"/>
      <c r="J62" s="581"/>
      <c r="K62" s="581"/>
      <c r="L62" s="581"/>
      <c r="M62" s="581"/>
      <c r="N62" s="581"/>
      <c r="O62" s="581"/>
      <c r="P62" s="581"/>
      <c r="Q62" s="581"/>
      <c r="R62" s="581"/>
      <c r="S62" s="581"/>
      <c r="T62" s="581"/>
      <c r="U62" s="581"/>
      <c r="V62" s="581"/>
      <c r="W62" s="581"/>
      <c r="X62" s="313" t="str">
        <f>FHD_NOTE_P_26</f>
        <v>Указывается общая сумма общехозяйственных расходов.</v>
      </c>
      <c r="Y62" s="1660" t="str">
        <f>IF((LEN(E62)-LEN(SUBSTITUTE(E62,".","")))/LEN(".")=1,"p","")</f>
        <v>p</v>
      </c>
      <c r="Z62" s="1660"/>
      <c r="AA62" s="1660"/>
      <c r="AF62" s="1660"/>
      <c r="AI62" s="568"/>
      <c r="AO62" s="1656"/>
      <c r="AP62" s="1656"/>
      <c r="AQ62" s="1656"/>
      <c r="AR62" s="1656"/>
      <c r="AS62" s="1656"/>
      <c r="AT62" s="1184">
        <v>11</v>
      </c>
    </row>
    <row s="1390" customFormat="1" customHeight="1" ht="11.549999999999999">
      <c r="A63" s="1011"/>
      <c r="C63" s="1660"/>
      <c r="D63" s="1662"/>
      <c r="E63" s="570" t="str">
        <f>FHD_NUM_P_27</f>
        <v>2.11.1</v>
      </c>
      <c r="F63" s="1674" t="str">
        <f>FHD_P_27</f>
        <v>Расходы на текущий ремонт</v>
      </c>
      <c r="G63" s="1902" t="s">
        <v>636</v>
      </c>
      <c r="H63" s="581"/>
      <c r="I63" s="581"/>
      <c r="J63" s="581"/>
      <c r="K63" s="581"/>
      <c r="L63" s="581"/>
      <c r="M63" s="581"/>
      <c r="N63" s="581"/>
      <c r="O63" s="581"/>
      <c r="P63" s="581"/>
      <c r="Q63" s="581"/>
      <c r="R63" s="581"/>
      <c r="S63" s="581"/>
      <c r="T63" s="581"/>
      <c r="U63" s="581"/>
      <c r="V63" s="581"/>
      <c r="W63" s="581"/>
      <c r="X63" s="313" t="str">
        <f>FHD_NOTE_P_27</f>
        <v>Указываются расходы на текущий ремонт, отнесенные к общехозяйственным расходам.</v>
      </c>
      <c r="Y63" s="1660" t="str">
        <f>IF((LEN(E63)-LEN(SUBSTITUTE(E63,".","")))/LEN(".")=1,"p","")</f>
        <v/>
      </c>
      <c r="Z63" s="1660"/>
      <c r="AA63" s="1660"/>
      <c r="AF63" s="1660"/>
      <c r="AI63" s="568"/>
      <c r="AO63" s="1656"/>
      <c r="AP63" s="1656"/>
      <c r="AQ63" s="1656"/>
      <c r="AR63" s="1656"/>
      <c r="AS63" s="1656"/>
      <c r="AT63" s="1184">
        <v>11</v>
      </c>
    </row>
    <row s="1390" customFormat="1" customHeight="1" ht="11.549999999999999">
      <c r="A64" s="1011"/>
      <c r="C64" s="1660"/>
      <c r="D64" s="1662"/>
      <c r="E64" s="570" t="str">
        <f>FHD_NUM_P_28</f>
        <v>2.11.2</v>
      </c>
      <c r="F64" s="1674" t="str">
        <f>FHD_P_28</f>
        <v>Расходы на капитальный ремонт</v>
      </c>
      <c r="G64" s="1902" t="s">
        <v>636</v>
      </c>
      <c r="H64" s="581"/>
      <c r="I64" s="581"/>
      <c r="J64" s="581"/>
      <c r="K64" s="581"/>
      <c r="L64" s="581"/>
      <c r="M64" s="581"/>
      <c r="N64" s="581"/>
      <c r="O64" s="581"/>
      <c r="P64" s="581"/>
      <c r="Q64" s="581"/>
      <c r="R64" s="581"/>
      <c r="S64" s="581"/>
      <c r="T64" s="581"/>
      <c r="U64" s="581"/>
      <c r="V64" s="581"/>
      <c r="W64" s="581"/>
      <c r="X64" s="313" t="str">
        <f>FHD_NOTE_P_28</f>
        <v>Указываются расходы на капитальный ремонт, отнесенные к общехозяйственным расходам.</v>
      </c>
      <c r="Y64" s="1660" t="str">
        <f>IF((LEN(E64)-LEN(SUBSTITUTE(E64,".","")))/LEN(".")=1,"p","")</f>
        <v/>
      </c>
      <c r="Z64" s="1660"/>
      <c r="AA64" s="1660"/>
      <c r="AF64" s="1660"/>
      <c r="AI64" s="568"/>
      <c r="AO64" s="1656"/>
      <c r="AP64" s="1656"/>
      <c r="AQ64" s="1656"/>
      <c r="AR64" s="1656"/>
      <c r="AS64" s="1656"/>
      <c r="AT64" s="1184">
        <v>11</v>
      </c>
    </row>
    <row s="1390" customFormat="1" customHeight="1" ht="11.549999999999999">
      <c r="A65" s="1011"/>
      <c r="C65" s="1660"/>
      <c r="D65" s="1662"/>
      <c r="E65" s="570" t="str">
        <f>FHD_NUM_P_29</f>
        <v>2.12</v>
      </c>
      <c r="F65" s="1548" t="str">
        <f>FHD_P_29</f>
        <v>Расходы на капитальный и текущий ремонт основных средств</v>
      </c>
      <c r="G65" s="1902" t="s">
        <v>636</v>
      </c>
      <c r="H65" s="581"/>
      <c r="I65" s="581"/>
      <c r="J65" s="581"/>
      <c r="K65" s="581"/>
      <c r="L65" s="581"/>
      <c r="M65" s="581"/>
      <c r="N65" s="581"/>
      <c r="O65" s="581"/>
      <c r="P65" s="581"/>
      <c r="Q65" s="581"/>
      <c r="R65" s="581"/>
      <c r="S65" s="581"/>
      <c r="T65" s="581"/>
      <c r="U65" s="581"/>
      <c r="V65" s="581"/>
      <c r="W65" s="581"/>
      <c r="X65" s="31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Y65" s="1660" t="str">
        <f>IF((LEN(E65)-LEN(SUBSTITUTE(E65,".","")))/LEN(".")=1,"p","")</f>
        <v>p</v>
      </c>
      <c r="Z65" s="1660"/>
      <c r="AA65" s="1660"/>
      <c r="AF65" s="1660"/>
      <c r="AI65" s="568"/>
      <c r="AO65" s="1656"/>
      <c r="AP65" s="1656"/>
      <c r="AQ65" s="1656"/>
      <c r="AR65" s="1656"/>
      <c r="AS65" s="1656"/>
      <c r="AT65" s="1184">
        <v>11</v>
      </c>
    </row>
    <row s="1390" customFormat="1" customHeight="1" ht="11.549999999999999">
      <c r="A66" s="1011"/>
      <c r="C66" s="1660"/>
      <c r="D66" s="1662"/>
      <c r="E66" s="570" t="str">
        <f>FHD_NUM_P_30</f>
        <v>2.12.1</v>
      </c>
      <c r="F66" s="167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02" t="s">
        <v>390</v>
      </c>
      <c r="H66" s="1673" t="s">
        <v>659</v>
      </c>
      <c r="I66" s="1673" t="s">
        <v>659</v>
      </c>
      <c r="J66" s="2509" t="s">
        <v>659</v>
      </c>
      <c r="K66" s="2509" t="s">
        <v>659</v>
      </c>
      <c r="L66" s="2509" t="s">
        <v>659</v>
      </c>
      <c r="M66" s="2509" t="s">
        <v>659</v>
      </c>
      <c r="N66" s="2509" t="s">
        <v>659</v>
      </c>
      <c r="O66" s="2509" t="s">
        <v>659</v>
      </c>
      <c r="P66" s="2509" t="s">
        <v>659</v>
      </c>
      <c r="Q66" s="2509" t="s">
        <v>659</v>
      </c>
      <c r="R66" s="2509" t="s">
        <v>659</v>
      </c>
      <c r="S66" s="2509" t="s">
        <v>659</v>
      </c>
      <c r="T66" s="2509" t="s">
        <v>659</v>
      </c>
      <c r="U66" s="2509" t="s">
        <v>659</v>
      </c>
      <c r="V66" s="2509" t="s">
        <v>659</v>
      </c>
      <c r="W66" s="2509" t="s">
        <v>659</v>
      </c>
      <c r="X66" s="313" t="str">
        <f>FHD_NOTE_P_30</f>
        <v/>
      </c>
      <c r="Y66" s="1660" t="str">
        <f>IF((LEN(E66)-LEN(SUBSTITUTE(E66,".","")))/LEN(".")=1,"p","")</f>
        <v/>
      </c>
      <c r="Z66" s="1660">
        <f>_xlfn.IFERROR(MATCH("есть",B_FHD_FLAG_INDEX_1,0),0)</f>
        <v>0</v>
      </c>
      <c r="AA66" s="1660"/>
      <c r="AF66" s="1660"/>
      <c r="AI66" s="568"/>
      <c r="AO66" s="1656"/>
      <c r="AP66" s="1656"/>
      <c r="AQ66" s="1656"/>
      <c r="AR66" s="1656"/>
      <c r="AS66" s="1656"/>
      <c r="AT66" s="1184">
        <v>11</v>
      </c>
    </row>
    <row s="1390" customFormat="1" customHeight="1" ht="23.25" hidden="1">
      <c r="A67" s="2395" t="s">
        <v>660</v>
      </c>
      <c r="C67" s="1660"/>
      <c r="D67" s="1662"/>
      <c r="E67" s="570" t="str">
        <f>FHD_NUM_P_31</f>
        <v/>
      </c>
      <c r="F67" s="1548" t="str">
        <f>FHD_P_31</f>
        <v/>
      </c>
      <c r="G67" s="1902" t="s">
        <v>636</v>
      </c>
      <c r="H67" s="581"/>
      <c r="I67" s="581"/>
      <c r="J67" s="581"/>
      <c r="K67" s="581"/>
      <c r="L67" s="581"/>
      <c r="M67" s="581"/>
      <c r="N67" s="581"/>
      <c r="O67" s="581"/>
      <c r="P67" s="581"/>
      <c r="Q67" s="581"/>
      <c r="R67" s="581"/>
      <c r="S67" s="581"/>
      <c r="T67" s="581"/>
      <c r="U67" s="581"/>
      <c r="V67" s="581"/>
      <c r="W67" s="581"/>
      <c r="X67" s="313" t="str">
        <f>FHD_NOTE_P_31</f>
        <v/>
      </c>
      <c r="Y67" s="1660" t="str">
        <f>IF((LEN(E67)-LEN(SUBSTITUTE(E67,".","")))/LEN(".")=1,"p","")</f>
        <v/>
      </c>
      <c r="Z67" s="1660"/>
      <c r="AA67" s="1660"/>
      <c r="AF67" s="1660"/>
      <c r="AI67" s="568"/>
      <c r="AO67" s="1656"/>
      <c r="AP67" s="1656"/>
      <c r="AQ67" s="1656"/>
      <c r="AR67" s="1656"/>
      <c r="AS67" s="1656"/>
      <c r="AT67" s="1184">
        <v>22</v>
      </c>
    </row>
    <row s="1390" customFormat="1" customHeight="1" ht="47.25" hidden="1">
      <c r="A68" s="2395"/>
      <c r="C68" s="1660"/>
      <c r="D68" s="1662"/>
      <c r="E68" s="570" t="str">
        <f>FHD_NUM_P_32</f>
        <v/>
      </c>
      <c r="F68" s="1674" t="str">
        <f>FHD_P_32</f>
        <v/>
      </c>
      <c r="G68" s="1902" t="s">
        <v>390</v>
      </c>
      <c r="H68" s="1673" t="s">
        <v>659</v>
      </c>
      <c r="I68" s="1673" t="s">
        <v>659</v>
      </c>
      <c r="J68" s="2509" t="s">
        <v>659</v>
      </c>
      <c r="K68" s="2509" t="s">
        <v>659</v>
      </c>
      <c r="L68" s="2509" t="s">
        <v>659</v>
      </c>
      <c r="M68" s="2509" t="s">
        <v>659</v>
      </c>
      <c r="N68" s="2509" t="s">
        <v>659</v>
      </c>
      <c r="O68" s="2509" t="s">
        <v>659</v>
      </c>
      <c r="P68" s="2509" t="s">
        <v>659</v>
      </c>
      <c r="Q68" s="2509" t="s">
        <v>659</v>
      </c>
      <c r="R68" s="2509" t="s">
        <v>659</v>
      </c>
      <c r="S68" s="2509" t="s">
        <v>659</v>
      </c>
      <c r="T68" s="2509" t="s">
        <v>659</v>
      </c>
      <c r="U68" s="2509" t="s">
        <v>659</v>
      </c>
      <c r="V68" s="2509" t="s">
        <v>659</v>
      </c>
      <c r="W68" s="2509" t="s">
        <v>659</v>
      </c>
      <c r="X68" s="313" t="str">
        <f>FHD_NOTE_P_32</f>
        <v/>
      </c>
      <c r="Y68" s="1660" t="str">
        <f>IF((LEN(E68)-LEN(SUBSTITUTE(E68,".","")))/LEN(".")=1,"p","")</f>
        <v/>
      </c>
      <c r="Z68" s="1660">
        <f>_xlfn.IFERROR(MATCH("есть",B_FHD_FLAG_INDEX_2,0),0)</f>
        <v>0</v>
      </c>
      <c r="AA68" s="1660"/>
      <c r="AF68" s="1660"/>
      <c r="AI68" s="568"/>
      <c r="AO68" s="1656"/>
      <c r="AP68" s="1656"/>
      <c r="AQ68" s="1656"/>
      <c r="AR68" s="1656"/>
      <c r="AS68" s="1656"/>
      <c r="AT68" s="1184">
        <v>45</v>
      </c>
    </row>
    <row s="1390" customFormat="1" customHeight="1" ht="11.549999999999999">
      <c r="A69" s="1011"/>
      <c r="C69" s="1660"/>
      <c r="D69" s="1662"/>
      <c r="E69" s="570" t="str">
        <f>FHD_NUM_P_33</f>
        <v>2.13</v>
      </c>
      <c r="F69" s="154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03" t="s">
        <v>636</v>
      </c>
      <c r="H69" s="603">
        <f>SUM(H70:H71)</f>
        <v>0</v>
      </c>
      <c r="I69" s="603">
        <f>SUM(I70:I71)</f>
        <v>0</v>
      </c>
      <c r="J69" s="603">
        <f>SUM(J70:J71)</f>
        <v>0</v>
      </c>
      <c r="K69" s="603">
        <f>SUM(K70:K71)</f>
        <v>0</v>
      </c>
      <c r="L69" s="603">
        <f>SUM(L70:L71)</f>
        <v>0</v>
      </c>
      <c r="M69" s="603">
        <f>SUM(M70:M71)</f>
        <v>0</v>
      </c>
      <c r="N69" s="603">
        <f>SUM(N70:N71)</f>
        <v>0</v>
      </c>
      <c r="O69" s="603">
        <f>SUM(O70:O71)</f>
        <v>0</v>
      </c>
      <c r="P69" s="603">
        <f>SUM(P70:P71)</f>
        <v>0</v>
      </c>
      <c r="Q69" s="603">
        <f>SUM(Q70:Q71)</f>
        <v>0</v>
      </c>
      <c r="R69" s="603">
        <f>SUM(R70:R71)</f>
        <v>0</v>
      </c>
      <c r="S69" s="603">
        <f>SUM(S70:S71)</f>
        <v>0</v>
      </c>
      <c r="T69" s="603">
        <f>SUM(T70:T71)</f>
        <v>0</v>
      </c>
      <c r="U69" s="603">
        <f>SUM(U70:U71)</f>
        <v>0</v>
      </c>
      <c r="V69" s="603">
        <f>SUM(V70:V71)</f>
        <v>0</v>
      </c>
      <c r="W69" s="603">
        <f>SUM(W70:W71)</f>
        <v>0</v>
      </c>
      <c r="X69" s="31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Y69" s="1660" t="str">
        <f>IF((LEN(E69)-LEN(SUBSTITUTE(E69,".","")))/LEN(".")=1,"p","")</f>
        <v>p</v>
      </c>
      <c r="Z69" s="1660"/>
      <c r="AA69" s="1660"/>
      <c r="AF69" s="1660"/>
      <c r="AI69" s="568"/>
      <c r="AO69" s="1656"/>
      <c r="AP69" s="1656"/>
      <c r="AQ69" s="1656"/>
      <c r="AR69" s="1656"/>
      <c r="AS69" s="1656"/>
      <c r="AT69" s="1184">
        <v>11</v>
      </c>
    </row>
    <row s="1666" customFormat="1" customHeight="1" ht="1.05">
      <c r="A70" s="1191"/>
      <c r="D70" s="572"/>
      <c r="E70" s="1037" t="str">
        <f>E69&amp;".0"</f>
        <v>2.13.0</v>
      </c>
      <c r="F70" s="1015"/>
      <c r="G70" s="1037"/>
      <c r="H70" s="1016"/>
      <c r="I70" s="1016"/>
      <c r="J70" s="1016"/>
      <c r="K70" s="1016"/>
      <c r="L70" s="1016"/>
      <c r="M70" s="1016"/>
      <c r="N70" s="1016"/>
      <c r="O70" s="1016"/>
      <c r="P70" s="1016"/>
      <c r="Q70" s="1016"/>
      <c r="R70" s="1016"/>
      <c r="S70" s="1016"/>
      <c r="T70" s="1016"/>
      <c r="U70" s="1016"/>
      <c r="V70" s="1016"/>
      <c r="W70" s="1016"/>
      <c r="X70" s="1017"/>
      <c r="Y70" s="1660" t="str">
        <f>IF((LEN(E70)-LEN(SUBSTITUTE(E70,".","")))/LEN(".")=1,"p","")</f>
        <v/>
      </c>
      <c r="AT70" s="1660">
        <v>1</v>
      </c>
    </row>
    <row s="1390" customFormat="1" customHeight="1" ht="14.699999999999998">
      <c r="A71" s="1011"/>
      <c r="C71" s="1660"/>
      <c r="D71" s="1657"/>
      <c r="E71" s="594"/>
      <c r="F71" s="595" t="s">
        <v>661</v>
      </c>
      <c r="G71" s="596"/>
      <c r="H71" s="597"/>
      <c r="I71" s="597"/>
      <c r="J71" s="2671"/>
      <c r="K71" s="2672"/>
      <c r="L71" s="2673"/>
      <c r="M71" s="2674"/>
      <c r="N71" s="2675"/>
      <c r="O71" s="2676"/>
      <c r="P71" s="2677"/>
      <c r="Q71" s="2678"/>
      <c r="R71" s="2679"/>
      <c r="S71" s="2680"/>
      <c r="T71" s="2681"/>
      <c r="U71" s="2682"/>
      <c r="V71" s="2683"/>
      <c r="W71" s="2684"/>
      <c r="X71" s="325"/>
      <c r="Y71" s="1660"/>
      <c r="Z71" s="1660"/>
      <c r="AA71" s="1660"/>
      <c r="AF71" s="1660"/>
      <c r="AI71" s="568"/>
      <c r="AO71" s="1656"/>
      <c r="AP71" s="1656"/>
      <c r="AQ71" s="1656"/>
      <c r="AR71" s="1656"/>
      <c r="AS71" s="1656"/>
      <c r="AT71" s="1184">
        <v>14</v>
      </c>
    </row>
    <row s="1390" customFormat="1" customHeight="1" ht="18.75">
      <c r="A72" s="1013" t="s">
        <v>662</v>
      </c>
      <c r="C72" s="1660"/>
      <c r="D72" s="1662"/>
      <c r="E72" s="570" t="str">
        <f>FHD_NUM_P_34</f>
        <v>3</v>
      </c>
      <c r="F72" s="1904" t="str">
        <f>FHD_P_34</f>
        <v>Валовая прибыль (убытки) от реализации товаров и оказания услуг по регулируемому виду деятельности</v>
      </c>
      <c r="G72" s="1902" t="s">
        <v>636</v>
      </c>
      <c r="H72" s="581"/>
      <c r="I72" s="581"/>
      <c r="J72" s="581"/>
      <c r="K72" s="581"/>
      <c r="L72" s="581"/>
      <c r="M72" s="581"/>
      <c r="N72" s="581"/>
      <c r="O72" s="581"/>
      <c r="P72" s="581"/>
      <c r="Q72" s="581"/>
      <c r="R72" s="581"/>
      <c r="S72" s="581"/>
      <c r="T72" s="581"/>
      <c r="U72" s="581"/>
      <c r="V72" s="581"/>
      <c r="W72" s="581"/>
      <c r="X72" s="313" t="str">
        <f>FHD_NOTE_P_34</f>
        <v/>
      </c>
      <c r="Y72" s="567"/>
      <c r="Z72" s="1660"/>
      <c r="AA72" s="1660"/>
      <c r="AF72" s="1660"/>
      <c r="AI72" s="568"/>
      <c r="AO72" s="1656"/>
      <c r="AP72" s="1656"/>
      <c r="AQ72" s="1656"/>
      <c r="AR72" s="1656"/>
      <c r="AS72" s="1656"/>
      <c r="AT72" s="1184">
        <v>0</v>
      </c>
    </row>
    <row s="1390" customFormat="1" customHeight="1" ht="19.95">
      <c r="A73" s="1011"/>
      <c r="C73" s="1660"/>
      <c r="D73" s="599"/>
      <c r="E73" s="570" t="str">
        <f>FHD_NUM_P_35</f>
        <v>4</v>
      </c>
      <c r="F73" s="1904" t="str">
        <f>FHD_P_35</f>
        <v>Чистая прибыль, полученная от регулируемого вида деятельности, в том числе:</v>
      </c>
      <c r="G73" s="1902" t="s">
        <v>636</v>
      </c>
      <c r="H73" s="581"/>
      <c r="I73" s="581"/>
      <c r="J73" s="581"/>
      <c r="K73" s="581"/>
      <c r="L73" s="581"/>
      <c r="M73" s="581"/>
      <c r="N73" s="581"/>
      <c r="O73" s="581"/>
      <c r="P73" s="581"/>
      <c r="Q73" s="581"/>
      <c r="R73" s="581"/>
      <c r="S73" s="581"/>
      <c r="T73" s="581"/>
      <c r="U73" s="581"/>
      <c r="V73" s="581"/>
      <c r="W73" s="581"/>
      <c r="X73" s="313" t="str">
        <f>FHD_NOTE_P_35</f>
        <v>Указывается общая сумма чистой прибыли, полученной от регулируемого вида деятельности.</v>
      </c>
      <c r="Y73" s="567"/>
      <c r="Z73" s="1660"/>
      <c r="AA73" s="1660"/>
      <c r="AF73" s="1660"/>
      <c r="AI73" s="568"/>
      <c r="AO73" s="1656"/>
      <c r="AP73" s="1656"/>
      <c r="AQ73" s="1656"/>
      <c r="AR73" s="1656"/>
      <c r="AS73" s="1656"/>
      <c r="AT73" s="1184">
        <v>19</v>
      </c>
    </row>
    <row s="1390" customFormat="1" customHeight="1" ht="19.95">
      <c r="A74" s="1011"/>
      <c r="C74" s="1660"/>
      <c r="D74" s="1662"/>
      <c r="E74" s="570" t="str">
        <f>FHD_NUM_P_36</f>
        <v>4.1</v>
      </c>
      <c r="F74" s="154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02" t="s">
        <v>636</v>
      </c>
      <c r="H74" s="581"/>
      <c r="I74" s="581"/>
      <c r="J74" s="581"/>
      <c r="K74" s="581"/>
      <c r="L74" s="581"/>
      <c r="M74" s="581"/>
      <c r="N74" s="581"/>
      <c r="O74" s="581"/>
      <c r="P74" s="581"/>
      <c r="Q74" s="581"/>
      <c r="R74" s="581"/>
      <c r="S74" s="581"/>
      <c r="T74" s="581"/>
      <c r="U74" s="581"/>
      <c r="V74" s="581"/>
      <c r="W74" s="581"/>
      <c r="X74" s="313" t="str">
        <f>FHD_NOTE_P_36</f>
        <v/>
      </c>
      <c r="Y74" s="567"/>
      <c r="Z74" s="1660"/>
      <c r="AA74" s="1660"/>
      <c r="AF74" s="1660"/>
      <c r="AI74" s="568"/>
      <c r="AO74" s="1656"/>
      <c r="AP74" s="1656"/>
      <c r="AQ74" s="1656"/>
      <c r="AR74" s="1656"/>
      <c r="AS74" s="1656"/>
      <c r="AT74" s="1184">
        <v>19</v>
      </c>
    </row>
    <row s="1390" customFormat="1" customHeight="1" ht="19.95">
      <c r="A75" s="1011"/>
      <c r="C75" s="1660"/>
      <c r="D75" s="1662"/>
      <c r="E75" s="570" t="str">
        <f>FHD_NUM_P_37</f>
        <v>5</v>
      </c>
      <c r="F75" s="1904" t="str">
        <f>FHD_P_37</f>
        <v>Изменение стоимости основных фондов, в том числе:</v>
      </c>
      <c r="G75" s="1902" t="s">
        <v>636</v>
      </c>
      <c r="H75" s="581"/>
      <c r="I75" s="581"/>
      <c r="J75" s="581"/>
      <c r="K75" s="581"/>
      <c r="L75" s="581"/>
      <c r="M75" s="581"/>
      <c r="N75" s="581"/>
      <c r="O75" s="581"/>
      <c r="P75" s="581"/>
      <c r="Q75" s="581"/>
      <c r="R75" s="581"/>
      <c r="S75" s="581"/>
      <c r="T75" s="581"/>
      <c r="U75" s="581"/>
      <c r="V75" s="581"/>
      <c r="W75" s="581"/>
      <c r="X75" s="313" t="str">
        <f>FHD_NOTE_P_37</f>
        <v>Указывается общее изменение стоимости основных фондов.</v>
      </c>
      <c r="Y75" s="567"/>
      <c r="Z75" s="1660"/>
      <c r="AA75" s="1660"/>
      <c r="AF75" s="1660"/>
      <c r="AI75" s="568"/>
      <c r="AO75" s="1656"/>
      <c r="AP75" s="1656"/>
      <c r="AQ75" s="1656"/>
      <c r="AR75" s="1656"/>
      <c r="AS75" s="1656"/>
      <c r="AT75" s="1184">
        <v>19</v>
      </c>
    </row>
    <row s="1390" customFormat="1" customHeight="1" ht="19.95">
      <c r="A76" s="1011"/>
      <c r="C76" s="1660"/>
      <c r="D76" s="1662"/>
      <c r="E76" s="570" t="str">
        <f>FHD_NUM_P_38</f>
        <v>5.1</v>
      </c>
      <c r="F76" s="1548" t="str">
        <f>FHD_P_38</f>
        <v>Изменение стоимости основных фондов за счет:</v>
      </c>
      <c r="G76" s="1902" t="s">
        <v>636</v>
      </c>
      <c r="H76" s="581"/>
      <c r="I76" s="581"/>
      <c r="J76" s="581"/>
      <c r="K76" s="581"/>
      <c r="L76" s="581"/>
      <c r="M76" s="581"/>
      <c r="N76" s="581"/>
      <c r="O76" s="581"/>
      <c r="P76" s="581"/>
      <c r="Q76" s="581"/>
      <c r="R76" s="581"/>
      <c r="S76" s="581"/>
      <c r="T76" s="581"/>
      <c r="U76" s="581"/>
      <c r="V76" s="581"/>
      <c r="W76" s="581"/>
      <c r="X76" s="313" t="str">
        <f>FHD_NOTE_P_38</f>
        <v>Указываются общее изменение стоимости основных фондов за счет их ввода в эксплуатацию и вывода из эксплуатации.</v>
      </c>
      <c r="Y76" s="567"/>
      <c r="Z76" s="1660"/>
      <c r="AA76" s="1660"/>
      <c r="AF76" s="1660"/>
      <c r="AI76" s="568"/>
      <c r="AO76" s="1656"/>
      <c r="AP76" s="1656"/>
      <c r="AQ76" s="1656"/>
      <c r="AR76" s="1656"/>
      <c r="AS76" s="1656"/>
      <c r="AT76" s="1184">
        <v>19</v>
      </c>
    </row>
    <row s="1390" customFormat="1" customHeight="1" ht="19.95">
      <c r="A77" s="1011"/>
      <c r="C77" s="1660"/>
      <c r="D77" s="1662"/>
      <c r="E77" s="570" t="str">
        <f>FHD_NUM_P_39</f>
        <v>5.1.1</v>
      </c>
      <c r="F77" s="1674" t="str">
        <f>FHD_P_39</f>
        <v>Изменения стоимости основных фондов за счет их ввода в эксплуатацию</v>
      </c>
      <c r="G77" s="2096" t="s">
        <v>636</v>
      </c>
      <c r="H77" s="581"/>
      <c r="I77" s="581"/>
      <c r="J77" s="581"/>
      <c r="K77" s="581"/>
      <c r="L77" s="581"/>
      <c r="M77" s="581"/>
      <c r="N77" s="581"/>
      <c r="O77" s="581"/>
      <c r="P77" s="581"/>
      <c r="Q77" s="581"/>
      <c r="R77" s="581"/>
      <c r="S77" s="581"/>
      <c r="T77" s="581"/>
      <c r="U77" s="581"/>
      <c r="V77" s="581"/>
      <c r="W77" s="581"/>
      <c r="X77" s="313" t="str">
        <f>FHD_NOTE_P_39</f>
        <v>Указываются изменение стоимости основных фондов за счет их ввода в эксплуатацию.</v>
      </c>
      <c r="Y77" s="567"/>
      <c r="Z77" s="1660"/>
      <c r="AA77" s="1660"/>
      <c r="AF77" s="1660"/>
      <c r="AI77" s="568"/>
      <c r="AO77" s="1656"/>
      <c r="AP77" s="1656"/>
      <c r="AQ77" s="1656"/>
      <c r="AR77" s="1656"/>
      <c r="AS77" s="1656"/>
      <c r="AT77" s="1184">
        <v>19</v>
      </c>
    </row>
    <row s="1390" customFormat="1" customHeight="1" ht="19.95">
      <c r="A78" s="1011"/>
      <c r="C78" s="1660"/>
      <c r="D78" s="1662"/>
      <c r="E78" s="570" t="str">
        <f>FHD_NUM_P_40</f>
        <v>5.1.2</v>
      </c>
      <c r="F78" s="2100" t="str">
        <f>FHD_P_40</f>
        <v>Изменения стоимости основных фондов за счет их вывода в эксплуатацию</v>
      </c>
      <c r="G78" s="2095" t="s">
        <v>636</v>
      </c>
      <c r="H78" s="1000"/>
      <c r="I78" s="581"/>
      <c r="J78" s="1000"/>
      <c r="K78" s="1000"/>
      <c r="L78" s="1000"/>
      <c r="M78" s="1000"/>
      <c r="N78" s="1000"/>
      <c r="O78" s="1000"/>
      <c r="P78" s="1000"/>
      <c r="Q78" s="1000"/>
      <c r="R78" s="1000"/>
      <c r="S78" s="1000"/>
      <c r="T78" s="1000"/>
      <c r="U78" s="1000"/>
      <c r="V78" s="1000"/>
      <c r="W78" s="1000"/>
      <c r="X78" s="313" t="str">
        <f>FHD_NOTE_P_40</f>
        <v>Указываются изменение стоимости основных фондов за счет их вывода из эксплуатации.</v>
      </c>
      <c r="Y78" s="567"/>
      <c r="Z78" s="1660"/>
      <c r="AA78" s="1660"/>
      <c r="AF78" s="1660"/>
      <c r="AI78" s="568"/>
      <c r="AO78" s="1656"/>
      <c r="AP78" s="1656"/>
      <c r="AQ78" s="1656"/>
      <c r="AR78" s="1656"/>
      <c r="AS78" s="1656"/>
      <c r="AT78" s="1184">
        <v>19</v>
      </c>
    </row>
    <row s="1390" customFormat="1" customHeight="1" ht="19.95">
      <c r="A79" s="1011"/>
      <c r="C79" s="1660"/>
      <c r="D79" s="1662"/>
      <c r="E79" s="570" t="str">
        <f>FHD_NUM_P_41</f>
        <v>5.2</v>
      </c>
      <c r="F79" s="2099" t="str">
        <f>FHD_P_41</f>
        <v>Изменение стоимости основных фондов за счет их переоценки</v>
      </c>
      <c r="G79" s="2095" t="s">
        <v>636</v>
      </c>
      <c r="H79" s="1000"/>
      <c r="I79" s="581"/>
      <c r="J79" s="1000"/>
      <c r="K79" s="1000"/>
      <c r="L79" s="1000"/>
      <c r="M79" s="1000"/>
      <c r="N79" s="1000"/>
      <c r="O79" s="1000"/>
      <c r="P79" s="1000"/>
      <c r="Q79" s="1000"/>
      <c r="R79" s="1000"/>
      <c r="S79" s="1000"/>
      <c r="T79" s="1000"/>
      <c r="U79" s="1000"/>
      <c r="V79" s="1000"/>
      <c r="W79" s="1000"/>
      <c r="X79" s="313" t="str">
        <f>FHD_NOTE_P_41</f>
        <v/>
      </c>
      <c r="Y79" s="567"/>
      <c r="Z79" s="1660"/>
      <c r="AA79" s="1660"/>
      <c r="AF79" s="1660"/>
      <c r="AI79" s="568"/>
      <c r="AO79" s="1656"/>
      <c r="AP79" s="1656"/>
      <c r="AQ79" s="1656"/>
      <c r="AR79" s="1656"/>
      <c r="AS79" s="1656"/>
      <c r="AT79" s="1184">
        <v>19</v>
      </c>
    </row>
    <row s="1390" customFormat="1" customHeight="1" ht="20.25" hidden="1">
      <c r="A80" s="1013" t="s">
        <v>663</v>
      </c>
      <c r="C80" s="1660"/>
      <c r="D80" s="1662"/>
      <c r="E80" s="570" t="str">
        <f>FHD_NUM_P_42</f>
        <v/>
      </c>
      <c r="F80" s="2097" t="str">
        <f>FHD_P_42</f>
        <v/>
      </c>
      <c r="G80" s="2095" t="s">
        <v>636</v>
      </c>
      <c r="H80" s="1000"/>
      <c r="I80" s="581"/>
      <c r="J80" s="1000"/>
      <c r="K80" s="1000"/>
      <c r="L80" s="1000"/>
      <c r="M80" s="1000"/>
      <c r="N80" s="1000"/>
      <c r="O80" s="1000"/>
      <c r="P80" s="1000"/>
      <c r="Q80" s="1000"/>
      <c r="R80" s="1000"/>
      <c r="S80" s="1000"/>
      <c r="T80" s="1000"/>
      <c r="U80" s="1000"/>
      <c r="V80" s="1000"/>
      <c r="W80" s="1000"/>
      <c r="X80" s="313" t="str">
        <f>FHD_NOTE_P_42</f>
        <v/>
      </c>
      <c r="Y80" s="567"/>
      <c r="Z80" s="1660"/>
      <c r="AA80" s="1660"/>
      <c r="AF80" s="1660"/>
      <c r="AI80" s="568"/>
      <c r="AO80" s="1656"/>
      <c r="AP80" s="1656"/>
      <c r="AQ80" s="1656"/>
      <c r="AR80" s="1656"/>
      <c r="AS80" s="1656"/>
      <c r="AT80" s="1184">
        <v>19</v>
      </c>
    </row>
    <row s="1390" customFormat="1" customHeight="1" ht="19.95">
      <c r="A81" s="1011"/>
      <c r="C81" s="1660"/>
      <c r="D81" s="1662"/>
      <c r="E81" s="570" t="str">
        <f>FHD_NUM_P_43</f>
        <v>6</v>
      </c>
      <c r="F81" s="1904" t="str">
        <f>FHD_P_43</f>
        <v>Годовая бухгалтерская (финансовая) отчетность, включая бухгалтерский баланс и приложения к нему</v>
      </c>
      <c r="G81" s="2098" t="s">
        <v>390</v>
      </c>
      <c r="H81" s="1079"/>
      <c r="I81" s="842"/>
      <c r="J81" s="1079"/>
      <c r="K81" s="1079"/>
      <c r="L81" s="1079"/>
      <c r="M81" s="1079"/>
      <c r="N81" s="1079"/>
      <c r="O81" s="1079"/>
      <c r="P81" s="1079"/>
      <c r="Q81" s="1079"/>
      <c r="R81" s="1079"/>
      <c r="S81" s="1079"/>
      <c r="T81" s="1079"/>
      <c r="U81" s="1079"/>
      <c r="V81" s="1079"/>
      <c r="W81" s="1079"/>
      <c r="X81" s="31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Y81" s="567"/>
      <c r="Z81" s="1660"/>
      <c r="AA81" s="1660"/>
      <c r="AF81" s="1660"/>
      <c r="AI81" s="568"/>
      <c r="AO81" s="1656"/>
      <c r="AP81" s="1656"/>
      <c r="AQ81" s="1656"/>
      <c r="AR81" s="1656"/>
      <c r="AS81" s="1656"/>
      <c r="AT81" s="1184">
        <v>19</v>
      </c>
    </row>
    <row s="1390" customFormat="1" customHeight="1" ht="18.75" hidden="1">
      <c r="A82" s="2395" t="s">
        <v>664</v>
      </c>
      <c r="C82" s="759"/>
      <c r="D82" s="757"/>
      <c r="E82" s="570" t="str">
        <f>FHD_NUM_P_44</f>
        <v/>
      </c>
      <c r="F82" s="1904" t="str">
        <f>FHD_P_44</f>
        <v/>
      </c>
      <c r="G82" s="1905" t="s">
        <v>665</v>
      </c>
      <c r="H82" s="1001"/>
      <c r="I82" s="601"/>
      <c r="J82" s="1001"/>
      <c r="K82" s="1001"/>
      <c r="L82" s="1001"/>
      <c r="M82" s="1001"/>
      <c r="N82" s="1001"/>
      <c r="O82" s="1001"/>
      <c r="P82" s="1001"/>
      <c r="Q82" s="1001"/>
      <c r="R82" s="1001"/>
      <c r="S82" s="1001"/>
      <c r="T82" s="1001"/>
      <c r="U82" s="1001"/>
      <c r="V82" s="1001"/>
      <c r="W82" s="1001"/>
      <c r="X82" s="313" t="str">
        <f>FHD_NOTE_P_44</f>
        <v/>
      </c>
      <c r="Y82" s="758"/>
      <c r="Z82" s="759"/>
      <c r="AA82" s="759"/>
      <c r="AF82" s="759"/>
      <c r="AI82" s="760"/>
      <c r="AO82" s="761"/>
      <c r="AP82" s="761"/>
      <c r="AQ82" s="761"/>
      <c r="AR82" s="761"/>
      <c r="AS82" s="761"/>
      <c r="AT82" s="934">
        <v>0</v>
      </c>
    </row>
    <row s="1390" customFormat="1" customHeight="1" ht="18.75" hidden="1">
      <c r="A83" s="2395"/>
      <c r="C83" s="759"/>
      <c r="D83" s="757"/>
      <c r="E83" s="570" t="str">
        <f>FHD_NUM_P_45</f>
        <v/>
      </c>
      <c r="F83" s="1904" t="str">
        <f>FHD_P_45</f>
        <v/>
      </c>
      <c r="G83" s="1905" t="s">
        <v>665</v>
      </c>
      <c r="H83" s="1001"/>
      <c r="I83" s="601"/>
      <c r="J83" s="1001"/>
      <c r="K83" s="1001"/>
      <c r="L83" s="1001"/>
      <c r="M83" s="1001"/>
      <c r="N83" s="1001"/>
      <c r="O83" s="1001"/>
      <c r="P83" s="1001"/>
      <c r="Q83" s="1001"/>
      <c r="R83" s="1001"/>
      <c r="S83" s="1001"/>
      <c r="T83" s="1001"/>
      <c r="U83" s="1001"/>
      <c r="V83" s="1001"/>
      <c r="W83" s="1001"/>
      <c r="X83" s="313" t="str">
        <f>FHD_NOTE_P_45</f>
        <v/>
      </c>
      <c r="Y83" s="758"/>
      <c r="Z83" s="759"/>
      <c r="AA83" s="759"/>
      <c r="AF83" s="759"/>
      <c r="AI83" s="760"/>
      <c r="AO83" s="761"/>
      <c r="AP83" s="761"/>
      <c r="AQ83" s="761"/>
      <c r="AR83" s="761"/>
      <c r="AS83" s="761"/>
      <c r="AT83" s="934">
        <v>0</v>
      </c>
    </row>
    <row s="1390" customFormat="1" customHeight="1" ht="18.75" hidden="1">
      <c r="A84" s="2395"/>
      <c r="C84" s="759"/>
      <c r="D84" s="762"/>
      <c r="E84" s="570" t="str">
        <f>FHD_NUM_P_46</f>
        <v/>
      </c>
      <c r="F84" s="1904" t="str">
        <f>FHD_P_46</f>
        <v/>
      </c>
      <c r="G84" s="1905" t="s">
        <v>665</v>
      </c>
      <c r="H84" s="1001"/>
      <c r="I84" s="601"/>
      <c r="J84" s="1001"/>
      <c r="K84" s="1001"/>
      <c r="L84" s="1001"/>
      <c r="M84" s="1001"/>
      <c r="N84" s="1001"/>
      <c r="O84" s="1001"/>
      <c r="P84" s="1001"/>
      <c r="Q84" s="1001"/>
      <c r="R84" s="1001"/>
      <c r="S84" s="1001"/>
      <c r="T84" s="1001"/>
      <c r="U84" s="1001"/>
      <c r="V84" s="1001"/>
      <c r="W84" s="1001"/>
      <c r="X84" s="313" t="str">
        <f>FHD_NOTE_P_46</f>
        <v/>
      </c>
      <c r="Y84" s="758"/>
      <c r="Z84" s="759"/>
      <c r="AA84" s="759"/>
      <c r="AF84" s="759"/>
      <c r="AI84" s="760"/>
      <c r="AO84" s="761"/>
      <c r="AP84" s="761"/>
      <c r="AQ84" s="761"/>
      <c r="AR84" s="761"/>
      <c r="AS84" s="761"/>
      <c r="AT84" s="934">
        <v>0</v>
      </c>
    </row>
    <row s="1390" customFormat="1" customHeight="1" ht="18.75" hidden="1">
      <c r="A85" s="2395"/>
      <c r="C85" s="759"/>
      <c r="D85" s="757"/>
      <c r="E85" s="570" t="str">
        <f>FHD_NUM_P_47</f>
        <v/>
      </c>
      <c r="F85" s="1904" t="str">
        <f>FHD_P_47</f>
        <v/>
      </c>
      <c r="G85" s="1905" t="s">
        <v>665</v>
      </c>
      <c r="H85" s="1001"/>
      <c r="I85" s="601"/>
      <c r="J85" s="1001"/>
      <c r="K85" s="1001"/>
      <c r="L85" s="1001"/>
      <c r="M85" s="1001"/>
      <c r="N85" s="1001"/>
      <c r="O85" s="1001"/>
      <c r="P85" s="1001"/>
      <c r="Q85" s="1001"/>
      <c r="R85" s="1001"/>
      <c r="S85" s="1001"/>
      <c r="T85" s="1001"/>
      <c r="U85" s="1001"/>
      <c r="V85" s="1001"/>
      <c r="W85" s="1001"/>
      <c r="X85" s="313" t="str">
        <f>FHD_NOTE_P_47</f>
        <v/>
      </c>
      <c r="Y85" s="758"/>
      <c r="Z85" s="759"/>
      <c r="AA85" s="759"/>
      <c r="AF85" s="759"/>
      <c r="AI85" s="760"/>
      <c r="AO85" s="761"/>
      <c r="AP85" s="761"/>
      <c r="AQ85" s="761"/>
      <c r="AR85" s="761"/>
      <c r="AS85" s="761"/>
      <c r="AT85" s="934">
        <v>0</v>
      </c>
    </row>
    <row s="1659" customFormat="1" customHeight="1" ht="18.75" hidden="1">
      <c r="A86" s="2395"/>
      <c r="B86" s="934"/>
      <c r="C86" s="759"/>
      <c r="D86" s="757"/>
      <c r="E86" s="570" t="str">
        <f>FHD_NUM_P_48</f>
        <v/>
      </c>
      <c r="F86" s="1904" t="str">
        <f>FHD_P_48</f>
        <v/>
      </c>
      <c r="G86" s="1905" t="s">
        <v>665</v>
      </c>
      <c r="H86" s="1001"/>
      <c r="I86" s="601"/>
      <c r="J86" s="1001"/>
      <c r="K86" s="1001"/>
      <c r="L86" s="1001"/>
      <c r="M86" s="1001"/>
      <c r="N86" s="1001"/>
      <c r="O86" s="1001"/>
      <c r="P86" s="1001"/>
      <c r="Q86" s="1001"/>
      <c r="R86" s="1001"/>
      <c r="S86" s="1001"/>
      <c r="T86" s="1001"/>
      <c r="U86" s="1001"/>
      <c r="V86" s="1001"/>
      <c r="W86" s="1001"/>
      <c r="X86" s="313" t="str">
        <f>FHD_NOTE_P_48</f>
        <v/>
      </c>
      <c r="Y86" s="758"/>
      <c r="Z86" s="759"/>
      <c r="AA86" s="759"/>
      <c r="AB86" s="934"/>
      <c r="AC86" s="934"/>
      <c r="AD86" s="934"/>
      <c r="AE86" s="934"/>
      <c r="AF86" s="759"/>
      <c r="AG86" s="934"/>
      <c r="AH86" s="934"/>
      <c r="AI86" s="760"/>
      <c r="AJ86" s="934"/>
      <c r="AK86" s="934"/>
      <c r="AL86" s="934"/>
      <c r="AM86" s="934"/>
      <c r="AN86" s="934"/>
      <c r="AO86" s="761"/>
      <c r="AP86" s="761"/>
      <c r="AQ86" s="761"/>
      <c r="AR86" s="761"/>
      <c r="AS86" s="761"/>
      <c r="AT86" s="763">
        <v>0</v>
      </c>
    </row>
    <row s="1659" customFormat="1" customHeight="1" ht="18.75" hidden="1">
      <c r="A87" s="2395"/>
      <c r="B87" s="934"/>
      <c r="C87" s="759"/>
      <c r="D87" s="757"/>
      <c r="E87" s="570" t="str">
        <f>FHD_NUM_P_49</f>
        <v/>
      </c>
      <c r="F87" s="1904" t="str">
        <f>FHD_P_49</f>
        <v/>
      </c>
      <c r="G87" s="1905" t="s">
        <v>665</v>
      </c>
      <c r="H87" s="1002">
        <f>SUM(H88:H89)</f>
        <v>0</v>
      </c>
      <c r="I87" s="773">
        <f>SUM(I88:I89)</f>
        <v>0</v>
      </c>
      <c r="J87" s="1002">
        <f>SUM(J88:J89)</f>
        <v>0</v>
      </c>
      <c r="K87" s="1002">
        <f>SUM(K88:K89)</f>
        <v>0</v>
      </c>
      <c r="L87" s="1002">
        <f>SUM(L88:L89)</f>
        <v>0</v>
      </c>
      <c r="M87" s="1002">
        <f>SUM(M88:M89)</f>
        <v>0</v>
      </c>
      <c r="N87" s="1002">
        <f>SUM(N88:N89)</f>
        <v>0</v>
      </c>
      <c r="O87" s="1002">
        <f>SUM(O88:O89)</f>
        <v>0</v>
      </c>
      <c r="P87" s="1002">
        <f>SUM(P88:P89)</f>
        <v>0</v>
      </c>
      <c r="Q87" s="1002">
        <f>SUM(Q88:Q89)</f>
        <v>0</v>
      </c>
      <c r="R87" s="1002">
        <f>SUM(R88:R89)</f>
        <v>0</v>
      </c>
      <c r="S87" s="1002">
        <f>SUM(S88:S89)</f>
        <v>0</v>
      </c>
      <c r="T87" s="1002">
        <f>SUM(T88:T89)</f>
        <v>0</v>
      </c>
      <c r="U87" s="1002">
        <f>SUM(U88:U89)</f>
        <v>0</v>
      </c>
      <c r="V87" s="1002">
        <f>SUM(V88:V89)</f>
        <v>0</v>
      </c>
      <c r="W87" s="1002">
        <f>SUM(W88:W89)</f>
        <v>0</v>
      </c>
      <c r="X87" s="313" t="str">
        <f>FHD_NOTE_P_49</f>
        <v/>
      </c>
      <c r="Y87" s="758"/>
      <c r="Z87" s="759"/>
      <c r="AA87" s="759"/>
      <c r="AB87" s="934"/>
      <c r="AC87" s="934"/>
      <c r="AD87" s="934"/>
      <c r="AE87" s="934"/>
      <c r="AF87" s="759"/>
      <c r="AG87" s="934"/>
      <c r="AH87" s="934"/>
      <c r="AI87" s="760"/>
      <c r="AJ87" s="934"/>
      <c r="AK87" s="934"/>
      <c r="AL87" s="934"/>
      <c r="AM87" s="934"/>
      <c r="AN87" s="934"/>
      <c r="AO87" s="761"/>
      <c r="AP87" s="761"/>
      <c r="AQ87" s="761"/>
      <c r="AR87" s="761"/>
      <c r="AS87" s="761"/>
      <c r="AT87" s="763">
        <v>0</v>
      </c>
    </row>
    <row s="1659" customFormat="1" customHeight="1" ht="18.75" hidden="1">
      <c r="A88" s="2395"/>
      <c r="B88" s="934"/>
      <c r="C88" s="759"/>
      <c r="D88" s="757"/>
      <c r="E88" s="570" t="str">
        <f>FHD_NUM_P_50</f>
        <v/>
      </c>
      <c r="F88" s="1904" t="str">
        <f>FHD_P_50</f>
        <v/>
      </c>
      <c r="G88" s="1905" t="s">
        <v>665</v>
      </c>
      <c r="H88" s="1001"/>
      <c r="I88" s="601"/>
      <c r="J88" s="1001"/>
      <c r="K88" s="1001"/>
      <c r="L88" s="1001"/>
      <c r="M88" s="1001"/>
      <c r="N88" s="1001"/>
      <c r="O88" s="1001"/>
      <c r="P88" s="1001"/>
      <c r="Q88" s="1001"/>
      <c r="R88" s="1001"/>
      <c r="S88" s="1001"/>
      <c r="T88" s="1001"/>
      <c r="U88" s="1001"/>
      <c r="V88" s="1001"/>
      <c r="W88" s="1001"/>
      <c r="X88" s="313" t="str">
        <f>FHD_NOTE_P_50</f>
        <v/>
      </c>
      <c r="Y88" s="758"/>
      <c r="Z88" s="759"/>
      <c r="AA88" s="759"/>
      <c r="AB88" s="934"/>
      <c r="AC88" s="934"/>
      <c r="AD88" s="934"/>
      <c r="AE88" s="934"/>
      <c r="AF88" s="759"/>
      <c r="AG88" s="934"/>
      <c r="AH88" s="934"/>
      <c r="AI88" s="760"/>
      <c r="AJ88" s="934"/>
      <c r="AK88" s="934"/>
      <c r="AL88" s="934"/>
      <c r="AM88" s="934"/>
      <c r="AN88" s="934"/>
      <c r="AO88" s="761"/>
      <c r="AP88" s="761"/>
      <c r="AQ88" s="761"/>
      <c r="AR88" s="761"/>
      <c r="AS88" s="761"/>
      <c r="AT88" s="763">
        <v>0</v>
      </c>
    </row>
    <row s="1659" customFormat="1" customHeight="1" ht="18.75" hidden="1">
      <c r="A89" s="2395"/>
      <c r="B89" s="934"/>
      <c r="C89" s="759"/>
      <c r="D89" s="757"/>
      <c r="E89" s="570" t="str">
        <f>FHD_NUM_P_51</f>
        <v/>
      </c>
      <c r="F89" s="1904" t="str">
        <f>FHD_P_51</f>
        <v/>
      </c>
      <c r="G89" s="1905" t="s">
        <v>665</v>
      </c>
      <c r="H89" s="1001"/>
      <c r="I89" s="601"/>
      <c r="J89" s="1001"/>
      <c r="K89" s="1001"/>
      <c r="L89" s="1001"/>
      <c r="M89" s="1001"/>
      <c r="N89" s="1001"/>
      <c r="O89" s="1001"/>
      <c r="P89" s="1001"/>
      <c r="Q89" s="1001"/>
      <c r="R89" s="1001"/>
      <c r="S89" s="1001"/>
      <c r="T89" s="1001"/>
      <c r="U89" s="1001"/>
      <c r="V89" s="1001"/>
      <c r="W89" s="1001"/>
      <c r="X89" s="313" t="str">
        <f>FHD_NOTE_P_51</f>
        <v/>
      </c>
      <c r="Y89" s="758"/>
      <c r="Z89" s="759"/>
      <c r="AA89" s="759"/>
      <c r="AB89" s="934"/>
      <c r="AC89" s="934"/>
      <c r="AD89" s="934"/>
      <c r="AE89" s="934"/>
      <c r="AF89" s="759"/>
      <c r="AG89" s="934"/>
      <c r="AH89" s="934"/>
      <c r="AI89" s="760"/>
      <c r="AJ89" s="934"/>
      <c r="AK89" s="934"/>
      <c r="AL89" s="934"/>
      <c r="AM89" s="934"/>
      <c r="AN89" s="934"/>
      <c r="AO89" s="761"/>
      <c r="AP89" s="761"/>
      <c r="AQ89" s="761"/>
      <c r="AR89" s="761"/>
      <c r="AS89" s="761"/>
      <c r="AT89" s="763">
        <v>0</v>
      </c>
    </row>
    <row s="1659" customFormat="1" customHeight="1" ht="18.75" hidden="1">
      <c r="A90" s="2395"/>
      <c r="B90" s="934"/>
      <c r="C90" s="759"/>
      <c r="D90" s="757"/>
      <c r="E90" s="570" t="str">
        <f>FHD_NUM_P_52</f>
        <v/>
      </c>
      <c r="F90" s="1904" t="str">
        <f>FHD_P_52</f>
        <v/>
      </c>
      <c r="G90" s="1905" t="s">
        <v>642</v>
      </c>
      <c r="H90" s="1000"/>
      <c r="I90" s="581"/>
      <c r="J90" s="1000"/>
      <c r="K90" s="1000"/>
      <c r="L90" s="1000"/>
      <c r="M90" s="1000"/>
      <c r="N90" s="1000"/>
      <c r="O90" s="1000"/>
      <c r="P90" s="1000"/>
      <c r="Q90" s="1000"/>
      <c r="R90" s="1000"/>
      <c r="S90" s="1000"/>
      <c r="T90" s="1000"/>
      <c r="U90" s="1000"/>
      <c r="V90" s="1000"/>
      <c r="W90" s="1000"/>
      <c r="X90" s="313" t="str">
        <f>FHD_NOTE_P_52</f>
        <v/>
      </c>
      <c r="Y90" s="758"/>
      <c r="Z90" s="759"/>
      <c r="AA90" s="759"/>
      <c r="AB90" s="934"/>
      <c r="AC90" s="934"/>
      <c r="AD90" s="934"/>
      <c r="AE90" s="934"/>
      <c r="AF90" s="759"/>
      <c r="AG90" s="934"/>
      <c r="AH90" s="934"/>
      <c r="AI90" s="760"/>
      <c r="AJ90" s="934"/>
      <c r="AK90" s="934"/>
      <c r="AL90" s="934"/>
      <c r="AM90" s="934"/>
      <c r="AN90" s="934"/>
      <c r="AO90" s="761"/>
      <c r="AP90" s="761"/>
      <c r="AQ90" s="761"/>
      <c r="AR90" s="761"/>
      <c r="AS90" s="761"/>
      <c r="AT90" s="763">
        <v>0</v>
      </c>
    </row>
    <row s="1390" customFormat="1" customHeight="1" ht="18.75" hidden="1">
      <c r="A91" s="2397" t="s">
        <v>666</v>
      </c>
      <c r="C91" s="759"/>
      <c r="D91" s="757"/>
      <c r="E91" s="570" t="str">
        <f>FHD_NUM_P_53</f>
        <v/>
      </c>
      <c r="F91" s="1904" t="str">
        <f>FHD_P_53</f>
        <v/>
      </c>
      <c r="G91" s="1905" t="s">
        <v>665</v>
      </c>
      <c r="H91" s="1001"/>
      <c r="I91" s="601"/>
      <c r="J91" s="1001"/>
      <c r="K91" s="1001"/>
      <c r="L91" s="1001"/>
      <c r="M91" s="1001"/>
      <c r="N91" s="1001"/>
      <c r="O91" s="1001"/>
      <c r="P91" s="1001"/>
      <c r="Q91" s="1001"/>
      <c r="R91" s="1001"/>
      <c r="S91" s="1001"/>
      <c r="T91" s="1001"/>
      <c r="U91" s="1001"/>
      <c r="V91" s="1001"/>
      <c r="W91" s="1001"/>
      <c r="X91" s="313" t="str">
        <f>FHD_NOTE_P_53</f>
        <v/>
      </c>
      <c r="Y91" s="758"/>
      <c r="Z91" s="759"/>
      <c r="AA91" s="759"/>
      <c r="AF91" s="759"/>
      <c r="AI91" s="760"/>
      <c r="AO91" s="761"/>
      <c r="AP91" s="761"/>
      <c r="AQ91" s="761"/>
      <c r="AR91" s="761"/>
      <c r="AS91" s="761"/>
      <c r="AT91" s="934">
        <v>0</v>
      </c>
    </row>
    <row s="1390" customFormat="1" customHeight="1" ht="18.75" hidden="1">
      <c r="A92" s="2397"/>
      <c r="C92" s="759"/>
      <c r="D92" s="757"/>
      <c r="E92" s="570" t="str">
        <f>FHD_NUM_P_54</f>
        <v/>
      </c>
      <c r="F92" s="1904" t="str">
        <f>FHD_P_54</f>
        <v/>
      </c>
      <c r="G92" s="1905" t="s">
        <v>665</v>
      </c>
      <c r="H92" s="1001"/>
      <c r="I92" s="601"/>
      <c r="J92" s="1001"/>
      <c r="K92" s="1001"/>
      <c r="L92" s="1001"/>
      <c r="M92" s="1001"/>
      <c r="N92" s="1001"/>
      <c r="O92" s="1001"/>
      <c r="P92" s="1001"/>
      <c r="Q92" s="1001"/>
      <c r="R92" s="1001"/>
      <c r="S92" s="1001"/>
      <c r="T92" s="1001"/>
      <c r="U92" s="1001"/>
      <c r="V92" s="1001"/>
      <c r="W92" s="1001"/>
      <c r="X92" s="313" t="str">
        <f>FHD_NOTE_P_54</f>
        <v/>
      </c>
      <c r="Y92" s="758"/>
      <c r="Z92" s="759"/>
      <c r="AA92" s="759"/>
      <c r="AF92" s="759"/>
      <c r="AI92" s="760"/>
      <c r="AO92" s="761"/>
      <c r="AP92" s="761"/>
      <c r="AQ92" s="761"/>
      <c r="AR92" s="761"/>
      <c r="AS92" s="761"/>
      <c r="AT92" s="934">
        <v>0</v>
      </c>
    </row>
    <row s="1390" customFormat="1" customHeight="1" ht="18.75" hidden="1">
      <c r="A93" s="2397"/>
      <c r="C93" s="759"/>
      <c r="D93" s="762"/>
      <c r="E93" s="570" t="str">
        <f>FHD_NUM_P_55</f>
        <v/>
      </c>
      <c r="F93" s="1904" t="str">
        <f>FHD_P_55</f>
        <v/>
      </c>
      <c r="G93" s="1908"/>
      <c r="H93" s="1001"/>
      <c r="I93" s="601"/>
      <c r="J93" s="1001"/>
      <c r="K93" s="1001"/>
      <c r="L93" s="1001"/>
      <c r="M93" s="1001"/>
      <c r="N93" s="1001"/>
      <c r="O93" s="1001"/>
      <c r="P93" s="1001"/>
      <c r="Q93" s="1001"/>
      <c r="R93" s="1001"/>
      <c r="S93" s="1001"/>
      <c r="T93" s="1001"/>
      <c r="U93" s="1001"/>
      <c r="V93" s="1001"/>
      <c r="W93" s="1001"/>
      <c r="X93" s="313" t="str">
        <f>FHD_NOTE_P_55</f>
        <v/>
      </c>
      <c r="Y93" s="758"/>
      <c r="Z93" s="759"/>
      <c r="AA93" s="759"/>
      <c r="AF93" s="759"/>
      <c r="AI93" s="760"/>
      <c r="AO93" s="761"/>
      <c r="AP93" s="761"/>
      <c r="AQ93" s="761"/>
      <c r="AR93" s="761"/>
      <c r="AS93" s="761"/>
      <c r="AT93" s="934">
        <v>0</v>
      </c>
    </row>
    <row s="1390" customFormat="1" customHeight="1" ht="18.75" hidden="1">
      <c r="A94" s="2397"/>
      <c r="C94" s="759"/>
      <c r="D94" s="757"/>
      <c r="E94" s="570" t="str">
        <f>FHD_NUM_P_56</f>
        <v/>
      </c>
      <c r="F94" s="1904" t="str">
        <f>FHD_P_56</f>
        <v/>
      </c>
      <c r="G94" s="1905" t="s">
        <v>667</v>
      </c>
      <c r="H94" s="1001"/>
      <c r="I94" s="601"/>
      <c r="J94" s="1001"/>
      <c r="K94" s="1001"/>
      <c r="L94" s="1001"/>
      <c r="M94" s="1001"/>
      <c r="N94" s="1001"/>
      <c r="O94" s="1001"/>
      <c r="P94" s="1001"/>
      <c r="Q94" s="1001"/>
      <c r="R94" s="1001"/>
      <c r="S94" s="1001"/>
      <c r="T94" s="1001"/>
      <c r="U94" s="1001"/>
      <c r="V94" s="1001"/>
      <c r="W94" s="1001"/>
      <c r="X94" s="313" t="str">
        <f>FHD_NOTE_P_56</f>
        <v/>
      </c>
      <c r="Y94" s="758"/>
      <c r="Z94" s="759"/>
      <c r="AA94" s="759"/>
      <c r="AF94" s="759"/>
      <c r="AI94" s="760"/>
      <c r="AO94" s="761"/>
      <c r="AP94" s="761"/>
      <c r="AQ94" s="761"/>
      <c r="AR94" s="761"/>
      <c r="AS94" s="761"/>
      <c r="AT94" s="934">
        <v>0</v>
      </c>
    </row>
    <row s="1659" customFormat="1" customHeight="1" ht="18.75" hidden="1">
      <c r="A95" s="2397"/>
      <c r="B95" s="934"/>
      <c r="C95" s="759"/>
      <c r="D95" s="757"/>
      <c r="E95" s="570" t="str">
        <f>FHD_NUM_P_57</f>
        <v/>
      </c>
      <c r="F95" s="1904" t="str">
        <f>FHD_P_57</f>
        <v/>
      </c>
      <c r="G95" s="1905" t="s">
        <v>642</v>
      </c>
      <c r="H95" s="1000"/>
      <c r="I95" s="581"/>
      <c r="J95" s="1000"/>
      <c r="K95" s="1000"/>
      <c r="L95" s="1000"/>
      <c r="M95" s="1000"/>
      <c r="N95" s="1000"/>
      <c r="O95" s="1000"/>
      <c r="P95" s="1000"/>
      <c r="Q95" s="1000"/>
      <c r="R95" s="1000"/>
      <c r="S95" s="1000"/>
      <c r="T95" s="1000"/>
      <c r="U95" s="1000"/>
      <c r="V95" s="1000"/>
      <c r="W95" s="1000"/>
      <c r="X95" s="313" t="str">
        <f>FHD_NOTE_P_57</f>
        <v/>
      </c>
      <c r="Y95" s="758"/>
      <c r="Z95" s="759"/>
      <c r="AA95" s="759"/>
      <c r="AB95" s="934"/>
      <c r="AC95" s="934"/>
      <c r="AD95" s="934"/>
      <c r="AE95" s="934"/>
      <c r="AF95" s="759"/>
      <c r="AG95" s="934"/>
      <c r="AH95" s="934"/>
      <c r="AI95" s="760"/>
      <c r="AJ95" s="934"/>
      <c r="AK95" s="934"/>
      <c r="AL95" s="934"/>
      <c r="AM95" s="934"/>
      <c r="AN95" s="934"/>
      <c r="AO95" s="761"/>
      <c r="AP95" s="761"/>
      <c r="AQ95" s="761"/>
      <c r="AR95" s="761"/>
      <c r="AS95" s="761"/>
      <c r="AT95" s="763">
        <v>0</v>
      </c>
    </row>
    <row customHeight="1" ht="18.75" hidden="1">
      <c r="A96" s="2395" t="s">
        <v>668</v>
      </c>
      <c r="D96" s="1662"/>
      <c r="E96" s="570" t="str">
        <f>FHD_NUM_P_58</f>
        <v/>
      </c>
      <c r="F96" s="1904" t="str">
        <f>FHD_P_58</f>
        <v/>
      </c>
      <c r="G96" s="1905" t="s">
        <v>665</v>
      </c>
      <c r="H96" s="1001"/>
      <c r="I96" s="601"/>
      <c r="J96" s="1001"/>
      <c r="K96" s="1001"/>
      <c r="L96" s="1001"/>
      <c r="M96" s="1001"/>
      <c r="N96" s="1001"/>
      <c r="O96" s="1001"/>
      <c r="P96" s="1001"/>
      <c r="Q96" s="1001"/>
      <c r="R96" s="1001"/>
      <c r="S96" s="1001"/>
      <c r="T96" s="1001"/>
      <c r="U96" s="1001"/>
      <c r="V96" s="1001"/>
      <c r="W96" s="1001"/>
      <c r="X96" s="313" t="str">
        <f>FHD_NOTE_P_58</f>
        <v/>
      </c>
      <c r="Y96" s="567"/>
      <c r="AT96" s="1655">
        <v>0</v>
      </c>
    </row>
    <row customHeight="1" ht="18.75" hidden="1">
      <c r="A97" s="2395"/>
      <c r="D97" s="1662"/>
      <c r="E97" s="570" t="str">
        <f>FHD_NUM_P_59</f>
        <v/>
      </c>
      <c r="F97" s="1904" t="str">
        <f>FHD_P_59</f>
        <v/>
      </c>
      <c r="G97" s="1905" t="s">
        <v>665</v>
      </c>
      <c r="H97" s="1001"/>
      <c r="I97" s="601"/>
      <c r="J97" s="1001"/>
      <c r="K97" s="1001"/>
      <c r="L97" s="1001"/>
      <c r="M97" s="1001"/>
      <c r="N97" s="1001"/>
      <c r="O97" s="1001"/>
      <c r="P97" s="1001"/>
      <c r="Q97" s="1001"/>
      <c r="R97" s="1001"/>
      <c r="S97" s="1001"/>
      <c r="T97" s="1001"/>
      <c r="U97" s="1001"/>
      <c r="V97" s="1001"/>
      <c r="W97" s="1001"/>
      <c r="X97" s="313" t="str">
        <f>FHD_NOTE_P_59</f>
        <v/>
      </c>
      <c r="Y97" s="567"/>
      <c r="AT97" s="1655">
        <v>0</v>
      </c>
    </row>
    <row customHeight="1" ht="18.75" hidden="1">
      <c r="A98" s="2395"/>
      <c r="D98" s="1662"/>
      <c r="E98" s="570" t="str">
        <f>FHD_NUM_P_60</f>
        <v/>
      </c>
      <c r="F98" s="1904" t="str">
        <f>FHD_P_60</f>
        <v/>
      </c>
      <c r="G98" s="1905" t="s">
        <v>665</v>
      </c>
      <c r="H98" s="1001"/>
      <c r="I98" s="601"/>
      <c r="J98" s="1001"/>
      <c r="K98" s="1001"/>
      <c r="L98" s="1001"/>
      <c r="M98" s="1001"/>
      <c r="N98" s="1001"/>
      <c r="O98" s="1001"/>
      <c r="P98" s="1001"/>
      <c r="Q98" s="1001"/>
      <c r="R98" s="1001"/>
      <c r="S98" s="1001"/>
      <c r="T98" s="1001"/>
      <c r="U98" s="1001"/>
      <c r="V98" s="1001"/>
      <c r="W98" s="1001"/>
      <c r="X98" s="313" t="str">
        <f>FHD_NOTE_P_60</f>
        <v/>
      </c>
      <c r="Y98" s="567"/>
      <c r="AT98" s="1655">
        <v>0</v>
      </c>
    </row>
    <row s="1390" customFormat="1" customHeight="1" ht="18.75">
      <c r="A99" s="2395" t="s">
        <v>669</v>
      </c>
      <c r="C99" s="1660"/>
      <c r="D99" s="1662"/>
      <c r="E99" s="570" t="str">
        <f>FHD_NUM_P_61</f>
        <v>7</v>
      </c>
      <c r="F99" s="19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02" t="s">
        <v>640</v>
      </c>
      <c r="H99" s="1003"/>
      <c r="I99" s="766"/>
      <c r="J99" s="1003"/>
      <c r="K99" s="1003"/>
      <c r="L99" s="1003"/>
      <c r="M99" s="1003"/>
      <c r="N99" s="1003"/>
      <c r="O99" s="1003"/>
      <c r="P99" s="1003"/>
      <c r="Q99" s="1003"/>
      <c r="R99" s="1003"/>
      <c r="S99" s="1003"/>
      <c r="T99" s="1003"/>
      <c r="U99" s="1003"/>
      <c r="V99" s="1003"/>
      <c r="W99" s="1003"/>
      <c r="X99" s="31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Y99" s="567"/>
      <c r="Z99" s="1660"/>
      <c r="AA99" s="1660"/>
      <c r="AF99" s="1660"/>
      <c r="AI99" s="568"/>
      <c r="AO99" s="1656"/>
      <c r="AP99" s="1656"/>
      <c r="AQ99" s="1656"/>
      <c r="AR99" s="1656"/>
      <c r="AS99" s="1656"/>
      <c r="AT99" s="1184">
        <v>0</v>
      </c>
    </row>
    <row s="1666" customFormat="1" customHeight="1" ht="0.75">
      <c r="A100" s="2395"/>
      <c r="D100" s="572"/>
      <c r="E100" s="1037" t="str">
        <f>E99&amp;".0"</f>
        <v>7.0</v>
      </c>
      <c r="F100" s="1018"/>
      <c r="G100" s="1019"/>
      <c r="H100" s="1016"/>
      <c r="I100" s="1016"/>
      <c r="J100" s="1016"/>
      <c r="K100" s="1016"/>
      <c r="L100" s="1016"/>
      <c r="M100" s="1016"/>
      <c r="N100" s="1016"/>
      <c r="O100" s="1016"/>
      <c r="P100" s="1016"/>
      <c r="Q100" s="1016"/>
      <c r="R100" s="1016"/>
      <c r="S100" s="1016"/>
      <c r="T100" s="1016"/>
      <c r="U100" s="1016"/>
      <c r="V100" s="1016"/>
      <c r="W100" s="1016"/>
      <c r="X100" s="1020"/>
      <c r="AT100" s="1660">
        <v>0</v>
      </c>
    </row>
    <row customHeight="1" ht="15">
      <c r="A101" s="2395"/>
      <c r="D101" s="1657"/>
      <c r="E101" s="995"/>
      <c r="F101" s="996" t="s">
        <v>670</v>
      </c>
      <c r="G101" s="596"/>
      <c r="H101" s="597"/>
      <c r="I101" s="597"/>
      <c r="J101" s="2685"/>
      <c r="K101" s="2686"/>
      <c r="L101" s="2687"/>
      <c r="M101" s="2688"/>
      <c r="N101" s="2689"/>
      <c r="O101" s="2690"/>
      <c r="P101" s="2691"/>
      <c r="Q101" s="2692"/>
      <c r="R101" s="2693"/>
      <c r="S101" s="2694"/>
      <c r="T101" s="2695"/>
      <c r="U101" s="2696"/>
      <c r="V101" s="2697"/>
      <c r="W101" s="2698"/>
      <c r="X101" s="1028" t="s">
        <v>671</v>
      </c>
      <c r="Y101" s="567"/>
      <c r="AT101" s="1655">
        <v>0</v>
      </c>
    </row>
    <row s="1390" customFormat="1" customHeight="1" ht="18.75">
      <c r="A102" s="2395"/>
      <c r="C102" s="1660"/>
      <c r="D102" s="1662"/>
      <c r="E102" s="570" t="str">
        <f>FHD_NUM_P_62</f>
        <v>8</v>
      </c>
      <c r="F102" s="1904" t="str">
        <f>FHD_P_62</f>
        <v>Тепловая нагрузка по договорам, заключенным в рамках осуществления регулируемых видов деятельности</v>
      </c>
      <c r="G102" s="1901" t="s">
        <v>640</v>
      </c>
      <c r="H102" s="581"/>
      <c r="I102" s="581"/>
      <c r="J102" s="581"/>
      <c r="K102" s="581"/>
      <c r="L102" s="581"/>
      <c r="M102" s="581"/>
      <c r="N102" s="581"/>
      <c r="O102" s="581"/>
      <c r="P102" s="581"/>
      <c r="Q102" s="581"/>
      <c r="R102" s="581"/>
      <c r="S102" s="581"/>
      <c r="T102" s="581"/>
      <c r="U102" s="581"/>
      <c r="V102" s="581"/>
      <c r="W102" s="581"/>
      <c r="X102" s="313" t="str">
        <f>FHD_NOTE_P_62</f>
        <v>Регулируемыми организациями указывается информация по договорам, заключенным в рамках осуществления регулируемых видов деятельности</v>
      </c>
      <c r="Y102" s="567"/>
      <c r="Z102" s="1660"/>
      <c r="AA102" s="1660"/>
      <c r="AF102" s="1660"/>
      <c r="AI102" s="568"/>
      <c r="AO102" s="1656"/>
      <c r="AP102" s="1656"/>
      <c r="AQ102" s="1656"/>
      <c r="AR102" s="1656"/>
      <c r="AS102" s="1656"/>
      <c r="AT102" s="1184">
        <v>0</v>
      </c>
    </row>
    <row s="1390" customFormat="1" customHeight="1" ht="18.75">
      <c r="A103" s="2395"/>
      <c r="C103" s="1660"/>
      <c r="D103" s="1662"/>
      <c r="E103" s="570" t="str">
        <f>FHD_NUM_P_63</f>
        <v>9</v>
      </c>
      <c r="F103" s="1904" t="str">
        <f>FHD_P_63</f>
        <v>Объем вырабатываемой регулируемой организацией тепловой энергии в рамках осуществления регулируемых видов деятельности</v>
      </c>
      <c r="G103" s="1901" t="s">
        <v>667</v>
      </c>
      <c r="H103" s="601"/>
      <c r="I103" s="601"/>
      <c r="J103" s="601"/>
      <c r="K103" s="601"/>
      <c r="L103" s="601"/>
      <c r="M103" s="601"/>
      <c r="N103" s="601"/>
      <c r="O103" s="601"/>
      <c r="P103" s="601"/>
      <c r="Q103" s="601"/>
      <c r="R103" s="601"/>
      <c r="S103" s="601"/>
      <c r="T103" s="601"/>
      <c r="U103" s="601"/>
      <c r="V103" s="601"/>
      <c r="W103" s="601"/>
      <c r="X103" s="31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Y103" s="567"/>
      <c r="Z103" s="1660"/>
      <c r="AA103" s="1660"/>
      <c r="AF103" s="1660"/>
      <c r="AI103" s="568"/>
      <c r="AO103" s="1656"/>
      <c r="AP103" s="1656"/>
      <c r="AQ103" s="1656"/>
      <c r="AR103" s="1656"/>
      <c r="AS103" s="1656"/>
      <c r="AT103" s="1184">
        <v>0</v>
      </c>
    </row>
    <row s="1390" customFormat="1" customHeight="1" ht="18.75">
      <c r="A104" s="2395"/>
      <c r="C104" s="1660" t="s">
        <v>672</v>
      </c>
      <c r="D104" s="1662"/>
      <c r="E104" s="570" t="str">
        <f>FHD_NUM_P_64</f>
        <v>9.1</v>
      </c>
      <c r="F104" s="1904" t="str">
        <f>FHD_P_64</f>
        <v>Объем приобретаемой регулируемой организацией тепловой энергии в рамках осуществления регулируемых видов деятельности</v>
      </c>
      <c r="G104" s="1901" t="s">
        <v>667</v>
      </c>
      <c r="H104" s="569"/>
      <c r="I104" s="569"/>
      <c r="J104" s="569"/>
      <c r="K104" s="569"/>
      <c r="L104" s="569"/>
      <c r="M104" s="569"/>
      <c r="N104" s="569"/>
      <c r="O104" s="569"/>
      <c r="P104" s="569"/>
      <c r="Q104" s="569"/>
      <c r="R104" s="569"/>
      <c r="S104" s="569"/>
      <c r="T104" s="569"/>
      <c r="U104" s="569"/>
      <c r="V104" s="569"/>
      <c r="W104" s="569"/>
      <c r="X104" s="313" t="str">
        <f>FHD_NOTE_P_64</f>
        <v>Информация указывается только едиными теплоснабжающими организациями.</v>
      </c>
      <c r="Y104" s="567"/>
      <c r="Z104" s="1660"/>
      <c r="AA104" s="1660"/>
      <c r="AF104" s="1660"/>
      <c r="AI104" s="568"/>
      <c r="AO104" s="1656"/>
      <c r="AP104" s="1656"/>
      <c r="AQ104" s="1656"/>
      <c r="AR104" s="1656"/>
      <c r="AS104" s="1656"/>
      <c r="AT104" s="1184">
        <v>0</v>
      </c>
    </row>
    <row s="1390" customFormat="1" customHeight="1" ht="18.75">
      <c r="A105" s="2395"/>
      <c r="C105" s="1660"/>
      <c r="D105" s="1662"/>
      <c r="E105" s="570" t="str">
        <f>FHD_NUM_P_65</f>
        <v>10</v>
      </c>
      <c r="F105" s="19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01" t="s">
        <v>667</v>
      </c>
      <c r="H105" s="601"/>
      <c r="I105" s="601"/>
      <c r="J105" s="601"/>
      <c r="K105" s="601"/>
      <c r="L105" s="601"/>
      <c r="M105" s="601"/>
      <c r="N105" s="601"/>
      <c r="O105" s="601"/>
      <c r="P105" s="601"/>
      <c r="Q105" s="601"/>
      <c r="R105" s="601"/>
      <c r="S105" s="601"/>
      <c r="T105" s="601"/>
      <c r="U105" s="601"/>
      <c r="V105" s="601"/>
      <c r="W105" s="601"/>
      <c r="X105" s="31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Y105" s="567"/>
      <c r="Z105" s="1660"/>
      <c r="AA105" s="1660"/>
      <c r="AF105" s="1660"/>
      <c r="AI105" s="568"/>
      <c r="AO105" s="1656"/>
      <c r="AP105" s="1656"/>
      <c r="AQ105" s="1656"/>
      <c r="AR105" s="1656"/>
      <c r="AS105" s="1656"/>
      <c r="AT105" s="1184">
        <v>0</v>
      </c>
    </row>
    <row s="1390" customFormat="1" customHeight="1" ht="18.75">
      <c r="A106" s="2395"/>
      <c r="C106" s="1660"/>
      <c r="D106" s="1662"/>
      <c r="E106" s="570" t="str">
        <f>FHD_NUM_P_66</f>
        <v>10.1</v>
      </c>
      <c r="F106" s="1548" t="str">
        <f>FHD_P_66</f>
        <v>По приборам учёта </v>
      </c>
      <c r="G106" s="1901" t="s">
        <v>667</v>
      </c>
      <c r="H106" s="601"/>
      <c r="I106" s="601"/>
      <c r="J106" s="601"/>
      <c r="K106" s="601"/>
      <c r="L106" s="601"/>
      <c r="M106" s="601"/>
      <c r="N106" s="601"/>
      <c r="O106" s="601"/>
      <c r="P106" s="601"/>
      <c r="Q106" s="601"/>
      <c r="R106" s="601"/>
      <c r="S106" s="601"/>
      <c r="T106" s="601"/>
      <c r="U106" s="601"/>
      <c r="V106" s="601"/>
      <c r="W106" s="601"/>
      <c r="X106" s="313" t="str">
        <f>FHD_NOTE_P_66</f>
        <v/>
      </c>
      <c r="Y106" s="567"/>
      <c r="Z106" s="1660"/>
      <c r="AA106" s="1660"/>
      <c r="AF106" s="1660"/>
      <c r="AI106" s="568"/>
      <c r="AO106" s="1656"/>
      <c r="AP106" s="1656"/>
      <c r="AQ106" s="1656"/>
      <c r="AR106" s="1656"/>
      <c r="AS106" s="1656"/>
      <c r="AT106" s="1184">
        <v>0</v>
      </c>
    </row>
    <row s="1390" customFormat="1" customHeight="1" ht="18.75">
      <c r="A107" s="2395"/>
      <c r="C107" s="1660"/>
      <c r="D107" s="1662"/>
      <c r="E107" s="570" t="str">
        <f>FHD_NUM_P_67</f>
        <v>10.1.1</v>
      </c>
      <c r="F107" s="167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01" t="s">
        <v>667</v>
      </c>
      <c r="H107" s="601"/>
      <c r="I107" s="601"/>
      <c r="J107" s="601"/>
      <c r="K107" s="601"/>
      <c r="L107" s="601"/>
      <c r="M107" s="601"/>
      <c r="N107" s="601"/>
      <c r="O107" s="601"/>
      <c r="P107" s="601"/>
      <c r="Q107" s="601"/>
      <c r="R107" s="601"/>
      <c r="S107" s="601"/>
      <c r="T107" s="601"/>
      <c r="U107" s="601"/>
      <c r="V107" s="601"/>
      <c r="W107" s="601"/>
      <c r="X107" s="313" t="str">
        <f>FHD_NOTE_P_67</f>
        <v/>
      </c>
      <c r="Y107" s="567"/>
      <c r="Z107" s="1660"/>
      <c r="AA107" s="1660"/>
      <c r="AF107" s="1660"/>
      <c r="AI107" s="568"/>
      <c r="AO107" s="1656"/>
      <c r="AP107" s="1656"/>
      <c r="AQ107" s="1656"/>
      <c r="AR107" s="1656"/>
      <c r="AS107" s="1656"/>
      <c r="AT107" s="1184">
        <v>0</v>
      </c>
    </row>
    <row s="1390" customFormat="1" customHeight="1" ht="18.75">
      <c r="A108" s="2395"/>
      <c r="C108" s="1660"/>
      <c r="D108" s="1662"/>
      <c r="E108" s="570" t="str">
        <f>FHD_NUM_P_68</f>
        <v>10.2</v>
      </c>
      <c r="F108" s="1548" t="str">
        <f>FHD_P_68</f>
        <v>Расчётным путём</v>
      </c>
      <c r="G108" s="1901" t="s">
        <v>667</v>
      </c>
      <c r="H108" s="601"/>
      <c r="I108" s="601"/>
      <c r="J108" s="601"/>
      <c r="K108" s="601"/>
      <c r="L108" s="601"/>
      <c r="M108" s="601"/>
      <c r="N108" s="601"/>
      <c r="O108" s="601"/>
      <c r="P108" s="601"/>
      <c r="Q108" s="601"/>
      <c r="R108" s="601"/>
      <c r="S108" s="601"/>
      <c r="T108" s="601"/>
      <c r="U108" s="601"/>
      <c r="V108" s="601"/>
      <c r="W108" s="601"/>
      <c r="X108" s="313" t="str">
        <f>FHD_NOTE_P_68</f>
        <v/>
      </c>
      <c r="Y108" s="567"/>
      <c r="Z108" s="1660"/>
      <c r="AA108" s="1660"/>
      <c r="AF108" s="1660"/>
      <c r="AI108" s="568"/>
      <c r="AO108" s="1656"/>
      <c r="AP108" s="1656"/>
      <c r="AQ108" s="1656"/>
      <c r="AR108" s="1656"/>
      <c r="AS108" s="1656"/>
      <c r="AT108" s="1184">
        <v>0</v>
      </c>
    </row>
    <row s="1390" customFormat="1" customHeight="1" ht="18.75">
      <c r="A109" s="2395"/>
      <c r="C109" s="1660"/>
      <c r="D109" s="1662"/>
      <c r="E109" s="570" t="str">
        <f>FHD_NUM_P_69</f>
        <v>10.3</v>
      </c>
      <c r="F109" s="1548" t="str">
        <f>FHD_P_69</f>
        <v>По нормативам потребления коммунальных услуг и нормативам потребления коммунальных ресурсов</v>
      </c>
      <c r="G109" s="1901" t="s">
        <v>667</v>
      </c>
      <c r="H109" s="601"/>
      <c r="I109" s="601"/>
      <c r="J109" s="601"/>
      <c r="K109" s="601"/>
      <c r="L109" s="601"/>
      <c r="M109" s="601"/>
      <c r="N109" s="601"/>
      <c r="O109" s="601"/>
      <c r="P109" s="601"/>
      <c r="Q109" s="601"/>
      <c r="R109" s="601"/>
      <c r="S109" s="601"/>
      <c r="T109" s="601"/>
      <c r="U109" s="601"/>
      <c r="V109" s="601"/>
      <c r="W109" s="601"/>
      <c r="X109" s="313" t="str">
        <f>FHD_NOTE_P_69</f>
        <v/>
      </c>
      <c r="Y109" s="567"/>
      <c r="Z109" s="1660"/>
      <c r="AA109" s="1660"/>
      <c r="AF109" s="1660"/>
      <c r="AI109" s="568"/>
      <c r="AO109" s="1656"/>
      <c r="AP109" s="1656"/>
      <c r="AQ109" s="1656"/>
      <c r="AR109" s="1656"/>
      <c r="AS109" s="1656"/>
      <c r="AT109" s="1184">
        <v>0</v>
      </c>
    </row>
    <row s="1390" customFormat="1" customHeight="1" ht="22.5">
      <c r="A110" s="2395"/>
      <c r="C110" s="1660"/>
      <c r="D110" s="1662"/>
      <c r="E110" s="570" t="str">
        <f>FHD_NUM_P_70</f>
        <v>11</v>
      </c>
      <c r="F110" s="19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01" t="s">
        <v>673</v>
      </c>
      <c r="H110" s="581"/>
      <c r="I110" s="581"/>
      <c r="J110" s="581"/>
      <c r="K110" s="581"/>
      <c r="L110" s="581"/>
      <c r="M110" s="581"/>
      <c r="N110" s="581"/>
      <c r="O110" s="581"/>
      <c r="P110" s="581"/>
      <c r="Q110" s="581"/>
      <c r="R110" s="581"/>
      <c r="S110" s="581"/>
      <c r="T110" s="581"/>
      <c r="U110" s="581"/>
      <c r="V110" s="581"/>
      <c r="W110" s="581"/>
      <c r="X110" s="313" t="str">
        <f>FHD_NOTE_P_70</f>
        <v/>
      </c>
      <c r="Y110" s="567"/>
      <c r="Z110" s="1660"/>
      <c r="AA110" s="1660"/>
      <c r="AF110" s="1660"/>
      <c r="AI110" s="568"/>
      <c r="AO110" s="1656"/>
      <c r="AP110" s="1656"/>
      <c r="AQ110" s="1656"/>
      <c r="AR110" s="1656"/>
      <c r="AS110" s="1656"/>
      <c r="AT110" s="1184">
        <v>0</v>
      </c>
    </row>
    <row s="1390" customFormat="1" customHeight="1" ht="22.5">
      <c r="A111" s="2395"/>
      <c r="C111" s="1660"/>
      <c r="D111" s="1662"/>
      <c r="E111" s="570" t="str">
        <f>FHD_NUM_P_71</f>
        <v>12</v>
      </c>
      <c r="F111" s="1904" t="str">
        <f>FHD_P_71</f>
        <v>Фактический объем потерь при передаче тепловой энергии</v>
      </c>
      <c r="G111" s="1901" t="s">
        <v>673</v>
      </c>
      <c r="H111" s="581"/>
      <c r="I111" s="581"/>
      <c r="J111" s="581"/>
      <c r="K111" s="581"/>
      <c r="L111" s="581"/>
      <c r="M111" s="581"/>
      <c r="N111" s="581"/>
      <c r="O111" s="581"/>
      <c r="P111" s="581"/>
      <c r="Q111" s="581"/>
      <c r="R111" s="581"/>
      <c r="S111" s="581"/>
      <c r="T111" s="581"/>
      <c r="U111" s="581"/>
      <c r="V111" s="581"/>
      <c r="W111" s="581"/>
      <c r="X111" s="313" t="str">
        <f>FHD_NOTE_P_71</f>
        <v/>
      </c>
      <c r="Y111" s="567"/>
      <c r="Z111" s="1660"/>
      <c r="AA111" s="1660"/>
      <c r="AF111" s="1660"/>
      <c r="AI111" s="568"/>
      <c r="AO111" s="1656"/>
      <c r="AP111" s="1656"/>
      <c r="AQ111" s="1656"/>
      <c r="AR111" s="1656"/>
      <c r="AS111" s="1656"/>
      <c r="AT111" s="1184">
        <v>0</v>
      </c>
    </row>
    <row customHeight="1" ht="19.95">
      <c r="D112" s="1662"/>
      <c r="E112" s="570" t="str">
        <f>FHD_NUM_P_72</f>
        <v>13</v>
      </c>
      <c r="F112" s="1904" t="str">
        <f>FHD_P_72</f>
        <v>Среднесписочная численность основного производственного персонала</v>
      </c>
      <c r="G112" s="1900" t="s">
        <v>674</v>
      </c>
      <c r="H112" s="601"/>
      <c r="I112" s="601"/>
      <c r="J112" s="601"/>
      <c r="K112" s="601"/>
      <c r="L112" s="601"/>
      <c r="M112" s="601"/>
      <c r="N112" s="601"/>
      <c r="O112" s="601"/>
      <c r="P112" s="601"/>
      <c r="Q112" s="601"/>
      <c r="R112" s="601"/>
      <c r="S112" s="601"/>
      <c r="T112" s="601"/>
      <c r="U112" s="601"/>
      <c r="V112" s="601"/>
      <c r="W112" s="601"/>
      <c r="X112" s="313" t="str">
        <f>FHD_NOTE_P_72</f>
        <v/>
      </c>
      <c r="Y112" s="567"/>
      <c r="AT112" s="1655">
        <v>19</v>
      </c>
    </row>
    <row customHeight="1" ht="18.75">
      <c r="A113" s="1013" t="s">
        <v>675</v>
      </c>
      <c r="D113" s="1662"/>
      <c r="E113" s="570" t="str">
        <f>FHD_NUM_P_73</f>
        <v>14</v>
      </c>
      <c r="F113" s="1904" t="str">
        <f>FHD_P_73</f>
        <v>Среднесписочная численность административно-управленческого персонала</v>
      </c>
      <c r="G113" s="994" t="s">
        <v>674</v>
      </c>
      <c r="H113" s="992"/>
      <c r="I113" s="992"/>
      <c r="J113" s="992"/>
      <c r="K113" s="992"/>
      <c r="L113" s="992"/>
      <c r="M113" s="992"/>
      <c r="N113" s="992"/>
      <c r="O113" s="992"/>
      <c r="P113" s="992"/>
      <c r="Q113" s="992"/>
      <c r="R113" s="992"/>
      <c r="S113" s="992"/>
      <c r="T113" s="992"/>
      <c r="U113" s="992"/>
      <c r="V113" s="992"/>
      <c r="W113" s="992"/>
      <c r="X113" s="313" t="str">
        <f>FHD_NOTE_P_73</f>
        <v/>
      </c>
      <c r="Y113" s="567"/>
      <c r="AT113" s="1655">
        <v>0</v>
      </c>
    </row>
    <row customHeight="1" ht="33.75" hidden="1">
      <c r="A114" s="1013" t="s">
        <v>676</v>
      </c>
      <c r="D114" s="1662"/>
      <c r="E114" s="570" t="str">
        <f>FHD_NUM_P_74</f>
        <v/>
      </c>
      <c r="F114" s="1904" t="str">
        <f>FHD_P_74</f>
        <v/>
      </c>
      <c r="G114" s="1900" t="s">
        <v>677</v>
      </c>
      <c r="H114" s="601"/>
      <c r="I114" s="601"/>
      <c r="J114" s="601"/>
      <c r="K114" s="601"/>
      <c r="L114" s="601"/>
      <c r="M114" s="601"/>
      <c r="N114" s="601"/>
      <c r="O114" s="601"/>
      <c r="P114" s="601"/>
      <c r="Q114" s="601"/>
      <c r="R114" s="601"/>
      <c r="S114" s="601"/>
      <c r="T114" s="601"/>
      <c r="U114" s="601"/>
      <c r="V114" s="601"/>
      <c r="W114" s="601"/>
      <c r="X114" s="313" t="str">
        <f>FHD_NOTE_P_74</f>
        <v/>
      </c>
      <c r="Y114" s="567"/>
      <c r="AT114" s="1655">
        <v>0</v>
      </c>
    </row>
    <row s="1659" customFormat="1" customHeight="1" ht="18.75" hidden="1">
      <c r="A115" s="2397" t="s">
        <v>678</v>
      </c>
      <c r="B115" s="934"/>
      <c r="C115" s="759"/>
      <c r="D115" s="757"/>
      <c r="E115" s="570" t="str">
        <f>FHD_NUM_P_75</f>
        <v/>
      </c>
      <c r="F115" s="1904" t="str">
        <f>FHD_P_75</f>
        <v/>
      </c>
      <c r="G115" s="1900" t="s">
        <v>642</v>
      </c>
      <c r="H115" s="581"/>
      <c r="I115" s="581"/>
      <c r="J115" s="581"/>
      <c r="K115" s="581"/>
      <c r="L115" s="581"/>
      <c r="M115" s="581"/>
      <c r="N115" s="581"/>
      <c r="O115" s="581"/>
      <c r="P115" s="581"/>
      <c r="Q115" s="581"/>
      <c r="R115" s="581"/>
      <c r="S115" s="581"/>
      <c r="T115" s="581"/>
      <c r="U115" s="581"/>
      <c r="V115" s="581"/>
      <c r="W115" s="581"/>
      <c r="X115" s="313" t="str">
        <f>FHD_NOTE_P_75</f>
        <v/>
      </c>
      <c r="Y115" s="758"/>
      <c r="Z115" s="759"/>
      <c r="AA115" s="759"/>
      <c r="AB115" s="934"/>
      <c r="AC115" s="934"/>
      <c r="AD115" s="934"/>
      <c r="AE115" s="934"/>
      <c r="AF115" s="759"/>
      <c r="AG115" s="934"/>
      <c r="AH115" s="934"/>
      <c r="AI115" s="760"/>
      <c r="AJ115" s="934"/>
      <c r="AK115" s="934"/>
      <c r="AL115" s="934"/>
      <c r="AM115" s="934"/>
      <c r="AN115" s="934"/>
      <c r="AO115" s="761"/>
      <c r="AP115" s="761"/>
      <c r="AQ115" s="761"/>
      <c r="AR115" s="761"/>
      <c r="AS115" s="761"/>
      <c r="AT115" s="763">
        <v>0</v>
      </c>
    </row>
    <row s="1659" customFormat="1" customHeight="1" ht="18.75" hidden="1">
      <c r="A116" s="2397"/>
      <c r="B116" s="934"/>
      <c r="C116" s="759"/>
      <c r="D116" s="757"/>
      <c r="E116" s="570" t="str">
        <f>FHD_NUM_P_76</f>
        <v/>
      </c>
      <c r="F116" s="1904" t="str">
        <f>FHD_P_76</f>
        <v/>
      </c>
      <c r="G116" s="1900" t="s">
        <v>642</v>
      </c>
      <c r="H116" s="581"/>
      <c r="I116" s="581"/>
      <c r="J116" s="581"/>
      <c r="K116" s="581"/>
      <c r="L116" s="581"/>
      <c r="M116" s="581"/>
      <c r="N116" s="581"/>
      <c r="O116" s="581"/>
      <c r="P116" s="581"/>
      <c r="Q116" s="581"/>
      <c r="R116" s="581"/>
      <c r="S116" s="581"/>
      <c r="T116" s="581"/>
      <c r="U116" s="581"/>
      <c r="V116" s="581"/>
      <c r="W116" s="581"/>
      <c r="X116" s="313" t="str">
        <f>FHD_NOTE_P_76</f>
        <v/>
      </c>
      <c r="Y116" s="758"/>
      <c r="Z116" s="759"/>
      <c r="AA116" s="759"/>
      <c r="AB116" s="934"/>
      <c r="AC116" s="934"/>
      <c r="AD116" s="934"/>
      <c r="AE116" s="934"/>
      <c r="AF116" s="759"/>
      <c r="AG116" s="934"/>
      <c r="AH116" s="934"/>
      <c r="AI116" s="760"/>
      <c r="AJ116" s="934"/>
      <c r="AK116" s="934"/>
      <c r="AL116" s="934"/>
      <c r="AM116" s="934"/>
      <c r="AN116" s="934"/>
      <c r="AO116" s="761"/>
      <c r="AP116" s="761"/>
      <c r="AQ116" s="761"/>
      <c r="AR116" s="761"/>
      <c r="AS116" s="761"/>
      <c r="AT116" s="763">
        <v>0</v>
      </c>
    </row>
    <row s="1659" customFormat="1" customHeight="1" ht="18.75" hidden="1">
      <c r="A117" s="2397"/>
      <c r="B117" s="934"/>
      <c r="C117" s="759"/>
      <c r="D117" s="757"/>
      <c r="E117" s="570" t="str">
        <f>FHD_NUM_P_77</f>
        <v/>
      </c>
      <c r="F117" s="1904" t="str">
        <f>FHD_P_77</f>
        <v/>
      </c>
      <c r="G117" s="1900" t="s">
        <v>642</v>
      </c>
      <c r="H117" s="581"/>
      <c r="I117" s="581"/>
      <c r="J117" s="581"/>
      <c r="K117" s="581"/>
      <c r="L117" s="581"/>
      <c r="M117" s="581"/>
      <c r="N117" s="581"/>
      <c r="O117" s="581"/>
      <c r="P117" s="581"/>
      <c r="Q117" s="581"/>
      <c r="R117" s="581"/>
      <c r="S117" s="581"/>
      <c r="T117" s="581"/>
      <c r="U117" s="581"/>
      <c r="V117" s="581"/>
      <c r="W117" s="581"/>
      <c r="X117" s="313" t="str">
        <f>FHD_NOTE_P_77</f>
        <v/>
      </c>
      <c r="Y117" s="758"/>
      <c r="Z117" s="759"/>
      <c r="AA117" s="759"/>
      <c r="AB117" s="934"/>
      <c r="AC117" s="934"/>
      <c r="AD117" s="934"/>
      <c r="AE117" s="934"/>
      <c r="AF117" s="759"/>
      <c r="AG117" s="934"/>
      <c r="AH117" s="934"/>
      <c r="AI117" s="760"/>
      <c r="AJ117" s="934"/>
      <c r="AK117" s="934"/>
      <c r="AL117" s="934"/>
      <c r="AM117" s="934"/>
      <c r="AN117" s="934"/>
      <c r="AO117" s="761"/>
      <c r="AP117" s="761"/>
      <c r="AQ117" s="761"/>
      <c r="AR117" s="761"/>
      <c r="AS117" s="761"/>
      <c r="AT117" s="763">
        <v>0</v>
      </c>
    </row>
    <row s="1666" customFormat="1" customHeight="1" ht="0.75" hidden="1">
      <c r="A118" s="2397"/>
      <c r="D118" s="572"/>
      <c r="E118" s="1037" t="str">
        <f>E117&amp;".0"</f>
        <v>.0</v>
      </c>
      <c r="F118" s="1021"/>
      <c r="G118" s="1675"/>
      <c r="H118" s="1016"/>
      <c r="I118" s="1016"/>
      <c r="J118" s="1016"/>
      <c r="K118" s="1016"/>
      <c r="L118" s="1016"/>
      <c r="M118" s="1016"/>
      <c r="N118" s="1016"/>
      <c r="O118" s="1016"/>
      <c r="P118" s="1016"/>
      <c r="Q118" s="1016"/>
      <c r="R118" s="1016"/>
      <c r="S118" s="1016"/>
      <c r="T118" s="1016"/>
      <c r="U118" s="1016"/>
      <c r="V118" s="1016"/>
      <c r="W118" s="1016"/>
      <c r="X118" s="1020"/>
      <c r="AT118" s="1660">
        <v>0</v>
      </c>
    </row>
    <row s="1659" customFormat="1" customHeight="1" ht="15" hidden="1">
      <c r="A119" s="2397"/>
      <c r="B119" s="934"/>
      <c r="C119" s="759"/>
      <c r="D119" s="770"/>
      <c r="E119" s="997"/>
      <c r="F119" s="998" t="s">
        <v>679</v>
      </c>
      <c r="G119" s="771"/>
      <c r="H119" s="772"/>
      <c r="I119" s="772"/>
      <c r="J119" s="2699"/>
      <c r="K119" s="2700"/>
      <c r="L119" s="2701"/>
      <c r="M119" s="2702"/>
      <c r="N119" s="2703"/>
      <c r="O119" s="2704"/>
      <c r="P119" s="2705"/>
      <c r="Q119" s="2706"/>
      <c r="R119" s="2707"/>
      <c r="S119" s="2708"/>
      <c r="T119" s="2709"/>
      <c r="U119" s="2710"/>
      <c r="V119" s="2711"/>
      <c r="W119" s="2712"/>
      <c r="X119" s="1027" t="s">
        <v>680</v>
      </c>
      <c r="Y119" s="758"/>
      <c r="Z119" s="759"/>
      <c r="AA119" s="759"/>
      <c r="AB119" s="934"/>
      <c r="AC119" s="934"/>
      <c r="AD119" s="934"/>
      <c r="AE119" s="934"/>
      <c r="AF119" s="759"/>
      <c r="AG119" s="934"/>
      <c r="AH119" s="934"/>
      <c r="AI119" s="760"/>
      <c r="AJ119" s="934"/>
      <c r="AK119" s="934"/>
      <c r="AL119" s="934"/>
      <c r="AM119" s="934"/>
      <c r="AN119" s="934"/>
      <c r="AO119" s="761"/>
      <c r="AP119" s="761"/>
      <c r="AQ119" s="761"/>
      <c r="AR119" s="761"/>
      <c r="AS119" s="761"/>
      <c r="AT119" s="763">
        <v>0</v>
      </c>
    </row>
    <row customHeight="1" ht="22.5">
      <c r="A120" s="2395" t="s">
        <v>681</v>
      </c>
      <c r="D120" s="1662"/>
      <c r="E120" s="570" t="str">
        <f>FHD_NUM_P_78</f>
        <v>15</v>
      </c>
      <c r="F120" s="19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01" t="s">
        <v>644</v>
      </c>
      <c r="H120" s="601"/>
      <c r="I120" s="601"/>
      <c r="J120" s="601"/>
      <c r="K120" s="601"/>
      <c r="L120" s="601"/>
      <c r="M120" s="601"/>
      <c r="N120" s="601"/>
      <c r="O120" s="601"/>
      <c r="P120" s="601"/>
      <c r="Q120" s="601"/>
      <c r="R120" s="601"/>
      <c r="S120" s="601"/>
      <c r="T120" s="601"/>
      <c r="U120" s="601"/>
      <c r="V120" s="601"/>
      <c r="W120" s="601"/>
      <c r="X120" s="313" t="str">
        <f>FHD_NOTE_P_78</f>
        <v/>
      </c>
      <c r="Y120" s="567"/>
      <c r="AT120" s="1655">
        <v>0</v>
      </c>
    </row>
    <row s="1666" customFormat="1" customHeight="1" ht="0.75">
      <c r="A121" s="2395"/>
      <c r="D121" s="572"/>
      <c r="E121" s="1037" t="str">
        <f>E120&amp;".0"</f>
        <v>15.0</v>
      </c>
      <c r="F121" s="1021"/>
      <c r="G121" s="1675"/>
      <c r="H121" s="1016"/>
      <c r="I121" s="1016"/>
      <c r="J121" s="1016"/>
      <c r="K121" s="1016"/>
      <c r="L121" s="1016"/>
      <c r="M121" s="1016"/>
      <c r="N121" s="1016"/>
      <c r="O121" s="1016"/>
      <c r="P121" s="1016"/>
      <c r="Q121" s="1016"/>
      <c r="R121" s="1016"/>
      <c r="S121" s="1016"/>
      <c r="T121" s="1016"/>
      <c r="U121" s="1016"/>
      <c r="V121" s="1016"/>
      <c r="W121" s="1016"/>
      <c r="X121" s="1020"/>
      <c r="AT121" s="1660">
        <v>0</v>
      </c>
    </row>
    <row customHeight="1" ht="15">
      <c r="A122" s="2395"/>
      <c r="D122" s="1657"/>
      <c r="E122" s="594"/>
      <c r="F122" s="1192" t="s">
        <v>670</v>
      </c>
      <c r="G122" s="596"/>
      <c r="H122" s="597"/>
      <c r="I122" s="597"/>
      <c r="J122" s="2713"/>
      <c r="K122" s="2714"/>
      <c r="L122" s="2715"/>
      <c r="M122" s="2716"/>
      <c r="N122" s="2717"/>
      <c r="O122" s="2718"/>
      <c r="P122" s="2719"/>
      <c r="Q122" s="2720"/>
      <c r="R122" s="2721"/>
      <c r="S122" s="2722"/>
      <c r="T122" s="2723"/>
      <c r="U122" s="2724"/>
      <c r="V122" s="2725"/>
      <c r="W122" s="2726"/>
      <c r="X122" s="1028" t="s">
        <v>682</v>
      </c>
      <c r="Y122" s="567"/>
      <c r="AT122" s="1655">
        <v>0</v>
      </c>
    </row>
    <row customHeight="1" ht="22.5">
      <c r="A123" s="2395"/>
      <c r="D123" s="1662"/>
      <c r="E123" s="570" t="str">
        <f>FHD_NUM_P_79</f>
        <v>16</v>
      </c>
      <c r="F123" s="19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02" t="s">
        <v>646</v>
      </c>
      <c r="H123" s="601"/>
      <c r="I123" s="601"/>
      <c r="J123" s="601"/>
      <c r="K123" s="601"/>
      <c r="L123" s="601"/>
      <c r="M123" s="601"/>
      <c r="N123" s="601"/>
      <c r="O123" s="601"/>
      <c r="P123" s="601"/>
      <c r="Q123" s="601"/>
      <c r="R123" s="601"/>
      <c r="S123" s="601"/>
      <c r="T123" s="601"/>
      <c r="U123" s="601"/>
      <c r="V123" s="601"/>
      <c r="W123" s="601"/>
      <c r="X123" s="31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Y123" s="567"/>
      <c r="AT123" s="1655">
        <v>0</v>
      </c>
    </row>
    <row s="1666" customFormat="1" customHeight="1" ht="0.75">
      <c r="A124" s="2395"/>
      <c r="D124" s="572"/>
      <c r="E124" s="1037" t="str">
        <f>E123&amp;".0"</f>
        <v>16.0</v>
      </c>
      <c r="F124" s="1022"/>
      <c r="G124" s="1675"/>
      <c r="H124" s="1016"/>
      <c r="I124" s="1016"/>
      <c r="J124" s="1016"/>
      <c r="K124" s="1016"/>
      <c r="L124" s="1016"/>
      <c r="M124" s="1016"/>
      <c r="N124" s="1016"/>
      <c r="O124" s="1016"/>
      <c r="P124" s="1016"/>
      <c r="Q124" s="1016"/>
      <c r="R124" s="1016"/>
      <c r="S124" s="1016"/>
      <c r="T124" s="1016"/>
      <c r="U124" s="1016"/>
      <c r="V124" s="1016"/>
      <c r="W124" s="1016"/>
      <c r="X124" s="1020"/>
      <c r="AT124" s="1660">
        <v>0</v>
      </c>
    </row>
    <row customHeight="1" ht="15">
      <c r="A125" s="2395"/>
      <c r="D125" s="1657"/>
      <c r="E125" s="594"/>
      <c r="F125" s="1192" t="s">
        <v>670</v>
      </c>
      <c r="G125" s="596"/>
      <c r="H125" s="597"/>
      <c r="I125" s="597"/>
      <c r="J125" s="2727"/>
      <c r="K125" s="2728"/>
      <c r="L125" s="2729"/>
      <c r="M125" s="2730"/>
      <c r="N125" s="2731"/>
      <c r="O125" s="2732"/>
      <c r="P125" s="2733"/>
      <c r="Q125" s="2734"/>
      <c r="R125" s="2735"/>
      <c r="S125" s="2736"/>
      <c r="T125" s="2737"/>
      <c r="U125" s="2738"/>
      <c r="V125" s="2739"/>
      <c r="W125" s="2740"/>
      <c r="X125" s="1028" t="s">
        <v>683</v>
      </c>
      <c r="Y125" s="567"/>
      <c r="AT125" s="1655">
        <v>0</v>
      </c>
    </row>
    <row customHeight="1" ht="22.5">
      <c r="A126" s="2395"/>
      <c r="D126" s="1662"/>
      <c r="E126" s="570" t="str">
        <f>FHD_NUM_P_80</f>
        <v>17</v>
      </c>
      <c r="F126" s="19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02" t="s">
        <v>684</v>
      </c>
      <c r="H126" s="581"/>
      <c r="I126" s="581"/>
      <c r="J126" s="581"/>
      <c r="K126" s="581"/>
      <c r="L126" s="581"/>
      <c r="M126" s="581"/>
      <c r="N126" s="581"/>
      <c r="O126" s="581"/>
      <c r="P126" s="581"/>
      <c r="Q126" s="581"/>
      <c r="R126" s="581"/>
      <c r="S126" s="581"/>
      <c r="T126" s="581"/>
      <c r="U126" s="581"/>
      <c r="V126" s="581"/>
      <c r="W126" s="581"/>
      <c r="X126" s="313" t="str">
        <f>FHD_NOTE_P_80</f>
        <v>Регулируемыми организациями указывается информация с по договорам, заключенным в рамках осуществления регулируемой деятельности.</v>
      </c>
      <c r="Y126" s="567"/>
      <c r="AT126" s="1655">
        <v>0</v>
      </c>
    </row>
    <row customHeight="1" ht="18.75">
      <c r="A127" s="2395"/>
      <c r="D127" s="1662"/>
      <c r="E127" s="570" t="str">
        <f>FHD_NUM_P_81</f>
        <v>18</v>
      </c>
      <c r="F127" s="19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02" t="s">
        <v>685</v>
      </c>
      <c r="H127" s="581"/>
      <c r="I127" s="581"/>
      <c r="J127" s="581"/>
      <c r="K127" s="581"/>
      <c r="L127" s="581"/>
      <c r="M127" s="581"/>
      <c r="N127" s="581"/>
      <c r="O127" s="581"/>
      <c r="P127" s="581"/>
      <c r="Q127" s="581"/>
      <c r="R127" s="581"/>
      <c r="S127" s="581"/>
      <c r="T127" s="581"/>
      <c r="U127" s="581"/>
      <c r="V127" s="581"/>
      <c r="W127" s="581"/>
      <c r="X127" s="313" t="str">
        <f>FHD_NOTE_P_81</f>
        <v>Регулируемыми организациями указывается информация с по договорам, заключенным в рамках осуществления регулируемой деятельности.</v>
      </c>
      <c r="Y127" s="567"/>
      <c r="AT127" s="1655">
        <v>0</v>
      </c>
    </row>
    <row customHeight="1" ht="18.75">
      <c r="A128" s="2395"/>
      <c r="C128" s="1660" t="s">
        <v>672</v>
      </c>
      <c r="D128" s="1662"/>
      <c r="E128" s="570" t="str">
        <f>FHD_NUM_P_82</f>
        <v>19</v>
      </c>
      <c r="F128" s="19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02" t="s">
        <v>390</v>
      </c>
      <c r="H128" s="425"/>
      <c r="I128" s="425"/>
      <c r="J128" s="842"/>
      <c r="K128" s="842"/>
      <c r="L128" s="842"/>
      <c r="M128" s="842"/>
      <c r="N128" s="842"/>
      <c r="O128" s="842"/>
      <c r="P128" s="842"/>
      <c r="Q128" s="842"/>
      <c r="R128" s="842"/>
      <c r="S128" s="842"/>
      <c r="T128" s="842"/>
      <c r="U128" s="842"/>
      <c r="V128" s="842"/>
      <c r="W128" s="842"/>
      <c r="X128" s="313" t="str">
        <f>FHD_NOTE_P_82</f>
        <v>Указывается ссылка на документ, предварительно загруженный в хранилище файлов ФГИС ЕИАС.</v>
      </c>
      <c r="Y128" s="567"/>
      <c r="AT128" s="1655">
        <v>0</v>
      </c>
    </row>
    <row customHeight="1" ht="18.75">
      <c r="A129" s="2395"/>
      <c r="C129" s="1660" t="s">
        <v>672</v>
      </c>
      <c r="D129" s="1662"/>
      <c r="E129" s="570" t="str">
        <f>FHD_NUM_P_83</f>
        <v>19.1</v>
      </c>
      <c r="F129" s="1548" t="str">
        <f>FHD_P_83</f>
        <v>Информация о показателях физического износа объектов теплоснабжения</v>
      </c>
      <c r="G129" s="1902" t="s">
        <v>390</v>
      </c>
      <c r="H129" s="425"/>
      <c r="I129" s="425"/>
      <c r="J129" s="842"/>
      <c r="K129" s="842"/>
      <c r="L129" s="842"/>
      <c r="M129" s="842"/>
      <c r="N129" s="842"/>
      <c r="O129" s="842"/>
      <c r="P129" s="842"/>
      <c r="Q129" s="842"/>
      <c r="R129" s="842"/>
      <c r="S129" s="842"/>
      <c r="T129" s="842"/>
      <c r="U129" s="842"/>
      <c r="V129" s="842"/>
      <c r="W129" s="842"/>
      <c r="X129" s="313" t="str">
        <f>FHD_NOTE_P_83</f>
        <v>Указывается ссылка на документ, предварительно загруженный в хранилище файлов ФГИС ЕИАС.</v>
      </c>
      <c r="Y129" s="567"/>
      <c r="AT129" s="1655">
        <v>0</v>
      </c>
    </row>
    <row customHeight="1" ht="18.75">
      <c r="A130" s="2395"/>
      <c r="C130" s="1660" t="s">
        <v>672</v>
      </c>
      <c r="D130" s="1662"/>
      <c r="E130" s="570" t="str">
        <f>FHD_NUM_P_84</f>
        <v>19.2</v>
      </c>
      <c r="F130" s="1548" t="str">
        <f>FHD_P_84</f>
        <v>Информация о показателях энергетической эффективности объектов теплоснабжения</v>
      </c>
      <c r="G130" s="1902" t="s">
        <v>390</v>
      </c>
      <c r="H130" s="425"/>
      <c r="I130" s="425"/>
      <c r="J130" s="842"/>
      <c r="K130" s="842"/>
      <c r="L130" s="842"/>
      <c r="M130" s="842"/>
      <c r="N130" s="842"/>
      <c r="O130" s="842"/>
      <c r="P130" s="842"/>
      <c r="Q130" s="842"/>
      <c r="R130" s="842"/>
      <c r="S130" s="842"/>
      <c r="T130" s="842"/>
      <c r="U130" s="842"/>
      <c r="V130" s="842"/>
      <c r="W130" s="842"/>
      <c r="X130" s="313" t="str">
        <f>FHD_NOTE_P_84</f>
        <v>Указывается ссылка на документ, предварительно загруженный в хранилище файлов ФГИС ЕИАС.</v>
      </c>
      <c r="Y130" s="567"/>
      <c r="AT130" s="1655">
        <v>0</v>
      </c>
    </row>
    <row customHeight="1" ht="11.549999999999999">
      <c r="D131" s="1662"/>
      <c r="J131" s="1659"/>
      <c r="K131" s="1659"/>
      <c r="L131" s="1659"/>
      <c r="M131" s="1659"/>
      <c r="N131" s="1659"/>
      <c r="O131" s="1659"/>
      <c r="P131" s="1659"/>
      <c r="Q131" s="1659"/>
      <c r="R131" s="1659"/>
      <c r="S131" s="1659"/>
      <c r="T131" s="1659"/>
      <c r="U131" s="1659"/>
      <c r="V131" s="1659"/>
      <c r="W131" s="1659"/>
      <c r="AT131" s="1655">
        <v>11</v>
      </c>
    </row>
    <row customHeight="1" ht="13.5">
      <c r="D132" s="1662"/>
      <c r="E132" s="360"/>
      <c r="F132" s="393"/>
      <c r="G132" s="393"/>
      <c r="H132" s="393"/>
      <c r="I132" s="1671"/>
      <c r="J132" s="1711"/>
      <c r="K132" s="1711"/>
      <c r="L132" s="1711"/>
      <c r="M132" s="1711"/>
      <c r="N132" s="1711"/>
      <c r="O132" s="1711"/>
      <c r="P132" s="1711"/>
      <c r="Q132" s="1711"/>
      <c r="R132" s="1711"/>
      <c r="S132" s="1711"/>
      <c r="T132" s="1711"/>
      <c r="U132" s="1711"/>
      <c r="V132" s="1711"/>
      <c r="W132" s="1711"/>
      <c r="X132" s="605"/>
      <c r="AT132" s="1655">
        <v>13</v>
      </c>
    </row>
    <row s="1665" customFormat="1" customHeight="1" ht="11.549999999999999">
      <c r="A133" s="1011"/>
      <c r="B133" s="1660"/>
      <c r="C133" s="1660"/>
      <c r="D133" s="375"/>
      <c r="F133" s="1664"/>
      <c r="G133" s="1655"/>
      <c r="H133" s="1655"/>
      <c r="I133" s="1655"/>
      <c r="J133" s="1659"/>
      <c r="K133" s="1659"/>
      <c r="L133" s="1659"/>
      <c r="M133" s="1659"/>
      <c r="N133" s="1659"/>
      <c r="O133" s="1659"/>
      <c r="P133" s="1659"/>
      <c r="Q133" s="1659"/>
      <c r="R133" s="1659"/>
      <c r="S133" s="1659"/>
      <c r="T133" s="1659"/>
      <c r="U133" s="1659"/>
      <c r="V133" s="1659"/>
      <c r="W133" s="1659"/>
      <c r="Y133" s="1184"/>
      <c r="Z133" s="1660"/>
      <c r="AA133" s="1660"/>
      <c r="AB133" s="1184"/>
      <c r="AC133" s="1184"/>
      <c r="AD133" s="1184"/>
      <c r="AE133" s="1184"/>
      <c r="AF133" s="1660"/>
      <c r="AG133" s="1184"/>
      <c r="AH133" s="1184"/>
      <c r="AI133" s="568"/>
      <c r="AJ133" s="1184"/>
      <c r="AK133" s="1184"/>
      <c r="AL133" s="1184"/>
      <c r="AM133" s="1184"/>
      <c r="AN133" s="1184"/>
      <c r="AO133" s="1656"/>
      <c r="AP133" s="590"/>
      <c r="AQ133" s="590"/>
      <c r="AR133" s="590"/>
      <c r="AS133" s="590"/>
      <c r="AT133" s="1665">
        <v>11</v>
      </c>
    </row>
    <row s="1665" customFormat="1" customHeight="1" ht="11.549999999999999">
      <c r="A134" s="1011"/>
      <c r="B134" s="1660"/>
      <c r="C134" s="1660"/>
      <c r="D134" s="375"/>
      <c r="J134" s="1665"/>
      <c r="K134" s="1665"/>
      <c r="L134" s="1665"/>
      <c r="M134" s="1665"/>
      <c r="N134" s="1665"/>
      <c r="O134" s="1665"/>
      <c r="P134" s="1665"/>
      <c r="Q134" s="1665"/>
      <c r="R134" s="1665"/>
      <c r="S134" s="1665"/>
      <c r="T134" s="1665"/>
      <c r="U134" s="1665"/>
      <c r="V134" s="1665"/>
      <c r="W134" s="1665"/>
      <c r="Y134" s="1184"/>
      <c r="Z134" s="1660"/>
      <c r="AA134" s="1660"/>
      <c r="AB134" s="1184"/>
      <c r="AC134" s="1184"/>
      <c r="AD134" s="1184"/>
      <c r="AE134" s="1184"/>
      <c r="AF134" s="1660"/>
      <c r="AG134" s="1184"/>
      <c r="AH134" s="1184"/>
      <c r="AI134" s="568"/>
      <c r="AJ134" s="1184"/>
      <c r="AK134" s="1184"/>
      <c r="AL134" s="1184"/>
      <c r="AM134" s="1184"/>
      <c r="AN134" s="1184"/>
      <c r="AO134" s="1656"/>
      <c r="AP134" s="590"/>
      <c r="AQ134" s="590"/>
      <c r="AR134" s="590"/>
      <c r="AS134" s="590"/>
      <c r="AT134" s="1665">
        <v>11</v>
      </c>
    </row>
    <row s="1665" customFormat="1" customHeight="1" ht="11.549999999999999">
      <c r="A135" s="1011"/>
      <c r="B135" s="1660"/>
      <c r="C135" s="1660"/>
      <c r="D135" s="375"/>
      <c r="J135" s="1665"/>
      <c r="K135" s="1665"/>
      <c r="L135" s="1665"/>
      <c r="M135" s="1665"/>
      <c r="N135" s="1665"/>
      <c r="O135" s="1665"/>
      <c r="P135" s="1665"/>
      <c r="Q135" s="1665"/>
      <c r="R135" s="1665"/>
      <c r="S135" s="1665"/>
      <c r="T135" s="1665"/>
      <c r="U135" s="1665"/>
      <c r="V135" s="1665"/>
      <c r="W135" s="1665"/>
      <c r="Y135" s="1184"/>
      <c r="Z135" s="1660"/>
      <c r="AA135" s="1660"/>
      <c r="AB135" s="1184"/>
      <c r="AC135" s="1184"/>
      <c r="AD135" s="1184"/>
      <c r="AE135" s="1184"/>
      <c r="AF135" s="1660"/>
      <c r="AG135" s="1184"/>
      <c r="AH135" s="1184"/>
      <c r="AI135" s="568"/>
      <c r="AJ135" s="1184"/>
      <c r="AK135" s="1184"/>
      <c r="AL135" s="1184"/>
      <c r="AM135" s="1184"/>
      <c r="AN135" s="1184"/>
      <c r="AO135" s="1656"/>
      <c r="AP135" s="590"/>
      <c r="AQ135" s="590"/>
      <c r="AR135" s="590"/>
      <c r="AS135" s="590"/>
      <c r="AT135" s="1665">
        <v>11</v>
      </c>
    </row>
    <row s="1665" customFormat="1" customHeight="1" ht="11.549999999999999">
      <c r="A136" s="1011"/>
      <c r="B136" s="1660"/>
      <c r="C136" s="1660"/>
      <c r="D136" s="375"/>
      <c r="H136" s="590" t="str">
        <f>IF(H30-H31&lt;&gt;H72,"WARNING","")</f>
        <v/>
      </c>
      <c r="I136" s="590" t="str">
        <f>IF(I30-I31&lt;&gt;I72,"WARNING","")</f>
        <v/>
      </c>
      <c r="J136" s="646" t="str">
        <f>IF(J30-J31&lt;&gt;J72,"WARNING","")</f>
        <v/>
      </c>
      <c r="K136" s="646" t="str">
        <f>IF(K30-K31&lt;&gt;K72,"WARNING","")</f>
        <v/>
      </c>
      <c r="L136" s="646" t="str">
        <f>IF(L30-L31&lt;&gt;L72,"WARNING","")</f>
        <v/>
      </c>
      <c r="M136" s="646" t="str">
        <f>IF(M30-M31&lt;&gt;M72,"WARNING","")</f>
        <v/>
      </c>
      <c r="N136" s="646" t="str">
        <f>IF(N30-N31&lt;&gt;N72,"WARNING","")</f>
        <v/>
      </c>
      <c r="O136" s="646" t="str">
        <f>IF(O30-O31&lt;&gt;O72,"WARNING","")</f>
        <v/>
      </c>
      <c r="P136" s="646" t="str">
        <f>IF(P30-P31&lt;&gt;P72,"WARNING","")</f>
        <v/>
      </c>
      <c r="Q136" s="646" t="str">
        <f>IF(Q30-Q31&lt;&gt;Q72,"WARNING","")</f>
        <v/>
      </c>
      <c r="R136" s="646" t="str">
        <f>IF(R30-R31&lt;&gt;R72,"WARNING","")</f>
        <v/>
      </c>
      <c r="S136" s="646" t="str">
        <f>IF(S30-S31&lt;&gt;S72,"WARNING","")</f>
        <v/>
      </c>
      <c r="T136" s="646" t="str">
        <f>IF(T30-T31&lt;&gt;T72,"WARNING","")</f>
        <v/>
      </c>
      <c r="U136" s="646" t="str">
        <f>IF(U30-U31&lt;&gt;U72,"WARNING","")</f>
        <v/>
      </c>
      <c r="V136" s="646" t="str">
        <f>IF(V30-V31&lt;&gt;V72,"WARNING","")</f>
        <v/>
      </c>
      <c r="W136" s="646" t="str">
        <f>IF(W30-W31&lt;&gt;W72,"WARNING","")</f>
        <v/>
      </c>
      <c r="Y136" s="1184"/>
      <c r="Z136" s="1660"/>
      <c r="AA136" s="1660"/>
      <c r="AB136" s="1184"/>
      <c r="AC136" s="1184"/>
      <c r="AD136" s="1184"/>
      <c r="AE136" s="1184"/>
      <c r="AF136" s="1660"/>
      <c r="AG136" s="1184"/>
      <c r="AH136" s="1184"/>
      <c r="AI136" s="568"/>
      <c r="AJ136" s="1184"/>
      <c r="AK136" s="1184"/>
      <c r="AL136" s="1184"/>
      <c r="AM136" s="1184"/>
      <c r="AN136" s="1184"/>
      <c r="AO136" s="1656"/>
      <c r="AP136" s="590"/>
      <c r="AQ136" s="590"/>
      <c r="AR136" s="590"/>
      <c r="AS136" s="590"/>
      <c r="AT136" s="1665">
        <v>11</v>
      </c>
    </row>
    <row s="1665" customFormat="1" customHeight="1" ht="11.549999999999999">
      <c r="A137" s="1011"/>
      <c r="B137" s="1660"/>
      <c r="C137" s="1660"/>
      <c r="D137" s="375"/>
      <c r="J137" s="1665"/>
      <c r="K137" s="1665"/>
      <c r="L137" s="1665"/>
      <c r="M137" s="1665"/>
      <c r="N137" s="1665"/>
      <c r="O137" s="1665"/>
      <c r="P137" s="1665"/>
      <c r="Q137" s="1665"/>
      <c r="R137" s="1665"/>
      <c r="S137" s="1665"/>
      <c r="T137" s="1665"/>
      <c r="U137" s="1665"/>
      <c r="V137" s="1665"/>
      <c r="W137" s="1665"/>
      <c r="Y137" s="1184"/>
      <c r="Z137" s="1660"/>
      <c r="AA137" s="1660"/>
      <c r="AB137" s="1184"/>
      <c r="AC137" s="1184"/>
      <c r="AD137" s="1184"/>
      <c r="AE137" s="1184"/>
      <c r="AF137" s="1660"/>
      <c r="AG137" s="1184"/>
      <c r="AH137" s="1184"/>
      <c r="AI137" s="568"/>
      <c r="AJ137" s="1184"/>
      <c r="AK137" s="1184"/>
      <c r="AL137" s="1184"/>
      <c r="AM137" s="1184"/>
      <c r="AN137" s="1184"/>
      <c r="AO137" s="1656"/>
      <c r="AP137" s="590"/>
      <c r="AQ137" s="590"/>
      <c r="AR137" s="590"/>
      <c r="AS137" s="590"/>
      <c r="AT137" s="1665">
        <v>11</v>
      </c>
    </row>
    <row s="1665" customFormat="1" customHeight="1" ht="11.549999999999999">
      <c r="A138" s="1011"/>
      <c r="B138" s="1660"/>
      <c r="C138" s="1660"/>
      <c r="D138" s="375"/>
      <c r="J138" s="1665"/>
      <c r="K138" s="1665"/>
      <c r="L138" s="1665"/>
      <c r="M138" s="1665"/>
      <c r="N138" s="1665"/>
      <c r="O138" s="1665"/>
      <c r="P138" s="1665"/>
      <c r="Q138" s="1665"/>
      <c r="R138" s="1665"/>
      <c r="S138" s="1665"/>
      <c r="T138" s="1665"/>
      <c r="U138" s="1665"/>
      <c r="V138" s="1665"/>
      <c r="W138" s="1665"/>
      <c r="Y138" s="1184"/>
      <c r="Z138" s="1660"/>
      <c r="AA138" s="1660"/>
      <c r="AB138" s="1184"/>
      <c r="AC138" s="1184"/>
      <c r="AD138" s="1184"/>
      <c r="AE138" s="1184"/>
      <c r="AF138" s="1660"/>
      <c r="AG138" s="1184"/>
      <c r="AH138" s="1184"/>
      <c r="AI138" s="568"/>
      <c r="AJ138" s="1184"/>
      <c r="AK138" s="1184"/>
      <c r="AL138" s="1184"/>
      <c r="AM138" s="1184"/>
      <c r="AN138" s="1184"/>
      <c r="AO138" s="1656"/>
      <c r="AP138" s="590"/>
      <c r="AQ138" s="590"/>
      <c r="AR138" s="590"/>
      <c r="AS138" s="590"/>
      <c r="AT138" s="1665">
        <v>11</v>
      </c>
    </row>
    <row s="1665" customFormat="1" customHeight="1" ht="11.549999999999999">
      <c r="A139" s="1011"/>
      <c r="B139" s="1660"/>
      <c r="C139" s="1660"/>
      <c r="D139" s="375"/>
      <c r="J139" s="1665"/>
      <c r="K139" s="1665"/>
      <c r="L139" s="1665"/>
      <c r="M139" s="1665"/>
      <c r="N139" s="1665"/>
      <c r="O139" s="1665"/>
      <c r="P139" s="1665"/>
      <c r="Q139" s="1665"/>
      <c r="R139" s="1665"/>
      <c r="S139" s="1665"/>
      <c r="T139" s="1665"/>
      <c r="U139" s="1665"/>
      <c r="V139" s="1665"/>
      <c r="W139" s="1665"/>
      <c r="Y139" s="1184"/>
      <c r="Z139" s="1660"/>
      <c r="AA139" s="1660"/>
      <c r="AB139" s="1184"/>
      <c r="AC139" s="1184"/>
      <c r="AD139" s="1184"/>
      <c r="AE139" s="1184"/>
      <c r="AF139" s="1660"/>
      <c r="AG139" s="1184"/>
      <c r="AH139" s="1184"/>
      <c r="AI139" s="568"/>
      <c r="AJ139" s="1184"/>
      <c r="AK139" s="1184"/>
      <c r="AL139" s="1184"/>
      <c r="AM139" s="1184"/>
      <c r="AN139" s="1184"/>
      <c r="AO139" s="1656"/>
      <c r="AP139" s="590"/>
      <c r="AQ139" s="590"/>
      <c r="AR139" s="590"/>
      <c r="AS139" s="590"/>
      <c r="AT139" s="1665">
        <v>11</v>
      </c>
    </row>
    <row s="1665" customFormat="1" customHeight="1" ht="11.549999999999999">
      <c r="A140" s="1011"/>
      <c r="B140" s="1660"/>
      <c r="C140" s="1660"/>
      <c r="D140" s="375"/>
      <c r="J140" s="1665"/>
      <c r="K140" s="1665"/>
      <c r="L140" s="1665"/>
      <c r="M140" s="1665"/>
      <c r="N140" s="1665"/>
      <c r="O140" s="1665"/>
      <c r="P140" s="1665"/>
      <c r="Q140" s="1665"/>
      <c r="R140" s="1665"/>
      <c r="S140" s="1665"/>
      <c r="T140" s="1665"/>
      <c r="U140" s="1665"/>
      <c r="V140" s="1665"/>
      <c r="W140" s="1665"/>
      <c r="Y140" s="1184"/>
      <c r="Z140" s="1660"/>
      <c r="AA140" s="1660"/>
      <c r="AB140" s="1184"/>
      <c r="AC140" s="1184"/>
      <c r="AD140" s="1184"/>
      <c r="AE140" s="1184"/>
      <c r="AF140" s="1660"/>
      <c r="AG140" s="1184"/>
      <c r="AH140" s="1184"/>
      <c r="AI140" s="568"/>
      <c r="AJ140" s="1184"/>
      <c r="AK140" s="1184"/>
      <c r="AL140" s="1184"/>
      <c r="AM140" s="1184"/>
      <c r="AN140" s="1184"/>
      <c r="AO140" s="1656"/>
      <c r="AP140" s="590"/>
      <c r="AQ140" s="590"/>
      <c r="AR140" s="590"/>
      <c r="AS140" s="590"/>
      <c r="AT140" s="1665">
        <v>11</v>
      </c>
    </row>
    <row s="1665" customFormat="1" customHeight="1" ht="11.549999999999999">
      <c r="A141" s="1011"/>
      <c r="B141" s="1660"/>
      <c r="C141" s="1660"/>
      <c r="D141" s="375"/>
      <c r="J141" s="1665"/>
      <c r="K141" s="1665"/>
      <c r="L141" s="1665"/>
      <c r="M141" s="1665"/>
      <c r="N141" s="1665"/>
      <c r="O141" s="1665"/>
      <c r="P141" s="1665"/>
      <c r="Q141" s="1665"/>
      <c r="R141" s="1665"/>
      <c r="S141" s="1665"/>
      <c r="T141" s="1665"/>
      <c r="U141" s="1665"/>
      <c r="V141" s="1665"/>
      <c r="W141" s="1665"/>
      <c r="Y141" s="1184"/>
      <c r="Z141" s="1660"/>
      <c r="AA141" s="1660"/>
      <c r="AB141" s="1184"/>
      <c r="AC141" s="1184"/>
      <c r="AD141" s="1184"/>
      <c r="AE141" s="1184"/>
      <c r="AF141" s="1660"/>
      <c r="AG141" s="1184"/>
      <c r="AH141" s="1184"/>
      <c r="AI141" s="568"/>
      <c r="AJ141" s="1184"/>
      <c r="AK141" s="1184"/>
      <c r="AL141" s="1184"/>
      <c r="AM141" s="1184"/>
      <c r="AN141" s="1184"/>
      <c r="AO141" s="1656"/>
      <c r="AP141" s="590"/>
      <c r="AQ141" s="590"/>
      <c r="AR141" s="590"/>
      <c r="AS141" s="590"/>
      <c r="AT141" s="1665">
        <v>11</v>
      </c>
    </row>
    <row s="1665" customFormat="1" customHeight="1" ht="11.549999999999999">
      <c r="A142" s="1011"/>
      <c r="B142" s="1660"/>
      <c r="C142" s="1660"/>
      <c r="D142" s="375"/>
      <c r="J142" s="1665"/>
      <c r="K142" s="1665"/>
      <c r="L142" s="1665"/>
      <c r="M142" s="1665"/>
      <c r="N142" s="1665"/>
      <c r="O142" s="1665"/>
      <c r="P142" s="1665"/>
      <c r="Q142" s="1665"/>
      <c r="R142" s="1665"/>
      <c r="S142" s="1665"/>
      <c r="T142" s="1665"/>
      <c r="U142" s="1665"/>
      <c r="V142" s="1665"/>
      <c r="W142" s="1665"/>
      <c r="Y142" s="1184"/>
      <c r="Z142" s="1660"/>
      <c r="AA142" s="1660"/>
      <c r="AB142" s="1184"/>
      <c r="AC142" s="1184"/>
      <c r="AD142" s="1184"/>
      <c r="AE142" s="1184"/>
      <c r="AF142" s="1660"/>
      <c r="AG142" s="1184"/>
      <c r="AH142" s="1184"/>
      <c r="AI142" s="568"/>
      <c r="AJ142" s="1184"/>
      <c r="AK142" s="1184"/>
      <c r="AL142" s="1184"/>
      <c r="AM142" s="1184"/>
      <c r="AN142" s="1184"/>
      <c r="AO142" s="1656"/>
      <c r="AP142" s="590"/>
      <c r="AQ142" s="590"/>
      <c r="AR142" s="590"/>
      <c r="AS142" s="590"/>
      <c r="AT142" s="1665">
        <v>11</v>
      </c>
    </row>
    <row s="1665" customFormat="1" customHeight="1" ht="11.549999999999999">
      <c r="A143" s="1011"/>
      <c r="B143" s="1660"/>
      <c r="C143" s="1660"/>
      <c r="D143" s="375"/>
      <c r="J143" s="1665"/>
      <c r="K143" s="1665"/>
      <c r="L143" s="1665"/>
      <c r="M143" s="1665"/>
      <c r="N143" s="1665"/>
      <c r="O143" s="1665"/>
      <c r="P143" s="1665"/>
      <c r="Q143" s="1665"/>
      <c r="R143" s="1665"/>
      <c r="S143" s="1665"/>
      <c r="T143" s="1665"/>
      <c r="U143" s="1665"/>
      <c r="V143" s="1665"/>
      <c r="W143" s="1665"/>
      <c r="Y143" s="1184"/>
      <c r="Z143" s="1660"/>
      <c r="AA143" s="1660"/>
      <c r="AB143" s="1184"/>
      <c r="AC143" s="1184"/>
      <c r="AD143" s="1184"/>
      <c r="AE143" s="1184"/>
      <c r="AF143" s="1660"/>
      <c r="AG143" s="1184"/>
      <c r="AH143" s="1184"/>
      <c r="AI143" s="568"/>
      <c r="AJ143" s="1184"/>
      <c r="AK143" s="1184"/>
      <c r="AL143" s="1184"/>
      <c r="AM143" s="1184"/>
      <c r="AN143" s="1184"/>
      <c r="AO143" s="1656"/>
      <c r="AP143" s="590"/>
      <c r="AQ143" s="590"/>
      <c r="AR143" s="590"/>
      <c r="AS143" s="590"/>
      <c r="AT143" s="1665">
        <v>11</v>
      </c>
    </row>
    <row s="1665" customFormat="1" customHeight="1" ht="11.549999999999999">
      <c r="A144" s="1011"/>
      <c r="B144" s="1660"/>
      <c r="C144" s="1660"/>
      <c r="D144" s="375"/>
      <c r="J144" s="1665"/>
      <c r="K144" s="1665"/>
      <c r="L144" s="1665"/>
      <c r="M144" s="1665"/>
      <c r="N144" s="1665"/>
      <c r="O144" s="1665"/>
      <c r="P144" s="1665"/>
      <c r="Q144" s="1665"/>
      <c r="R144" s="1665"/>
      <c r="S144" s="1665"/>
      <c r="T144" s="1665"/>
      <c r="U144" s="1665"/>
      <c r="V144" s="1665"/>
      <c r="W144" s="1665"/>
      <c r="Y144" s="1184"/>
      <c r="Z144" s="1660"/>
      <c r="AA144" s="1660"/>
      <c r="AB144" s="1184"/>
      <c r="AC144" s="1184"/>
      <c r="AD144" s="1184"/>
      <c r="AE144" s="1184"/>
      <c r="AF144" s="1660"/>
      <c r="AG144" s="1184"/>
      <c r="AH144" s="1184"/>
      <c r="AI144" s="568"/>
      <c r="AJ144" s="1184"/>
      <c r="AK144" s="1184"/>
      <c r="AL144" s="1184"/>
      <c r="AM144" s="1184"/>
      <c r="AN144" s="1184"/>
      <c r="AO144" s="1656"/>
      <c r="AP144" s="590"/>
      <c r="AQ144" s="590"/>
      <c r="AR144" s="590"/>
      <c r="AS144" s="590"/>
      <c r="AT144" s="1665">
        <v>11</v>
      </c>
    </row>
    <row s="1665" customFormat="1" customHeight="1" ht="11.549999999999999">
      <c r="A145" s="1011"/>
      <c r="B145" s="1660"/>
      <c r="C145" s="1660"/>
      <c r="D145" s="375"/>
      <c r="J145" s="1665"/>
      <c r="K145" s="1665"/>
      <c r="L145" s="1665"/>
      <c r="M145" s="1665"/>
      <c r="N145" s="1665"/>
      <c r="O145" s="1665"/>
      <c r="P145" s="1665"/>
      <c r="Q145" s="1665"/>
      <c r="R145" s="1665"/>
      <c r="S145" s="1665"/>
      <c r="T145" s="1665"/>
      <c r="U145" s="1665"/>
      <c r="V145" s="1665"/>
      <c r="W145" s="1665"/>
      <c r="Y145" s="1184"/>
      <c r="Z145" s="1660"/>
      <c r="AA145" s="1660"/>
      <c r="AB145" s="1184"/>
      <c r="AC145" s="1184"/>
      <c r="AD145" s="1184"/>
      <c r="AE145" s="1184"/>
      <c r="AF145" s="1660"/>
      <c r="AG145" s="1184"/>
      <c r="AH145" s="1184"/>
      <c r="AI145" s="568"/>
      <c r="AJ145" s="1184"/>
      <c r="AK145" s="1184"/>
      <c r="AL145" s="1184"/>
      <c r="AM145" s="1184"/>
      <c r="AN145" s="1184"/>
      <c r="AO145" s="1656"/>
      <c r="AP145" s="590"/>
      <c r="AQ145" s="590"/>
      <c r="AR145" s="590"/>
      <c r="AS145" s="590"/>
      <c r="AT145" s="1665">
        <v>11</v>
      </c>
    </row>
    <row s="1665" customFormat="1" customHeight="1" ht="11.549999999999999">
      <c r="A146" s="1011"/>
      <c r="B146" s="1660"/>
      <c r="C146" s="1660"/>
      <c r="D146" s="375"/>
      <c r="J146" s="1665"/>
      <c r="K146" s="1665"/>
      <c r="L146" s="1665"/>
      <c r="M146" s="1665"/>
      <c r="N146" s="1665"/>
      <c r="O146" s="1665"/>
      <c r="P146" s="1665"/>
      <c r="Q146" s="1665"/>
      <c r="R146" s="1665"/>
      <c r="S146" s="1665"/>
      <c r="T146" s="1665"/>
      <c r="U146" s="1665"/>
      <c r="V146" s="1665"/>
      <c r="W146" s="1665"/>
      <c r="Y146" s="1184"/>
      <c r="Z146" s="1660"/>
      <c r="AA146" s="1660"/>
      <c r="AB146" s="1184"/>
      <c r="AC146" s="1184"/>
      <c r="AD146" s="1184"/>
      <c r="AE146" s="1184"/>
      <c r="AF146" s="1660"/>
      <c r="AG146" s="1184"/>
      <c r="AH146" s="1184"/>
      <c r="AI146" s="568"/>
      <c r="AJ146" s="1184"/>
      <c r="AK146" s="1184"/>
      <c r="AL146" s="1184"/>
      <c r="AM146" s="1184"/>
      <c r="AN146" s="1184"/>
      <c r="AO146" s="1656"/>
      <c r="AP146" s="590"/>
      <c r="AQ146" s="590"/>
      <c r="AR146" s="590"/>
      <c r="AS146" s="590"/>
      <c r="AT146" s="1665">
        <v>11</v>
      </c>
    </row>
    <row s="1665" customFormat="1" customHeight="1" ht="11.549999999999999">
      <c r="A147" s="1011"/>
      <c r="B147" s="1660"/>
      <c r="C147" s="1660"/>
      <c r="D147" s="375"/>
      <c r="J147" s="1665"/>
      <c r="K147" s="1665"/>
      <c r="L147" s="1665"/>
      <c r="M147" s="1665"/>
      <c r="N147" s="1665"/>
      <c r="O147" s="1665"/>
      <c r="P147" s="1665"/>
      <c r="Q147" s="1665"/>
      <c r="R147" s="1665"/>
      <c r="S147" s="1665"/>
      <c r="T147" s="1665"/>
      <c r="U147" s="1665"/>
      <c r="V147" s="1665"/>
      <c r="W147" s="1665"/>
      <c r="Y147" s="1184"/>
      <c r="Z147" s="1660"/>
      <c r="AA147" s="1660"/>
      <c r="AB147" s="1184"/>
      <c r="AC147" s="1184"/>
      <c r="AD147" s="1184"/>
      <c r="AE147" s="1184"/>
      <c r="AF147" s="1660"/>
      <c r="AG147" s="1184"/>
      <c r="AH147" s="1184"/>
      <c r="AI147" s="568"/>
      <c r="AJ147" s="1184"/>
      <c r="AK147" s="1184"/>
      <c r="AL147" s="1184"/>
      <c r="AM147" s="1184"/>
      <c r="AN147" s="1184"/>
      <c r="AO147" s="1656"/>
      <c r="AP147" s="590"/>
      <c r="AQ147" s="590"/>
      <c r="AR147" s="590"/>
      <c r="AS147" s="590"/>
      <c r="AT147" s="1665">
        <v>11</v>
      </c>
    </row>
    <row s="1665" customFormat="1" customHeight="1" ht="11.549999999999999">
      <c r="A148" s="1011"/>
      <c r="B148" s="1660"/>
      <c r="C148" s="1660"/>
      <c r="D148" s="375"/>
      <c r="J148" s="1665"/>
      <c r="K148" s="1665"/>
      <c r="L148" s="1665"/>
      <c r="M148" s="1665"/>
      <c r="N148" s="1665"/>
      <c r="O148" s="1665"/>
      <c r="P148" s="1665"/>
      <c r="Q148" s="1665"/>
      <c r="R148" s="1665"/>
      <c r="S148" s="1665"/>
      <c r="T148" s="1665"/>
      <c r="U148" s="1665"/>
      <c r="V148" s="1665"/>
      <c r="W148" s="1665"/>
      <c r="Y148" s="1184"/>
      <c r="Z148" s="1660"/>
      <c r="AA148" s="1660"/>
      <c r="AB148" s="1184"/>
      <c r="AC148" s="1184"/>
      <c r="AD148" s="1184"/>
      <c r="AE148" s="1184"/>
      <c r="AF148" s="1660"/>
      <c r="AG148" s="1184"/>
      <c r="AH148" s="1184"/>
      <c r="AI148" s="568"/>
      <c r="AJ148" s="1184"/>
      <c r="AK148" s="1184"/>
      <c r="AL148" s="1184"/>
      <c r="AM148" s="1184"/>
      <c r="AN148" s="1184"/>
      <c r="AO148" s="1656"/>
      <c r="AP148" s="590"/>
      <c r="AQ148" s="590"/>
      <c r="AR148" s="590"/>
      <c r="AS148" s="590"/>
      <c r="AT148" s="1665">
        <v>11</v>
      </c>
    </row>
    <row s="1665" customFormat="1" customHeight="1" ht="11.549999999999999">
      <c r="A149" s="1011"/>
      <c r="B149" s="1660"/>
      <c r="C149" s="1660"/>
      <c r="D149" s="375"/>
      <c r="J149" s="1665"/>
      <c r="K149" s="1665"/>
      <c r="L149" s="1665"/>
      <c r="M149" s="1665"/>
      <c r="N149" s="1665"/>
      <c r="O149" s="1665"/>
      <c r="P149" s="1665"/>
      <c r="Q149" s="1665"/>
      <c r="R149" s="1665"/>
      <c r="S149" s="1665"/>
      <c r="T149" s="1665"/>
      <c r="U149" s="1665"/>
      <c r="V149" s="1665"/>
      <c r="W149" s="1665"/>
      <c r="Y149" s="1184"/>
      <c r="Z149" s="1660"/>
      <c r="AA149" s="1660"/>
      <c r="AB149" s="1184"/>
      <c r="AC149" s="1184"/>
      <c r="AD149" s="1184"/>
      <c r="AE149" s="1184"/>
      <c r="AF149" s="1660"/>
      <c r="AG149" s="1184"/>
      <c r="AH149" s="1184"/>
      <c r="AI149" s="568"/>
      <c r="AJ149" s="1184"/>
      <c r="AK149" s="1184"/>
      <c r="AL149" s="1184"/>
      <c r="AM149" s="1184"/>
      <c r="AN149" s="1184"/>
      <c r="AO149" s="1656"/>
      <c r="AP149" s="590"/>
      <c r="AQ149" s="590"/>
      <c r="AR149" s="590"/>
      <c r="AS149" s="590"/>
      <c r="AT149" s="1665">
        <v>11</v>
      </c>
    </row>
    <row s="1665" customFormat="1" customHeight="1" ht="11.549999999999999">
      <c r="A150" s="1011"/>
      <c r="B150" s="1660"/>
      <c r="C150" s="1660"/>
      <c r="D150" s="375"/>
      <c r="J150" s="1665"/>
      <c r="K150" s="1665"/>
      <c r="L150" s="1665"/>
      <c r="M150" s="1665"/>
      <c r="N150" s="1665"/>
      <c r="O150" s="1665"/>
      <c r="P150" s="1665"/>
      <c r="Q150" s="1665"/>
      <c r="R150" s="1665"/>
      <c r="S150" s="1665"/>
      <c r="T150" s="1665"/>
      <c r="U150" s="1665"/>
      <c r="V150" s="1665"/>
      <c r="W150" s="1665"/>
      <c r="Y150" s="1184"/>
      <c r="Z150" s="1660"/>
      <c r="AA150" s="1660"/>
      <c r="AB150" s="1184"/>
      <c r="AC150" s="1184"/>
      <c r="AD150" s="1184"/>
      <c r="AE150" s="1184"/>
      <c r="AF150" s="1660"/>
      <c r="AG150" s="1184"/>
      <c r="AH150" s="1184"/>
      <c r="AI150" s="568"/>
      <c r="AJ150" s="1184"/>
      <c r="AK150" s="1184"/>
      <c r="AL150" s="1184"/>
      <c r="AM150" s="1184"/>
      <c r="AN150" s="1184"/>
      <c r="AO150" s="1656"/>
      <c r="AP150" s="590"/>
      <c r="AQ150" s="590"/>
      <c r="AR150" s="590"/>
      <c r="AS150" s="590"/>
      <c r="AT150" s="1665">
        <v>11</v>
      </c>
    </row>
    <row s="1665" customFormat="1" customHeight="1" ht="11.549999999999999">
      <c r="A151" s="1011"/>
      <c r="B151" s="1660"/>
      <c r="C151" s="1660"/>
      <c r="D151" s="375"/>
      <c r="J151" s="1665"/>
      <c r="K151" s="1665"/>
      <c r="L151" s="1665"/>
      <c r="M151" s="1665"/>
      <c r="N151" s="1665"/>
      <c r="O151" s="1665"/>
      <c r="P151" s="1665"/>
      <c r="Q151" s="1665"/>
      <c r="R151" s="1665"/>
      <c r="S151" s="1665"/>
      <c r="T151" s="1665"/>
      <c r="U151" s="1665"/>
      <c r="V151" s="1665"/>
      <c r="W151" s="1665"/>
      <c r="Y151" s="1184"/>
      <c r="Z151" s="1660"/>
      <c r="AA151" s="1660"/>
      <c r="AB151" s="1184"/>
      <c r="AC151" s="1184"/>
      <c r="AD151" s="1184"/>
      <c r="AE151" s="1184"/>
      <c r="AF151" s="1660"/>
      <c r="AG151" s="1184"/>
      <c r="AH151" s="1184"/>
      <c r="AI151" s="568"/>
      <c r="AJ151" s="1184"/>
      <c r="AK151" s="1184"/>
      <c r="AL151" s="1184"/>
      <c r="AM151" s="1184"/>
      <c r="AN151" s="1184"/>
      <c r="AO151" s="1656"/>
      <c r="AP151" s="590"/>
      <c r="AQ151" s="590"/>
      <c r="AR151" s="590"/>
      <c r="AS151" s="590"/>
      <c r="AT151" s="1665">
        <v>11</v>
      </c>
    </row>
    <row s="1665" customFormat="1" customHeight="1" ht="11.549999999999999">
      <c r="A152" s="1011"/>
      <c r="B152" s="1660"/>
      <c r="C152" s="1660"/>
      <c r="D152" s="375"/>
      <c r="J152" s="1665"/>
      <c r="K152" s="1665"/>
      <c r="L152" s="1665"/>
      <c r="M152" s="1665"/>
      <c r="N152" s="1665"/>
      <c r="O152" s="1665"/>
      <c r="P152" s="1665"/>
      <c r="Q152" s="1665"/>
      <c r="R152" s="1665"/>
      <c r="S152" s="1665"/>
      <c r="T152" s="1665"/>
      <c r="U152" s="1665"/>
      <c r="V152" s="1665"/>
      <c r="W152" s="1665"/>
      <c r="Y152" s="1184"/>
      <c r="Z152" s="1660"/>
      <c r="AA152" s="1660"/>
      <c r="AB152" s="1184"/>
      <c r="AC152" s="1184"/>
      <c r="AD152" s="1184"/>
      <c r="AE152" s="1184"/>
      <c r="AF152" s="1660"/>
      <c r="AG152" s="1184"/>
      <c r="AH152" s="1184"/>
      <c r="AI152" s="568"/>
      <c r="AJ152" s="1184"/>
      <c r="AK152" s="1184"/>
      <c r="AL152" s="1184"/>
      <c r="AM152" s="1184"/>
      <c r="AN152" s="1184"/>
      <c r="AO152" s="1656"/>
      <c r="AP152" s="590"/>
      <c r="AQ152" s="590"/>
      <c r="AR152" s="590"/>
      <c r="AS152" s="590"/>
      <c r="AT152" s="1665">
        <v>11</v>
      </c>
    </row>
    <row s="1665" customFormat="1" customHeight="1" ht="11.549999999999999">
      <c r="A153" s="1011"/>
      <c r="B153" s="1660"/>
      <c r="C153" s="1660"/>
      <c r="D153" s="375"/>
      <c r="J153" s="1665"/>
      <c r="K153" s="1665"/>
      <c r="L153" s="1665"/>
      <c r="M153" s="1665"/>
      <c r="N153" s="1665"/>
      <c r="O153" s="1665"/>
      <c r="P153" s="1665"/>
      <c r="Q153" s="1665"/>
      <c r="R153" s="1665"/>
      <c r="S153" s="1665"/>
      <c r="T153" s="1665"/>
      <c r="U153" s="1665"/>
      <c r="V153" s="1665"/>
      <c r="W153" s="1665"/>
      <c r="Y153" s="1184"/>
      <c r="Z153" s="1660"/>
      <c r="AA153" s="1660"/>
      <c r="AB153" s="1184"/>
      <c r="AC153" s="1184"/>
      <c r="AD153" s="1184"/>
      <c r="AE153" s="1184"/>
      <c r="AF153" s="1660"/>
      <c r="AG153" s="1184"/>
      <c r="AH153" s="1184"/>
      <c r="AI153" s="568"/>
      <c r="AJ153" s="1184"/>
      <c r="AK153" s="1184"/>
      <c r="AL153" s="1184"/>
      <c r="AM153" s="1184"/>
      <c r="AN153" s="1184"/>
      <c r="AO153" s="1656"/>
      <c r="AP153" s="590"/>
      <c r="AQ153" s="590"/>
      <c r="AR153" s="590"/>
      <c r="AS153" s="590"/>
      <c r="AT153" s="1665">
        <v>11</v>
      </c>
    </row>
    <row s="1665" customFormat="1" customHeight="1" ht="11.549999999999999">
      <c r="A154" s="1011"/>
      <c r="B154" s="1660"/>
      <c r="C154" s="1660"/>
      <c r="D154" s="375"/>
      <c r="J154" s="1665"/>
      <c r="K154" s="1665"/>
      <c r="L154" s="1665"/>
      <c r="M154" s="1665"/>
      <c r="N154" s="1665"/>
      <c r="O154" s="1665"/>
      <c r="P154" s="1665"/>
      <c r="Q154" s="1665"/>
      <c r="R154" s="1665"/>
      <c r="S154" s="1665"/>
      <c r="T154" s="1665"/>
      <c r="U154" s="1665"/>
      <c r="V154" s="1665"/>
      <c r="W154" s="1665"/>
      <c r="Y154" s="1184"/>
      <c r="Z154" s="1660"/>
      <c r="AA154" s="1660"/>
      <c r="AB154" s="1184"/>
      <c r="AC154" s="1184"/>
      <c r="AD154" s="1184"/>
      <c r="AE154" s="1184"/>
      <c r="AF154" s="1660"/>
      <c r="AG154" s="1184"/>
      <c r="AH154" s="1184"/>
      <c r="AI154" s="568"/>
      <c r="AJ154" s="1184"/>
      <c r="AK154" s="1184"/>
      <c r="AL154" s="1184"/>
      <c r="AM154" s="1184"/>
      <c r="AN154" s="1184"/>
      <c r="AO154" s="1656"/>
      <c r="AP154" s="590"/>
      <c r="AQ154" s="590"/>
      <c r="AR154" s="590"/>
      <c r="AS154" s="590"/>
      <c r="AT154" s="1665">
        <v>11</v>
      </c>
    </row>
    <row s="1665" customFormat="1" customHeight="1" ht="11.549999999999999">
      <c r="A155" s="1011"/>
      <c r="B155" s="1660"/>
      <c r="C155" s="1660"/>
      <c r="D155" s="375"/>
      <c r="J155" s="1665"/>
      <c r="K155" s="1665"/>
      <c r="L155" s="1665"/>
      <c r="M155" s="1665"/>
      <c r="N155" s="1665"/>
      <c r="O155" s="1665"/>
      <c r="P155" s="1665"/>
      <c r="Q155" s="1665"/>
      <c r="R155" s="1665"/>
      <c r="S155" s="1665"/>
      <c r="T155" s="1665"/>
      <c r="U155" s="1665"/>
      <c r="V155" s="1665"/>
      <c r="W155" s="1665"/>
      <c r="Y155" s="1184"/>
      <c r="Z155" s="1660"/>
      <c r="AA155" s="1660"/>
      <c r="AB155" s="1184"/>
      <c r="AC155" s="1184"/>
      <c r="AD155" s="1184"/>
      <c r="AE155" s="1184"/>
      <c r="AF155" s="1660"/>
      <c r="AG155" s="1184"/>
      <c r="AH155" s="1184"/>
      <c r="AI155" s="568"/>
      <c r="AJ155" s="1184"/>
      <c r="AK155" s="1184"/>
      <c r="AL155" s="1184"/>
      <c r="AM155" s="1184"/>
      <c r="AN155" s="1184"/>
      <c r="AO155" s="1656"/>
      <c r="AP155" s="590"/>
      <c r="AQ155" s="590"/>
      <c r="AR155" s="590"/>
      <c r="AS155" s="590"/>
      <c r="AT155" s="1665">
        <v>11</v>
      </c>
    </row>
    <row s="1665" customFormat="1" customHeight="1" ht="11.549999999999999">
      <c r="A156" s="1011"/>
      <c r="B156" s="1660"/>
      <c r="C156" s="1660"/>
      <c r="D156" s="375"/>
      <c r="J156" s="1665"/>
      <c r="K156" s="1665"/>
      <c r="L156" s="1665"/>
      <c r="M156" s="1665"/>
      <c r="N156" s="1665"/>
      <c r="O156" s="1665"/>
      <c r="P156" s="1665"/>
      <c r="Q156" s="1665"/>
      <c r="R156" s="1665"/>
      <c r="S156" s="1665"/>
      <c r="T156" s="1665"/>
      <c r="U156" s="1665"/>
      <c r="V156" s="1665"/>
      <c r="W156" s="1665"/>
      <c r="Y156" s="1184"/>
      <c r="Z156" s="1660"/>
      <c r="AA156" s="1660"/>
      <c r="AB156" s="1184"/>
      <c r="AC156" s="1184"/>
      <c r="AD156" s="1184"/>
      <c r="AE156" s="1184"/>
      <c r="AF156" s="1660"/>
      <c r="AG156" s="1184"/>
      <c r="AH156" s="1184"/>
      <c r="AI156" s="568"/>
      <c r="AJ156" s="1184"/>
      <c r="AK156" s="1184"/>
      <c r="AL156" s="1184"/>
      <c r="AM156" s="1184"/>
      <c r="AN156" s="1184"/>
      <c r="AO156" s="1656"/>
      <c r="AP156" s="590"/>
      <c r="AQ156" s="590"/>
      <c r="AR156" s="590"/>
      <c r="AS156" s="590"/>
      <c r="AT156" s="1665">
        <v>11</v>
      </c>
    </row>
    <row s="1665" customFormat="1" customHeight="1" ht="11.549999999999999">
      <c r="A157" s="1011"/>
      <c r="B157" s="1660"/>
      <c r="C157" s="1660"/>
      <c r="D157" s="375"/>
      <c r="J157" s="1665"/>
      <c r="K157" s="1665"/>
      <c r="L157" s="1665"/>
      <c r="M157" s="1665"/>
      <c r="N157" s="1665"/>
      <c r="O157" s="1665"/>
      <c r="P157" s="1665"/>
      <c r="Q157" s="1665"/>
      <c r="R157" s="1665"/>
      <c r="S157" s="1665"/>
      <c r="T157" s="1665"/>
      <c r="U157" s="1665"/>
      <c r="V157" s="1665"/>
      <c r="W157" s="1665"/>
      <c r="Y157" s="1184"/>
      <c r="Z157" s="1660"/>
      <c r="AA157" s="1660"/>
      <c r="AB157" s="1184"/>
      <c r="AC157" s="1184"/>
      <c r="AD157" s="1184"/>
      <c r="AE157" s="1184"/>
      <c r="AF157" s="1660"/>
      <c r="AG157" s="1184"/>
      <c r="AH157" s="1184"/>
      <c r="AI157" s="568"/>
      <c r="AJ157" s="1184"/>
      <c r="AK157" s="1184"/>
      <c r="AL157" s="1184"/>
      <c r="AM157" s="1184"/>
      <c r="AN157" s="1184"/>
      <c r="AO157" s="1656"/>
      <c r="AP157" s="590"/>
      <c r="AQ157" s="590"/>
      <c r="AR157" s="590"/>
      <c r="AS157" s="590"/>
      <c r="AT157" s="1665">
        <v>11</v>
      </c>
    </row>
    <row s="1665" customFormat="1" customHeight="1" ht="11.549999999999999">
      <c r="A158" s="1011"/>
      <c r="B158" s="1660"/>
      <c r="C158" s="1660"/>
      <c r="D158" s="375"/>
      <c r="J158" s="1665"/>
      <c r="K158" s="1665"/>
      <c r="L158" s="1665"/>
      <c r="M158" s="1665"/>
      <c r="N158" s="1665"/>
      <c r="O158" s="1665"/>
      <c r="P158" s="1665"/>
      <c r="Q158" s="1665"/>
      <c r="R158" s="1665"/>
      <c r="S158" s="1665"/>
      <c r="T158" s="1665"/>
      <c r="U158" s="1665"/>
      <c r="V158" s="1665"/>
      <c r="W158" s="1665"/>
      <c r="Y158" s="1184"/>
      <c r="Z158" s="1660"/>
      <c r="AA158" s="1660"/>
      <c r="AB158" s="1184"/>
      <c r="AC158" s="1184"/>
      <c r="AD158" s="1184"/>
      <c r="AE158" s="1184"/>
      <c r="AF158" s="1660"/>
      <c r="AG158" s="1184"/>
      <c r="AH158" s="1184"/>
      <c r="AI158" s="568"/>
      <c r="AJ158" s="1184"/>
      <c r="AK158" s="1184"/>
      <c r="AL158" s="1184"/>
      <c r="AM158" s="1184"/>
      <c r="AN158" s="1184"/>
      <c r="AO158" s="1656"/>
      <c r="AP158" s="590"/>
      <c r="AQ158" s="590"/>
      <c r="AR158" s="590"/>
      <c r="AS158" s="590"/>
      <c r="AT158" s="1665">
        <v>11</v>
      </c>
    </row>
    <row s="1665" customFormat="1" customHeight="1" ht="11.549999999999999">
      <c r="A159" s="1011"/>
      <c r="B159" s="1660"/>
      <c r="C159" s="1660"/>
      <c r="D159" s="375"/>
      <c r="J159" s="1665"/>
      <c r="K159" s="1665"/>
      <c r="L159" s="1665"/>
      <c r="M159" s="1665"/>
      <c r="N159" s="1665"/>
      <c r="O159" s="1665"/>
      <c r="P159" s="1665"/>
      <c r="Q159" s="1665"/>
      <c r="R159" s="1665"/>
      <c r="S159" s="1665"/>
      <c r="T159" s="1665"/>
      <c r="U159" s="1665"/>
      <c r="V159" s="1665"/>
      <c r="W159" s="1665"/>
      <c r="Y159" s="1184"/>
      <c r="Z159" s="1660"/>
      <c r="AA159" s="1660"/>
      <c r="AB159" s="1184"/>
      <c r="AC159" s="1184"/>
      <c r="AD159" s="1184"/>
      <c r="AE159" s="1184"/>
      <c r="AF159" s="1660"/>
      <c r="AG159" s="1184"/>
      <c r="AH159" s="1184"/>
      <c r="AI159" s="568"/>
      <c r="AJ159" s="1184"/>
      <c r="AK159" s="1184"/>
      <c r="AL159" s="1184"/>
      <c r="AM159" s="1184"/>
      <c r="AN159" s="1184"/>
      <c r="AO159" s="1656"/>
      <c r="AP159" s="590"/>
      <c r="AQ159" s="590"/>
      <c r="AR159" s="590"/>
      <c r="AS159" s="590"/>
      <c r="AT159" s="1665">
        <v>11</v>
      </c>
    </row>
    <row s="1665" customFormat="1" customHeight="1" ht="11.549999999999999">
      <c r="A160" s="1011"/>
      <c r="B160" s="1660"/>
      <c r="C160" s="1660"/>
      <c r="D160" s="375"/>
      <c r="J160" s="1665"/>
      <c r="K160" s="1665"/>
      <c r="L160" s="1665"/>
      <c r="M160" s="1665"/>
      <c r="N160" s="1665"/>
      <c r="O160" s="1665"/>
      <c r="P160" s="1665"/>
      <c r="Q160" s="1665"/>
      <c r="R160" s="1665"/>
      <c r="S160" s="1665"/>
      <c r="T160" s="1665"/>
      <c r="U160" s="1665"/>
      <c r="V160" s="1665"/>
      <c r="W160" s="1665"/>
      <c r="Y160" s="1184"/>
      <c r="Z160" s="1660"/>
      <c r="AA160" s="1660"/>
      <c r="AB160" s="1184"/>
      <c r="AC160" s="1184"/>
      <c r="AD160" s="1184"/>
      <c r="AE160" s="1184"/>
      <c r="AF160" s="1660"/>
      <c r="AG160" s="1184"/>
      <c r="AH160" s="1184"/>
      <c r="AI160" s="568"/>
      <c r="AJ160" s="1184"/>
      <c r="AK160" s="1184"/>
      <c r="AL160" s="1184"/>
      <c r="AM160" s="1184"/>
      <c r="AN160" s="1184"/>
      <c r="AO160" s="1656"/>
      <c r="AP160" s="590"/>
      <c r="AQ160" s="590"/>
      <c r="AR160" s="590"/>
      <c r="AS160" s="590"/>
      <c r="AT160" s="1665">
        <v>11</v>
      </c>
    </row>
    <row s="1665" customFormat="1" customHeight="1" ht="11.549999999999999">
      <c r="A161" s="1011"/>
      <c r="B161" s="1660"/>
      <c r="C161" s="1660"/>
      <c r="D161" s="375"/>
      <c r="J161" s="1665"/>
      <c r="K161" s="1665"/>
      <c r="L161" s="1665"/>
      <c r="M161" s="1665"/>
      <c r="N161" s="1665"/>
      <c r="O161" s="1665"/>
      <c r="P161" s="1665"/>
      <c r="Q161" s="1665"/>
      <c r="R161" s="1665"/>
      <c r="S161" s="1665"/>
      <c r="T161" s="1665"/>
      <c r="U161" s="1665"/>
      <c r="V161" s="1665"/>
      <c r="W161" s="1665"/>
      <c r="Y161" s="1184"/>
      <c r="Z161" s="1660"/>
      <c r="AA161" s="1660"/>
      <c r="AB161" s="1184"/>
      <c r="AC161" s="1184"/>
      <c r="AD161" s="1184"/>
      <c r="AE161" s="1184"/>
      <c r="AF161" s="1660"/>
      <c r="AG161" s="1184"/>
      <c r="AH161" s="1184"/>
      <c r="AI161" s="568"/>
      <c r="AJ161" s="1184"/>
      <c r="AK161" s="1184"/>
      <c r="AL161" s="1184"/>
      <c r="AM161" s="1184"/>
      <c r="AN161" s="1184"/>
      <c r="AO161" s="1656"/>
      <c r="AP161" s="590"/>
      <c r="AQ161" s="590"/>
      <c r="AR161" s="590"/>
      <c r="AS161" s="590"/>
      <c r="AT161" s="1665">
        <v>11</v>
      </c>
    </row>
    <row s="1665" customFormat="1" customHeight="1" ht="11.549999999999999">
      <c r="A162" s="1011"/>
      <c r="B162" s="1660"/>
      <c r="C162" s="1660"/>
      <c r="D162" s="375"/>
      <c r="J162" s="1665"/>
      <c r="K162" s="1665"/>
      <c r="L162" s="1665"/>
      <c r="M162" s="1665"/>
      <c r="N162" s="1665"/>
      <c r="O162" s="1665"/>
      <c r="P162" s="1665"/>
      <c r="Q162" s="1665"/>
      <c r="R162" s="1665"/>
      <c r="S162" s="1665"/>
      <c r="T162" s="1665"/>
      <c r="U162" s="1665"/>
      <c r="V162" s="1665"/>
      <c r="W162" s="1665"/>
      <c r="Y162" s="1184"/>
      <c r="Z162" s="1660"/>
      <c r="AA162" s="1660"/>
      <c r="AB162" s="1184"/>
      <c r="AC162" s="1184"/>
      <c r="AD162" s="1184"/>
      <c r="AE162" s="1184"/>
      <c r="AF162" s="1660"/>
      <c r="AG162" s="1184"/>
      <c r="AH162" s="1184"/>
      <c r="AI162" s="568"/>
      <c r="AJ162" s="1184"/>
      <c r="AK162" s="1184"/>
      <c r="AL162" s="1184"/>
      <c r="AM162" s="1184"/>
      <c r="AN162" s="1184"/>
      <c r="AO162" s="1656"/>
      <c r="AP162" s="590"/>
      <c r="AQ162" s="590"/>
      <c r="AR162" s="590"/>
      <c r="AS162" s="590"/>
      <c r="AT162" s="1665">
        <v>11</v>
      </c>
    </row>
    <row s="1665" customFormat="1" customHeight="1" ht="11.549999999999999">
      <c r="A163" s="1011"/>
      <c r="B163" s="1660"/>
      <c r="C163" s="1660"/>
      <c r="D163" s="375"/>
      <c r="J163" s="1665"/>
      <c r="K163" s="1665"/>
      <c r="L163" s="1665"/>
      <c r="M163" s="1665"/>
      <c r="N163" s="1665"/>
      <c r="O163" s="1665"/>
      <c r="P163" s="1665"/>
      <c r="Q163" s="1665"/>
      <c r="R163" s="1665"/>
      <c r="S163" s="1665"/>
      <c r="T163" s="1665"/>
      <c r="U163" s="1665"/>
      <c r="V163" s="1665"/>
      <c r="W163" s="1665"/>
      <c r="Y163" s="1184"/>
      <c r="Z163" s="1660"/>
      <c r="AA163" s="1660"/>
      <c r="AB163" s="1184"/>
      <c r="AC163" s="1184"/>
      <c r="AD163" s="1184"/>
      <c r="AE163" s="1184"/>
      <c r="AF163" s="1660"/>
      <c r="AG163" s="1184"/>
      <c r="AH163" s="1184"/>
      <c r="AI163" s="568"/>
      <c r="AJ163" s="1184"/>
      <c r="AK163" s="1184"/>
      <c r="AL163" s="1184"/>
      <c r="AM163" s="1184"/>
      <c r="AN163" s="1184"/>
      <c r="AO163" s="1656"/>
      <c r="AP163" s="590"/>
      <c r="AQ163" s="590"/>
      <c r="AR163" s="590"/>
      <c r="AS163" s="590"/>
      <c r="AT163" s="1665">
        <v>11</v>
      </c>
    </row>
    <row s="1665" customFormat="1" customHeight="1" ht="11.549999999999999">
      <c r="A164" s="1011"/>
      <c r="B164" s="1660"/>
      <c r="C164" s="1660"/>
      <c r="D164" s="375"/>
      <c r="J164" s="1665"/>
      <c r="K164" s="1665"/>
      <c r="L164" s="1665"/>
      <c r="M164" s="1665"/>
      <c r="N164" s="1665"/>
      <c r="O164" s="1665"/>
      <c r="P164" s="1665"/>
      <c r="Q164" s="1665"/>
      <c r="R164" s="1665"/>
      <c r="S164" s="1665"/>
      <c r="T164" s="1665"/>
      <c r="U164" s="1665"/>
      <c r="V164" s="1665"/>
      <c r="W164" s="1665"/>
      <c r="Y164" s="1184"/>
      <c r="Z164" s="1660"/>
      <c r="AA164" s="1660"/>
      <c r="AB164" s="1184"/>
      <c r="AC164" s="1184"/>
      <c r="AD164" s="1184"/>
      <c r="AE164" s="1184"/>
      <c r="AF164" s="1660"/>
      <c r="AG164" s="1184"/>
      <c r="AH164" s="1184"/>
      <c r="AI164" s="568"/>
      <c r="AJ164" s="1184"/>
      <c r="AK164" s="1184"/>
      <c r="AL164" s="1184"/>
      <c r="AM164" s="1184"/>
      <c r="AN164" s="1184"/>
      <c r="AO164" s="1656"/>
      <c r="AP164" s="590"/>
      <c r="AQ164" s="590"/>
      <c r="AR164" s="590"/>
      <c r="AS164" s="590"/>
      <c r="AT164" s="1665">
        <v>11</v>
      </c>
    </row>
    <row s="1665" customFormat="1" customHeight="1" ht="11.549999999999999">
      <c r="A165" s="1011"/>
      <c r="B165" s="1660"/>
      <c r="C165" s="1660"/>
      <c r="D165" s="375"/>
      <c r="J165" s="1665"/>
      <c r="K165" s="1665"/>
      <c r="L165" s="1665"/>
      <c r="M165" s="1665"/>
      <c r="N165" s="1665"/>
      <c r="O165" s="1665"/>
      <c r="P165" s="1665"/>
      <c r="Q165" s="1665"/>
      <c r="R165" s="1665"/>
      <c r="S165" s="1665"/>
      <c r="T165" s="1665"/>
      <c r="U165" s="1665"/>
      <c r="V165" s="1665"/>
      <c r="W165" s="1665"/>
      <c r="Y165" s="1184"/>
      <c r="Z165" s="1660"/>
      <c r="AA165" s="1660"/>
      <c r="AB165" s="1184"/>
      <c r="AC165" s="1184"/>
      <c r="AD165" s="1184"/>
      <c r="AE165" s="1184"/>
      <c r="AF165" s="1660"/>
      <c r="AG165" s="1184"/>
      <c r="AH165" s="1184"/>
      <c r="AI165" s="568"/>
      <c r="AJ165" s="1184"/>
      <c r="AK165" s="1184"/>
      <c r="AL165" s="1184"/>
      <c r="AM165" s="1184"/>
      <c r="AN165" s="1184"/>
      <c r="AO165" s="1656"/>
      <c r="AP165" s="590"/>
      <c r="AQ165" s="590"/>
      <c r="AR165" s="590"/>
      <c r="AS165" s="590"/>
      <c r="AT165" s="1665">
        <v>11</v>
      </c>
    </row>
    <row s="1665" customFormat="1" customHeight="1" ht="11.549999999999999">
      <c r="A166" s="1011"/>
      <c r="B166" s="1660"/>
      <c r="C166" s="1660"/>
      <c r="D166" s="375"/>
      <c r="J166" s="1665"/>
      <c r="K166" s="1665"/>
      <c r="L166" s="1665"/>
      <c r="M166" s="1665"/>
      <c r="N166" s="1665"/>
      <c r="O166" s="1665"/>
      <c r="P166" s="1665"/>
      <c r="Q166" s="1665"/>
      <c r="R166" s="1665"/>
      <c r="S166" s="1665"/>
      <c r="T166" s="1665"/>
      <c r="U166" s="1665"/>
      <c r="V166" s="1665"/>
      <c r="W166" s="1665"/>
      <c r="Y166" s="1184"/>
      <c r="Z166" s="1660"/>
      <c r="AA166" s="1660"/>
      <c r="AB166" s="1184"/>
      <c r="AC166" s="1184"/>
      <c r="AD166" s="1184"/>
      <c r="AE166" s="1184"/>
      <c r="AF166" s="1660"/>
      <c r="AG166" s="1184"/>
      <c r="AH166" s="1184"/>
      <c r="AI166" s="568"/>
      <c r="AJ166" s="1184"/>
      <c r="AK166" s="1184"/>
      <c r="AL166" s="1184"/>
      <c r="AM166" s="1184"/>
      <c r="AN166" s="1184"/>
      <c r="AO166" s="1656"/>
      <c r="AP166" s="590"/>
      <c r="AQ166" s="590"/>
      <c r="AR166" s="590"/>
      <c r="AS166" s="590"/>
      <c r="AT166" s="1665">
        <v>11</v>
      </c>
    </row>
    <row s="1665" customFormat="1" customHeight="1" ht="11.549999999999999">
      <c r="A167" s="1011"/>
      <c r="B167" s="1660"/>
      <c r="C167" s="1660"/>
      <c r="D167" s="375"/>
      <c r="J167" s="1665"/>
      <c r="K167" s="1665"/>
      <c r="L167" s="1665"/>
      <c r="M167" s="1665"/>
      <c r="N167" s="1665"/>
      <c r="O167" s="1665"/>
      <c r="P167" s="1665"/>
      <c r="Q167" s="1665"/>
      <c r="R167" s="1665"/>
      <c r="S167" s="1665"/>
      <c r="T167" s="1665"/>
      <c r="U167" s="1665"/>
      <c r="V167" s="1665"/>
      <c r="W167" s="1665"/>
      <c r="Y167" s="1184"/>
      <c r="Z167" s="1660"/>
      <c r="AA167" s="1660"/>
      <c r="AB167" s="1184"/>
      <c r="AC167" s="1184"/>
      <c r="AD167" s="1184"/>
      <c r="AE167" s="1184"/>
      <c r="AF167" s="1660"/>
      <c r="AG167" s="1184"/>
      <c r="AH167" s="1184"/>
      <c r="AI167" s="568"/>
      <c r="AJ167" s="1184"/>
      <c r="AK167" s="1184"/>
      <c r="AL167" s="1184"/>
      <c r="AM167" s="1184"/>
      <c r="AN167" s="1184"/>
      <c r="AO167" s="1656"/>
      <c r="AP167" s="590"/>
      <c r="AQ167" s="590"/>
      <c r="AR167" s="590"/>
      <c r="AS167" s="590"/>
      <c r="AT167" s="1665">
        <v>11</v>
      </c>
    </row>
    <row s="1665" customFormat="1" customHeight="1" ht="11.549999999999999">
      <c r="A168" s="1011"/>
      <c r="B168" s="1660"/>
      <c r="C168" s="1660"/>
      <c r="D168" s="375"/>
      <c r="J168" s="1665"/>
      <c r="K168" s="1665"/>
      <c r="L168" s="1665"/>
      <c r="M168" s="1665"/>
      <c r="N168" s="1665"/>
      <c r="O168" s="1665"/>
      <c r="P168" s="1665"/>
      <c r="Q168" s="1665"/>
      <c r="R168" s="1665"/>
      <c r="S168" s="1665"/>
      <c r="T168" s="1665"/>
      <c r="U168" s="1665"/>
      <c r="V168" s="1665"/>
      <c r="W168" s="1665"/>
      <c r="Y168" s="1184"/>
      <c r="Z168" s="1660"/>
      <c r="AA168" s="1660"/>
      <c r="AB168" s="1184"/>
      <c r="AC168" s="1184"/>
      <c r="AD168" s="1184"/>
      <c r="AE168" s="1184"/>
      <c r="AF168" s="1660"/>
      <c r="AG168" s="1184"/>
      <c r="AH168" s="1184"/>
      <c r="AI168" s="568"/>
      <c r="AJ168" s="1184"/>
      <c r="AK168" s="1184"/>
      <c r="AL168" s="1184"/>
      <c r="AM168" s="1184"/>
      <c r="AN168" s="1184"/>
      <c r="AO168" s="1656"/>
      <c r="AP168" s="590"/>
      <c r="AQ168" s="590"/>
      <c r="AR168" s="590"/>
      <c r="AS168" s="590"/>
      <c r="AT168" s="1665">
        <v>11</v>
      </c>
    </row>
    <row s="1665" customFormat="1" customHeight="1" ht="11.549999999999999">
      <c r="A169" s="1011"/>
      <c r="B169" s="1660"/>
      <c r="C169" s="1660"/>
      <c r="D169" s="375"/>
      <c r="J169" s="1665"/>
      <c r="K169" s="1665"/>
      <c r="L169" s="1665"/>
      <c r="M169" s="1665"/>
      <c r="N169" s="1665"/>
      <c r="O169" s="1665"/>
      <c r="P169" s="1665"/>
      <c r="Q169" s="1665"/>
      <c r="R169" s="1665"/>
      <c r="S169" s="1665"/>
      <c r="T169" s="1665"/>
      <c r="U169" s="1665"/>
      <c r="V169" s="1665"/>
      <c r="W169" s="1665"/>
      <c r="Y169" s="1184"/>
      <c r="Z169" s="1660"/>
      <c r="AA169" s="1660"/>
      <c r="AB169" s="1184"/>
      <c r="AC169" s="1184"/>
      <c r="AD169" s="1184"/>
      <c r="AE169" s="1184"/>
      <c r="AF169" s="1660"/>
      <c r="AG169" s="1184"/>
      <c r="AH169" s="1184"/>
      <c r="AI169" s="568"/>
      <c r="AJ169" s="1184"/>
      <c r="AK169" s="1184"/>
      <c r="AL169" s="1184"/>
      <c r="AM169" s="1184"/>
      <c r="AN169" s="1184"/>
      <c r="AO169" s="1656"/>
      <c r="AP169" s="590"/>
      <c r="AQ169" s="590"/>
      <c r="AR169" s="590"/>
      <c r="AS169" s="590"/>
      <c r="AT169" s="1665">
        <v>11</v>
      </c>
    </row>
    <row s="1665" customFormat="1" customHeight="1" ht="11.549999999999999">
      <c r="A170" s="1011"/>
      <c r="B170" s="1660"/>
      <c r="C170" s="1660"/>
      <c r="D170" s="375"/>
      <c r="J170" s="1665"/>
      <c r="K170" s="1665"/>
      <c r="L170" s="1665"/>
      <c r="M170" s="1665"/>
      <c r="N170" s="1665"/>
      <c r="O170" s="1665"/>
      <c r="P170" s="1665"/>
      <c r="Q170" s="1665"/>
      <c r="R170" s="1665"/>
      <c r="S170" s="1665"/>
      <c r="T170" s="1665"/>
      <c r="U170" s="1665"/>
      <c r="V170" s="1665"/>
      <c r="W170" s="1665"/>
      <c r="Y170" s="1184"/>
      <c r="Z170" s="1660"/>
      <c r="AA170" s="1660"/>
      <c r="AB170" s="1184"/>
      <c r="AC170" s="1184"/>
      <c r="AD170" s="1184"/>
      <c r="AE170" s="1184"/>
      <c r="AF170" s="1660"/>
      <c r="AG170" s="1184"/>
      <c r="AH170" s="1184"/>
      <c r="AI170" s="568"/>
      <c r="AJ170" s="1184"/>
      <c r="AK170" s="1184"/>
      <c r="AL170" s="1184"/>
      <c r="AM170" s="1184"/>
      <c r="AN170" s="1184"/>
      <c r="AO170" s="1656"/>
      <c r="AP170" s="590"/>
      <c r="AQ170" s="590"/>
      <c r="AR170" s="590"/>
      <c r="AS170" s="590"/>
      <c r="AT170" s="1665">
        <v>11</v>
      </c>
    </row>
    <row s="1665" customFormat="1" customHeight="1" ht="11.549999999999999">
      <c r="A171" s="1011"/>
      <c r="B171" s="1660"/>
      <c r="C171" s="1660"/>
      <c r="D171" s="375"/>
      <c r="J171" s="1665"/>
      <c r="K171" s="1665"/>
      <c r="L171" s="1665"/>
      <c r="M171" s="1665"/>
      <c r="N171" s="1665"/>
      <c r="O171" s="1665"/>
      <c r="P171" s="1665"/>
      <c r="Q171" s="1665"/>
      <c r="R171" s="1665"/>
      <c r="S171" s="1665"/>
      <c r="T171" s="1665"/>
      <c r="U171" s="1665"/>
      <c r="V171" s="1665"/>
      <c r="W171" s="1665"/>
      <c r="Y171" s="1184"/>
      <c r="Z171" s="1660"/>
      <c r="AA171" s="1660"/>
      <c r="AB171" s="1184"/>
      <c r="AC171" s="1184"/>
      <c r="AD171" s="1184"/>
      <c r="AE171" s="1184"/>
      <c r="AF171" s="1660"/>
      <c r="AG171" s="1184"/>
      <c r="AH171" s="1184"/>
      <c r="AI171" s="568"/>
      <c r="AJ171" s="1184"/>
      <c r="AK171" s="1184"/>
      <c r="AL171" s="1184"/>
      <c r="AM171" s="1184"/>
      <c r="AN171" s="1184"/>
      <c r="AO171" s="1656"/>
      <c r="AP171" s="590"/>
      <c r="AQ171" s="590"/>
      <c r="AR171" s="590"/>
      <c r="AS171" s="590"/>
      <c r="AT171" s="1665">
        <v>11</v>
      </c>
    </row>
    <row s="1665" customFormat="1" customHeight="1" ht="11.549999999999999">
      <c r="A172" s="1011"/>
      <c r="B172" s="1660"/>
      <c r="C172" s="1660"/>
      <c r="D172" s="375"/>
      <c r="J172" s="1665"/>
      <c r="K172" s="1665"/>
      <c r="L172" s="1665"/>
      <c r="M172" s="1665"/>
      <c r="N172" s="1665"/>
      <c r="O172" s="1665"/>
      <c r="P172" s="1665"/>
      <c r="Q172" s="1665"/>
      <c r="R172" s="1665"/>
      <c r="S172" s="1665"/>
      <c r="T172" s="1665"/>
      <c r="U172" s="1665"/>
      <c r="V172" s="1665"/>
      <c r="W172" s="1665"/>
      <c r="Y172" s="1184"/>
      <c r="Z172" s="1660"/>
      <c r="AA172" s="1660"/>
      <c r="AB172" s="1184"/>
      <c r="AC172" s="1184"/>
      <c r="AD172" s="1184"/>
      <c r="AE172" s="1184"/>
      <c r="AF172" s="1660"/>
      <c r="AG172" s="1184"/>
      <c r="AH172" s="1184"/>
      <c r="AI172" s="568"/>
      <c r="AJ172" s="1184"/>
      <c r="AK172" s="1184"/>
      <c r="AL172" s="1184"/>
      <c r="AM172" s="1184"/>
      <c r="AN172" s="1184"/>
      <c r="AO172" s="1656"/>
      <c r="AP172" s="590"/>
      <c r="AQ172" s="590"/>
      <c r="AR172" s="590"/>
      <c r="AS172" s="590"/>
      <c r="AT172" s="1665">
        <v>11</v>
      </c>
    </row>
    <row s="1665" customFormat="1" customHeight="1" ht="11.549999999999999">
      <c r="A173" s="1011"/>
      <c r="B173" s="1660"/>
      <c r="C173" s="1660"/>
      <c r="D173" s="375"/>
      <c r="J173" s="1665"/>
      <c r="K173" s="1665"/>
      <c r="L173" s="1665"/>
      <c r="M173" s="1665"/>
      <c r="N173" s="1665"/>
      <c r="O173" s="1665"/>
      <c r="P173" s="1665"/>
      <c r="Q173" s="1665"/>
      <c r="R173" s="1665"/>
      <c r="S173" s="1665"/>
      <c r="T173" s="1665"/>
      <c r="U173" s="1665"/>
      <c r="V173" s="1665"/>
      <c r="W173" s="1665"/>
      <c r="Y173" s="1184"/>
      <c r="Z173" s="1660"/>
      <c r="AA173" s="1660"/>
      <c r="AB173" s="1184"/>
      <c r="AC173" s="1184"/>
      <c r="AD173" s="1184"/>
      <c r="AE173" s="1184"/>
      <c r="AF173" s="1660"/>
      <c r="AG173" s="1184"/>
      <c r="AH173" s="1184"/>
      <c r="AI173" s="568"/>
      <c r="AJ173" s="1184"/>
      <c r="AK173" s="1184"/>
      <c r="AL173" s="1184"/>
      <c r="AM173" s="1184"/>
      <c r="AN173" s="1184"/>
      <c r="AO173" s="1656"/>
      <c r="AP173" s="590"/>
      <c r="AQ173" s="590"/>
      <c r="AR173" s="590"/>
      <c r="AS173" s="590"/>
      <c r="AT173" s="1665">
        <v>11</v>
      </c>
    </row>
    <row s="1665" customFormat="1" customHeight="1" ht="11.549999999999999">
      <c r="A174" s="1011"/>
      <c r="B174" s="1660"/>
      <c r="C174" s="1660"/>
      <c r="D174" s="375"/>
      <c r="J174" s="1665"/>
      <c r="K174" s="1665"/>
      <c r="L174" s="1665"/>
      <c r="M174" s="1665"/>
      <c r="N174" s="1665"/>
      <c r="O174" s="1665"/>
      <c r="P174" s="1665"/>
      <c r="Q174" s="1665"/>
      <c r="R174" s="1665"/>
      <c r="S174" s="1665"/>
      <c r="T174" s="1665"/>
      <c r="U174" s="1665"/>
      <c r="V174" s="1665"/>
      <c r="W174" s="1665"/>
      <c r="Y174" s="1184"/>
      <c r="Z174" s="1660"/>
      <c r="AA174" s="1660"/>
      <c r="AB174" s="1184"/>
      <c r="AC174" s="1184"/>
      <c r="AD174" s="1184"/>
      <c r="AE174" s="1184"/>
      <c r="AF174" s="1660"/>
      <c r="AG174" s="1184"/>
      <c r="AH174" s="1184"/>
      <c r="AI174" s="568"/>
      <c r="AJ174" s="1184"/>
      <c r="AK174" s="1184"/>
      <c r="AL174" s="1184"/>
      <c r="AM174" s="1184"/>
      <c r="AN174" s="1184"/>
      <c r="AO174" s="1656"/>
      <c r="AP174" s="590"/>
      <c r="AQ174" s="590"/>
      <c r="AR174" s="590"/>
      <c r="AS174" s="590"/>
      <c r="AT174" s="1665">
        <v>11</v>
      </c>
    </row>
    <row s="1665" customFormat="1" customHeight="1" ht="11.549999999999999">
      <c r="A175" s="1011"/>
      <c r="B175" s="1660"/>
      <c r="C175" s="1660"/>
      <c r="D175" s="375"/>
      <c r="J175" s="1665"/>
      <c r="K175" s="1665"/>
      <c r="L175" s="1665"/>
      <c r="M175" s="1665"/>
      <c r="N175" s="1665"/>
      <c r="O175" s="1665"/>
      <c r="P175" s="1665"/>
      <c r="Q175" s="1665"/>
      <c r="R175" s="1665"/>
      <c r="S175" s="1665"/>
      <c r="T175" s="1665"/>
      <c r="U175" s="1665"/>
      <c r="V175" s="1665"/>
      <c r="W175" s="1665"/>
      <c r="Y175" s="1184"/>
      <c r="Z175" s="1660"/>
      <c r="AA175" s="1660"/>
      <c r="AB175" s="1184"/>
      <c r="AC175" s="1184"/>
      <c r="AD175" s="1184"/>
      <c r="AE175" s="1184"/>
      <c r="AF175" s="1660"/>
      <c r="AG175" s="1184"/>
      <c r="AH175" s="1184"/>
      <c r="AI175" s="568"/>
      <c r="AJ175" s="1184"/>
      <c r="AK175" s="1184"/>
      <c r="AL175" s="1184"/>
      <c r="AM175" s="1184"/>
      <c r="AN175" s="1184"/>
      <c r="AO175" s="1656"/>
      <c r="AP175" s="590"/>
      <c r="AQ175" s="590"/>
      <c r="AR175" s="590"/>
      <c r="AS175" s="590"/>
      <c r="AT175" s="1665">
        <v>11</v>
      </c>
    </row>
    <row s="1665" customFormat="1" customHeight="1" ht="11.549999999999999">
      <c r="A176" s="1011"/>
      <c r="B176" s="1660"/>
      <c r="C176" s="1660"/>
      <c r="D176" s="375"/>
      <c r="J176" s="1665"/>
      <c r="K176" s="1665"/>
      <c r="L176" s="1665"/>
      <c r="M176" s="1665"/>
      <c r="N176" s="1665"/>
      <c r="O176" s="1665"/>
      <c r="P176" s="1665"/>
      <c r="Q176" s="1665"/>
      <c r="R176" s="1665"/>
      <c r="S176" s="1665"/>
      <c r="T176" s="1665"/>
      <c r="U176" s="1665"/>
      <c r="V176" s="1665"/>
      <c r="W176" s="1665"/>
      <c r="Y176" s="1184"/>
      <c r="Z176" s="1660"/>
      <c r="AA176" s="1660"/>
      <c r="AB176" s="1184"/>
      <c r="AC176" s="1184"/>
      <c r="AD176" s="1184"/>
      <c r="AE176" s="1184"/>
      <c r="AF176" s="1660"/>
      <c r="AG176" s="1184"/>
      <c r="AH176" s="1184"/>
      <c r="AI176" s="568"/>
      <c r="AJ176" s="1184"/>
      <c r="AK176" s="1184"/>
      <c r="AL176" s="1184"/>
      <c r="AM176" s="1184"/>
      <c r="AN176" s="1184"/>
      <c r="AO176" s="1656"/>
      <c r="AP176" s="590"/>
      <c r="AQ176" s="590"/>
      <c r="AR176" s="590"/>
      <c r="AS176" s="590"/>
      <c r="AT176" s="1665">
        <v>11</v>
      </c>
    </row>
    <row s="1665" customFormat="1" customHeight="1" ht="11.549999999999999">
      <c r="A177" s="1011"/>
      <c r="B177" s="1660"/>
      <c r="C177" s="1660"/>
      <c r="D177" s="375"/>
      <c r="J177" s="1665"/>
      <c r="K177" s="1665"/>
      <c r="L177" s="1665"/>
      <c r="M177" s="1665"/>
      <c r="N177" s="1665"/>
      <c r="O177" s="1665"/>
      <c r="P177" s="1665"/>
      <c r="Q177" s="1665"/>
      <c r="R177" s="1665"/>
      <c r="S177" s="1665"/>
      <c r="T177" s="1665"/>
      <c r="U177" s="1665"/>
      <c r="V177" s="1665"/>
      <c r="W177" s="1665"/>
      <c r="Y177" s="1184"/>
      <c r="Z177" s="1660"/>
      <c r="AA177" s="1660"/>
      <c r="AB177" s="1184"/>
      <c r="AC177" s="1184"/>
      <c r="AD177" s="1184"/>
      <c r="AE177" s="1184"/>
      <c r="AF177" s="1660"/>
      <c r="AG177" s="1184"/>
      <c r="AH177" s="1184"/>
      <c r="AI177" s="568"/>
      <c r="AJ177" s="1184"/>
      <c r="AK177" s="1184"/>
      <c r="AL177" s="1184"/>
      <c r="AM177" s="1184"/>
      <c r="AN177" s="1184"/>
      <c r="AO177" s="1656"/>
      <c r="AP177" s="590"/>
      <c r="AQ177" s="590"/>
      <c r="AR177" s="590"/>
      <c r="AS177" s="590"/>
      <c r="AT177" s="1665">
        <v>11</v>
      </c>
    </row>
    <row s="1665" customFormat="1" customHeight="1" ht="11.549999999999999">
      <c r="A178" s="1011"/>
      <c r="B178" s="1660"/>
      <c r="C178" s="1660"/>
      <c r="D178" s="375"/>
      <c r="J178" s="1665"/>
      <c r="K178" s="1665"/>
      <c r="L178" s="1665"/>
      <c r="M178" s="1665"/>
      <c r="N178" s="1665"/>
      <c r="O178" s="1665"/>
      <c r="P178" s="1665"/>
      <c r="Q178" s="1665"/>
      <c r="R178" s="1665"/>
      <c r="S178" s="1665"/>
      <c r="T178" s="1665"/>
      <c r="U178" s="1665"/>
      <c r="V178" s="1665"/>
      <c r="W178" s="1665"/>
      <c r="Y178" s="1184"/>
      <c r="Z178" s="1660"/>
      <c r="AA178" s="1660"/>
      <c r="AB178" s="1184"/>
      <c r="AC178" s="1184"/>
      <c r="AD178" s="1184"/>
      <c r="AE178" s="1184"/>
      <c r="AF178" s="1660"/>
      <c r="AG178" s="1184"/>
      <c r="AH178" s="1184"/>
      <c r="AI178" s="568"/>
      <c r="AJ178" s="1184"/>
      <c r="AK178" s="1184"/>
      <c r="AL178" s="1184"/>
      <c r="AM178" s="1184"/>
      <c r="AN178" s="1184"/>
      <c r="AO178" s="1656"/>
      <c r="AP178" s="590"/>
      <c r="AQ178" s="590"/>
      <c r="AR178" s="590"/>
      <c r="AS178" s="590"/>
      <c r="AT178" s="1665">
        <v>11</v>
      </c>
    </row>
    <row s="1665" customFormat="1" customHeight="1" ht="11.549999999999999">
      <c r="A179" s="1011"/>
      <c r="B179" s="1660"/>
      <c r="C179" s="1660"/>
      <c r="D179" s="375"/>
      <c r="J179" s="1665"/>
      <c r="K179" s="1665"/>
      <c r="L179" s="1665"/>
      <c r="M179" s="1665"/>
      <c r="N179" s="1665"/>
      <c r="O179" s="1665"/>
      <c r="P179" s="1665"/>
      <c r="Q179" s="1665"/>
      <c r="R179" s="1665"/>
      <c r="S179" s="1665"/>
      <c r="T179" s="1665"/>
      <c r="U179" s="1665"/>
      <c r="V179" s="1665"/>
      <c r="W179" s="1665"/>
      <c r="Y179" s="1184"/>
      <c r="Z179" s="1660"/>
      <c r="AA179" s="1660"/>
      <c r="AB179" s="1184"/>
      <c r="AC179" s="1184"/>
      <c r="AD179" s="1184"/>
      <c r="AE179" s="1184"/>
      <c r="AF179" s="1660"/>
      <c r="AG179" s="1184"/>
      <c r="AH179" s="1184"/>
      <c r="AI179" s="568"/>
      <c r="AJ179" s="1184"/>
      <c r="AK179" s="1184"/>
      <c r="AL179" s="1184"/>
      <c r="AM179" s="1184"/>
      <c r="AN179" s="1184"/>
      <c r="AO179" s="1656"/>
      <c r="AP179" s="590"/>
      <c r="AQ179" s="590"/>
      <c r="AR179" s="590"/>
      <c r="AS179" s="590"/>
      <c r="AT179" s="1665">
        <v>11</v>
      </c>
    </row>
    <row s="1665" customFormat="1" customHeight="1" ht="11.549999999999999">
      <c r="A180" s="1011"/>
      <c r="B180" s="1660"/>
      <c r="C180" s="1660"/>
      <c r="D180" s="375"/>
      <c r="J180" s="1665"/>
      <c r="K180" s="1665"/>
      <c r="L180" s="1665"/>
      <c r="M180" s="1665"/>
      <c r="N180" s="1665"/>
      <c r="O180" s="1665"/>
      <c r="P180" s="1665"/>
      <c r="Q180" s="1665"/>
      <c r="R180" s="1665"/>
      <c r="S180" s="1665"/>
      <c r="T180" s="1665"/>
      <c r="U180" s="1665"/>
      <c r="V180" s="1665"/>
      <c r="W180" s="1665"/>
      <c r="Y180" s="1184"/>
      <c r="Z180" s="1660"/>
      <c r="AA180" s="1660"/>
      <c r="AB180" s="1184"/>
      <c r="AC180" s="1184"/>
      <c r="AD180" s="1184"/>
      <c r="AE180" s="1184"/>
      <c r="AF180" s="1660"/>
      <c r="AG180" s="1184"/>
      <c r="AH180" s="1184"/>
      <c r="AI180" s="568"/>
      <c r="AJ180" s="1184"/>
      <c r="AK180" s="1184"/>
      <c r="AL180" s="1184"/>
      <c r="AM180" s="1184"/>
      <c r="AN180" s="1184"/>
      <c r="AO180" s="1656"/>
      <c r="AP180" s="590"/>
      <c r="AQ180" s="590"/>
      <c r="AR180" s="590"/>
      <c r="AS180" s="590"/>
      <c r="AT180" s="1665">
        <v>11</v>
      </c>
    </row>
    <row s="1665" customFormat="1" customHeight="1" ht="11.549999999999999">
      <c r="A181" s="1011"/>
      <c r="B181" s="1660"/>
      <c r="C181" s="1660"/>
      <c r="D181" s="375"/>
      <c r="J181" s="1665"/>
      <c r="K181" s="1665"/>
      <c r="L181" s="1665"/>
      <c r="M181" s="1665"/>
      <c r="N181" s="1665"/>
      <c r="O181" s="1665"/>
      <c r="P181" s="1665"/>
      <c r="Q181" s="1665"/>
      <c r="R181" s="1665"/>
      <c r="S181" s="1665"/>
      <c r="T181" s="1665"/>
      <c r="U181" s="1665"/>
      <c r="V181" s="1665"/>
      <c r="W181" s="1665"/>
      <c r="Y181" s="1184"/>
      <c r="Z181" s="1660"/>
      <c r="AA181" s="1660"/>
      <c r="AB181" s="1184"/>
      <c r="AC181" s="1184"/>
      <c r="AD181" s="1184"/>
      <c r="AE181" s="1184"/>
      <c r="AF181" s="1660"/>
      <c r="AG181" s="1184"/>
      <c r="AH181" s="1184"/>
      <c r="AI181" s="568"/>
      <c r="AJ181" s="1184"/>
      <c r="AK181" s="1184"/>
      <c r="AL181" s="1184"/>
      <c r="AM181" s="1184"/>
      <c r="AN181" s="1184"/>
      <c r="AO181" s="1656"/>
      <c r="AP181" s="590"/>
      <c r="AQ181" s="590"/>
      <c r="AR181" s="590"/>
      <c r="AS181" s="590"/>
      <c r="AT181" s="1665">
        <v>11</v>
      </c>
    </row>
    <row s="1665" customFormat="1" customHeight="1" ht="11.549999999999999">
      <c r="A182" s="1011"/>
      <c r="B182" s="1660"/>
      <c r="C182" s="1660"/>
      <c r="D182" s="375"/>
      <c r="J182" s="1665"/>
      <c r="K182" s="1665"/>
      <c r="L182" s="1665"/>
      <c r="M182" s="1665"/>
      <c r="N182" s="1665"/>
      <c r="O182" s="1665"/>
      <c r="P182" s="1665"/>
      <c r="Q182" s="1665"/>
      <c r="R182" s="1665"/>
      <c r="S182" s="1665"/>
      <c r="T182" s="1665"/>
      <c r="U182" s="1665"/>
      <c r="V182" s="1665"/>
      <c r="W182" s="1665"/>
      <c r="Y182" s="1184"/>
      <c r="Z182" s="1660"/>
      <c r="AA182" s="1660"/>
      <c r="AB182" s="1184"/>
      <c r="AC182" s="1184"/>
      <c r="AD182" s="1184"/>
      <c r="AE182" s="1184"/>
      <c r="AF182" s="1660"/>
      <c r="AG182" s="1184"/>
      <c r="AH182" s="1184"/>
      <c r="AI182" s="568"/>
      <c r="AJ182" s="1184"/>
      <c r="AK182" s="1184"/>
      <c r="AL182" s="1184"/>
      <c r="AM182" s="1184"/>
      <c r="AN182" s="1184"/>
      <c r="AO182" s="1656"/>
      <c r="AP182" s="590"/>
      <c r="AQ182" s="590"/>
      <c r="AR182" s="590"/>
      <c r="AS182" s="590"/>
      <c r="AT182" s="1665">
        <v>11</v>
      </c>
    </row>
    <row s="1665" customFormat="1" customHeight="1" ht="11.549999999999999">
      <c r="A183" s="1011"/>
      <c r="B183" s="1660"/>
      <c r="C183" s="1660"/>
      <c r="D183" s="375"/>
      <c r="J183" s="1665"/>
      <c r="K183" s="1665"/>
      <c r="L183" s="1665"/>
      <c r="M183" s="1665"/>
      <c r="N183" s="1665"/>
      <c r="O183" s="1665"/>
      <c r="P183" s="1665"/>
      <c r="Q183" s="1665"/>
      <c r="R183" s="1665"/>
      <c r="S183" s="1665"/>
      <c r="T183" s="1665"/>
      <c r="U183" s="1665"/>
      <c r="V183" s="1665"/>
      <c r="W183" s="1665"/>
      <c r="Y183" s="1184"/>
      <c r="Z183" s="1660"/>
      <c r="AA183" s="1660"/>
      <c r="AB183" s="1184"/>
      <c r="AC183" s="1184"/>
      <c r="AD183" s="1184"/>
      <c r="AE183" s="1184"/>
      <c r="AF183" s="1660"/>
      <c r="AG183" s="1184"/>
      <c r="AH183" s="1184"/>
      <c r="AI183" s="568"/>
      <c r="AJ183" s="1184"/>
      <c r="AK183" s="1184"/>
      <c r="AL183" s="1184"/>
      <c r="AM183" s="1184"/>
      <c r="AN183" s="1184"/>
      <c r="AO183" s="1656"/>
      <c r="AP183" s="590"/>
      <c r="AQ183" s="590"/>
      <c r="AR183" s="590"/>
      <c r="AS183" s="590"/>
      <c r="AT183" s="1665">
        <v>11</v>
      </c>
    </row>
    <row s="1665" customFormat="1" customHeight="1" ht="11.549999999999999">
      <c r="A184" s="1011"/>
      <c r="B184" s="1660"/>
      <c r="C184" s="1660"/>
      <c r="D184" s="375"/>
      <c r="J184" s="1665"/>
      <c r="K184" s="1665"/>
      <c r="L184" s="1665"/>
      <c r="M184" s="1665"/>
      <c r="N184" s="1665"/>
      <c r="O184" s="1665"/>
      <c r="P184" s="1665"/>
      <c r="Q184" s="1665"/>
      <c r="R184" s="1665"/>
      <c r="S184" s="1665"/>
      <c r="T184" s="1665"/>
      <c r="U184" s="1665"/>
      <c r="V184" s="1665"/>
      <c r="W184" s="1665"/>
      <c r="Y184" s="1184"/>
      <c r="Z184" s="1660"/>
      <c r="AA184" s="1660"/>
      <c r="AB184" s="1184"/>
      <c r="AC184" s="1184"/>
      <c r="AD184" s="1184"/>
      <c r="AE184" s="1184"/>
      <c r="AF184" s="1660"/>
      <c r="AG184" s="1184"/>
      <c r="AH184" s="1184"/>
      <c r="AI184" s="568"/>
      <c r="AJ184" s="1184"/>
      <c r="AK184" s="1184"/>
      <c r="AL184" s="1184"/>
      <c r="AM184" s="1184"/>
      <c r="AN184" s="1184"/>
      <c r="AO184" s="1656"/>
      <c r="AP184" s="590"/>
      <c r="AQ184" s="590"/>
      <c r="AR184" s="590"/>
      <c r="AS184" s="590"/>
      <c r="AT184" s="1665">
        <v>11</v>
      </c>
    </row>
    <row s="1665" customFormat="1" customHeight="1" ht="11.549999999999999">
      <c r="A185" s="1011"/>
      <c r="B185" s="1660"/>
      <c r="C185" s="1660"/>
      <c r="D185" s="375"/>
      <c r="J185" s="1665"/>
      <c r="K185" s="1665"/>
      <c r="L185" s="1665"/>
      <c r="M185" s="1665"/>
      <c r="N185" s="1665"/>
      <c r="O185" s="1665"/>
      <c r="P185" s="1665"/>
      <c r="Q185" s="1665"/>
      <c r="R185" s="1665"/>
      <c r="S185" s="1665"/>
      <c r="T185" s="1665"/>
      <c r="U185" s="1665"/>
      <c r="V185" s="1665"/>
      <c r="W185" s="1665"/>
      <c r="Y185" s="1184"/>
      <c r="Z185" s="1660"/>
      <c r="AA185" s="1660"/>
      <c r="AB185" s="1184"/>
      <c r="AC185" s="1184"/>
      <c r="AD185" s="1184"/>
      <c r="AE185" s="1184"/>
      <c r="AF185" s="1660"/>
      <c r="AG185" s="1184"/>
      <c r="AH185" s="1184"/>
      <c r="AI185" s="568"/>
      <c r="AJ185" s="1184"/>
      <c r="AK185" s="1184"/>
      <c r="AL185" s="1184"/>
      <c r="AM185" s="1184"/>
      <c r="AN185" s="1184"/>
      <c r="AO185" s="1656"/>
      <c r="AP185" s="590"/>
      <c r="AQ185" s="590"/>
      <c r="AR185" s="590"/>
      <c r="AS185" s="590"/>
      <c r="AT185" s="1665">
        <v>11</v>
      </c>
    </row>
    <row s="1665" customFormat="1" customHeight="1" ht="11.549999999999999">
      <c r="A186" s="1011"/>
      <c r="B186" s="1660"/>
      <c r="C186" s="1660"/>
      <c r="D186" s="375"/>
      <c r="J186" s="1665"/>
      <c r="K186" s="1665"/>
      <c r="L186" s="1665"/>
      <c r="M186" s="1665"/>
      <c r="N186" s="1665"/>
      <c r="O186" s="1665"/>
      <c r="P186" s="1665"/>
      <c r="Q186" s="1665"/>
      <c r="R186" s="1665"/>
      <c r="S186" s="1665"/>
      <c r="T186" s="1665"/>
      <c r="U186" s="1665"/>
      <c r="V186" s="1665"/>
      <c r="W186" s="1665"/>
      <c r="Y186" s="1184"/>
      <c r="Z186" s="1660"/>
      <c r="AA186" s="1660"/>
      <c r="AB186" s="1184"/>
      <c r="AC186" s="1184"/>
      <c r="AD186" s="1184"/>
      <c r="AE186" s="1184"/>
      <c r="AF186" s="1660"/>
      <c r="AG186" s="1184"/>
      <c r="AH186" s="1184"/>
      <c r="AI186" s="568"/>
      <c r="AJ186" s="1184"/>
      <c r="AK186" s="1184"/>
      <c r="AL186" s="1184"/>
      <c r="AM186" s="1184"/>
      <c r="AN186" s="1184"/>
      <c r="AO186" s="1656"/>
      <c r="AP186" s="590"/>
      <c r="AQ186" s="590"/>
      <c r="AR186" s="590"/>
      <c r="AS186" s="590"/>
      <c r="AT186" s="1665">
        <v>11</v>
      </c>
    </row>
    <row s="1665" customFormat="1" customHeight="1" ht="11.549999999999999">
      <c r="A187" s="1011"/>
      <c r="B187" s="1660"/>
      <c r="C187" s="1660"/>
      <c r="D187" s="375"/>
      <c r="J187" s="1665"/>
      <c r="K187" s="1665"/>
      <c r="L187" s="1665"/>
      <c r="M187" s="1665"/>
      <c r="N187" s="1665"/>
      <c r="O187" s="1665"/>
      <c r="P187" s="1665"/>
      <c r="Q187" s="1665"/>
      <c r="R187" s="1665"/>
      <c r="S187" s="1665"/>
      <c r="T187" s="1665"/>
      <c r="U187" s="1665"/>
      <c r="V187" s="1665"/>
      <c r="W187" s="1665"/>
      <c r="Y187" s="1184"/>
      <c r="Z187" s="1660"/>
      <c r="AA187" s="1660"/>
      <c r="AB187" s="1184"/>
      <c r="AC187" s="1184"/>
      <c r="AD187" s="1184"/>
      <c r="AE187" s="1184"/>
      <c r="AF187" s="1660"/>
      <c r="AG187" s="1184"/>
      <c r="AH187" s="1184"/>
      <c r="AI187" s="568"/>
      <c r="AJ187" s="1184"/>
      <c r="AK187" s="1184"/>
      <c r="AL187" s="1184"/>
      <c r="AM187" s="1184"/>
      <c r="AN187" s="1184"/>
      <c r="AO187" s="1656"/>
      <c r="AP187" s="590"/>
      <c r="AQ187" s="590"/>
      <c r="AR187" s="590"/>
      <c r="AS187" s="590"/>
      <c r="AT187" s="1665">
        <v>11</v>
      </c>
    </row>
    <row s="1665" customFormat="1" customHeight="1" ht="11.549999999999999">
      <c r="A188" s="1011"/>
      <c r="B188" s="1660"/>
      <c r="C188" s="1660"/>
      <c r="D188" s="375"/>
      <c r="J188" s="1665"/>
      <c r="K188" s="1665"/>
      <c r="L188" s="1665"/>
      <c r="M188" s="1665"/>
      <c r="N188" s="1665"/>
      <c r="O188" s="1665"/>
      <c r="P188" s="1665"/>
      <c r="Q188" s="1665"/>
      <c r="R188" s="1665"/>
      <c r="S188" s="1665"/>
      <c r="T188" s="1665"/>
      <c r="U188" s="1665"/>
      <c r="V188" s="1665"/>
      <c r="W188" s="1665"/>
      <c r="Y188" s="1184"/>
      <c r="Z188" s="1660"/>
      <c r="AA188" s="1660"/>
      <c r="AB188" s="1184"/>
      <c r="AC188" s="1184"/>
      <c r="AD188" s="1184"/>
      <c r="AE188" s="1184"/>
      <c r="AF188" s="1660"/>
      <c r="AG188" s="1184"/>
      <c r="AH188" s="1184"/>
      <c r="AI188" s="568"/>
      <c r="AJ188" s="1184"/>
      <c r="AK188" s="1184"/>
      <c r="AL188" s="1184"/>
      <c r="AM188" s="1184"/>
      <c r="AN188" s="1184"/>
      <c r="AO188" s="1656"/>
      <c r="AP188" s="590"/>
      <c r="AQ188" s="590"/>
      <c r="AR188" s="590"/>
      <c r="AS188" s="590"/>
      <c r="AT188" s="1665">
        <v>11</v>
      </c>
    </row>
    <row s="1665" customFormat="1" customHeight="1" ht="11.549999999999999">
      <c r="A189" s="1011"/>
      <c r="B189" s="1660"/>
      <c r="C189" s="1660"/>
      <c r="D189" s="375"/>
      <c r="J189" s="1665"/>
      <c r="K189" s="1665"/>
      <c r="L189" s="1665"/>
      <c r="M189" s="1665"/>
      <c r="N189" s="1665"/>
      <c r="O189" s="1665"/>
      <c r="P189" s="1665"/>
      <c r="Q189" s="1665"/>
      <c r="R189" s="1665"/>
      <c r="S189" s="1665"/>
      <c r="T189" s="1665"/>
      <c r="U189" s="1665"/>
      <c r="V189" s="1665"/>
      <c r="W189" s="1665"/>
      <c r="Y189" s="1184"/>
      <c r="Z189" s="1660"/>
      <c r="AA189" s="1660"/>
      <c r="AB189" s="1184"/>
      <c r="AC189" s="1184"/>
      <c r="AD189" s="1184"/>
      <c r="AE189" s="1184"/>
      <c r="AF189" s="1660"/>
      <c r="AG189" s="1184"/>
      <c r="AH189" s="1184"/>
      <c r="AI189" s="568"/>
      <c r="AJ189" s="1184"/>
      <c r="AK189" s="1184"/>
      <c r="AL189" s="1184"/>
      <c r="AM189" s="1184"/>
      <c r="AN189" s="1184"/>
      <c r="AO189" s="1656"/>
      <c r="AP189" s="590"/>
      <c r="AQ189" s="590"/>
      <c r="AR189" s="590"/>
      <c r="AS189" s="590"/>
      <c r="AT189" s="1665">
        <v>11</v>
      </c>
    </row>
    <row s="1665" customFormat="1" customHeight="1" ht="11.549999999999999">
      <c r="A190" s="1011"/>
      <c r="B190" s="1660"/>
      <c r="C190" s="1660"/>
      <c r="D190" s="375"/>
      <c r="J190" s="1665"/>
      <c r="K190" s="1665"/>
      <c r="L190" s="1665"/>
      <c r="M190" s="1665"/>
      <c r="N190" s="1665"/>
      <c r="O190" s="1665"/>
      <c r="P190" s="1665"/>
      <c r="Q190" s="1665"/>
      <c r="R190" s="1665"/>
      <c r="S190" s="1665"/>
      <c r="T190" s="1665"/>
      <c r="U190" s="1665"/>
      <c r="V190" s="1665"/>
      <c r="W190" s="1665"/>
      <c r="Y190" s="1184"/>
      <c r="Z190" s="1660"/>
      <c r="AA190" s="1660"/>
      <c r="AB190" s="1184"/>
      <c r="AC190" s="1184"/>
      <c r="AD190" s="1184"/>
      <c r="AE190" s="1184"/>
      <c r="AF190" s="1660"/>
      <c r="AG190" s="1184"/>
      <c r="AH190" s="1184"/>
      <c r="AI190" s="568"/>
      <c r="AJ190" s="1184"/>
      <c r="AK190" s="1184"/>
      <c r="AL190" s="1184"/>
      <c r="AM190" s="1184"/>
      <c r="AN190" s="1184"/>
      <c r="AO190" s="1656"/>
      <c r="AP190" s="590"/>
      <c r="AQ190" s="590"/>
      <c r="AR190" s="590"/>
      <c r="AS190" s="590"/>
      <c r="AT190" s="1665">
        <v>11</v>
      </c>
    </row>
    <row s="1665" customFormat="1" customHeight="1" ht="11.549999999999999">
      <c r="A191" s="1011"/>
      <c r="B191" s="1660"/>
      <c r="C191" s="1660"/>
      <c r="D191" s="375"/>
      <c r="J191" s="1665"/>
      <c r="K191" s="1665"/>
      <c r="L191" s="1665"/>
      <c r="M191" s="1665"/>
      <c r="N191" s="1665"/>
      <c r="O191" s="1665"/>
      <c r="P191" s="1665"/>
      <c r="Q191" s="1665"/>
      <c r="R191" s="1665"/>
      <c r="S191" s="1665"/>
      <c r="T191" s="1665"/>
      <c r="U191" s="1665"/>
      <c r="V191" s="1665"/>
      <c r="W191" s="1665"/>
      <c r="Y191" s="1184"/>
      <c r="Z191" s="1660"/>
      <c r="AA191" s="1660"/>
      <c r="AB191" s="1184"/>
      <c r="AC191" s="1184"/>
      <c r="AD191" s="1184"/>
      <c r="AE191" s="1184"/>
      <c r="AF191" s="1660"/>
      <c r="AG191" s="1184"/>
      <c r="AH191" s="1184"/>
      <c r="AI191" s="568"/>
      <c r="AJ191" s="1184"/>
      <c r="AK191" s="1184"/>
      <c r="AL191" s="1184"/>
      <c r="AM191" s="1184"/>
      <c r="AN191" s="1184"/>
      <c r="AO191" s="1656"/>
      <c r="AP191" s="590"/>
      <c r="AQ191" s="590"/>
      <c r="AR191" s="590"/>
      <c r="AS191" s="590"/>
      <c r="AT191" s="1665">
        <v>11</v>
      </c>
    </row>
    <row s="1665" customFormat="1" customHeight="1" ht="11.549999999999999">
      <c r="A192" s="1011"/>
      <c r="B192" s="1660"/>
      <c r="C192" s="1660"/>
      <c r="D192" s="375"/>
      <c r="J192" s="1665"/>
      <c r="K192" s="1665"/>
      <c r="L192" s="1665"/>
      <c r="M192" s="1665"/>
      <c r="N192" s="1665"/>
      <c r="O192" s="1665"/>
      <c r="P192" s="1665"/>
      <c r="Q192" s="1665"/>
      <c r="R192" s="1665"/>
      <c r="S192" s="1665"/>
      <c r="T192" s="1665"/>
      <c r="U192" s="1665"/>
      <c r="V192" s="1665"/>
      <c r="W192" s="1665"/>
      <c r="Y192" s="1184"/>
      <c r="Z192" s="1660"/>
      <c r="AA192" s="1660"/>
      <c r="AB192" s="1184"/>
      <c r="AC192" s="1184"/>
      <c r="AD192" s="1184"/>
      <c r="AE192" s="1184"/>
      <c r="AF192" s="1660"/>
      <c r="AG192" s="1184"/>
      <c r="AH192" s="1184"/>
      <c r="AI192" s="568"/>
      <c r="AJ192" s="1184"/>
      <c r="AK192" s="1184"/>
      <c r="AL192" s="1184"/>
      <c r="AM192" s="1184"/>
      <c r="AN192" s="1184"/>
      <c r="AO192" s="1656"/>
      <c r="AP192" s="590"/>
      <c r="AQ192" s="590"/>
      <c r="AR192" s="590"/>
      <c r="AS192" s="590"/>
      <c r="AT192" s="1665">
        <v>11</v>
      </c>
    </row>
    <row s="1665" customFormat="1" customHeight="1" ht="11.549999999999999">
      <c r="A193" s="1011"/>
      <c r="B193" s="1660"/>
      <c r="C193" s="1660"/>
      <c r="D193" s="375"/>
      <c r="J193" s="1665"/>
      <c r="K193" s="1665"/>
      <c r="L193" s="1665"/>
      <c r="M193" s="1665"/>
      <c r="N193" s="1665"/>
      <c r="O193" s="1665"/>
      <c r="P193" s="1665"/>
      <c r="Q193" s="1665"/>
      <c r="R193" s="1665"/>
      <c r="S193" s="1665"/>
      <c r="T193" s="1665"/>
      <c r="U193" s="1665"/>
      <c r="V193" s="1665"/>
      <c r="W193" s="1665"/>
      <c r="Y193" s="1184"/>
      <c r="Z193" s="1660"/>
      <c r="AA193" s="1660"/>
      <c r="AB193" s="1184"/>
      <c r="AC193" s="1184"/>
      <c r="AD193" s="1184"/>
      <c r="AE193" s="1184"/>
      <c r="AF193" s="1660"/>
      <c r="AG193" s="1184"/>
      <c r="AH193" s="1184"/>
      <c r="AI193" s="568"/>
      <c r="AJ193" s="1184"/>
      <c r="AK193" s="1184"/>
      <c r="AL193" s="1184"/>
      <c r="AM193" s="1184"/>
      <c r="AN193" s="1184"/>
      <c r="AO193" s="1656"/>
      <c r="AP193" s="590"/>
      <c r="AQ193" s="590"/>
      <c r="AR193" s="590"/>
      <c r="AS193" s="590"/>
      <c r="AT193" s="1665">
        <v>11</v>
      </c>
    </row>
    <row s="1665" customFormat="1" customHeight="1" ht="11.549999999999999">
      <c r="A194" s="1011"/>
      <c r="B194" s="1660"/>
      <c r="C194" s="1660"/>
      <c r="D194" s="375"/>
      <c r="J194" s="1665"/>
      <c r="K194" s="1665"/>
      <c r="L194" s="1665"/>
      <c r="M194" s="1665"/>
      <c r="N194" s="1665"/>
      <c r="O194" s="1665"/>
      <c r="P194" s="1665"/>
      <c r="Q194" s="1665"/>
      <c r="R194" s="1665"/>
      <c r="S194" s="1665"/>
      <c r="T194" s="1665"/>
      <c r="U194" s="1665"/>
      <c r="V194" s="1665"/>
      <c r="W194" s="1665"/>
      <c r="Y194" s="1184"/>
      <c r="Z194" s="1660"/>
      <c r="AA194" s="1660"/>
      <c r="AB194" s="1184"/>
      <c r="AC194" s="1184"/>
      <c r="AD194" s="1184"/>
      <c r="AE194" s="1184"/>
      <c r="AF194" s="1660"/>
      <c r="AG194" s="1184"/>
      <c r="AH194" s="1184"/>
      <c r="AI194" s="568"/>
      <c r="AJ194" s="1184"/>
      <c r="AK194" s="1184"/>
      <c r="AL194" s="1184"/>
      <c r="AM194" s="1184"/>
      <c r="AN194" s="1184"/>
      <c r="AO194" s="1656"/>
      <c r="AP194" s="590"/>
      <c r="AQ194" s="590"/>
      <c r="AR194" s="590"/>
      <c r="AS194" s="590"/>
      <c r="AT194" s="1665">
        <v>11</v>
      </c>
    </row>
    <row s="1665" customFormat="1" customHeight="1" ht="11.549999999999999">
      <c r="A195" s="1011"/>
      <c r="B195" s="1660"/>
      <c r="C195" s="1660"/>
      <c r="D195" s="375"/>
      <c r="J195" s="1665"/>
      <c r="K195" s="1665"/>
      <c r="L195" s="1665"/>
      <c r="M195" s="1665"/>
      <c r="N195" s="1665"/>
      <c r="O195" s="1665"/>
      <c r="P195" s="1665"/>
      <c r="Q195" s="1665"/>
      <c r="R195" s="1665"/>
      <c r="S195" s="1665"/>
      <c r="T195" s="1665"/>
      <c r="U195" s="1665"/>
      <c r="V195" s="1665"/>
      <c r="W195" s="1665"/>
      <c r="Y195" s="1184"/>
      <c r="Z195" s="1660"/>
      <c r="AA195" s="1660"/>
      <c r="AB195" s="1184"/>
      <c r="AC195" s="1184"/>
      <c r="AD195" s="1184"/>
      <c r="AE195" s="1184"/>
      <c r="AF195" s="1660"/>
      <c r="AG195" s="1184"/>
      <c r="AH195" s="1184"/>
      <c r="AI195" s="568"/>
      <c r="AJ195" s="1184"/>
      <c r="AK195" s="1184"/>
      <c r="AL195" s="1184"/>
      <c r="AM195" s="1184"/>
      <c r="AN195" s="1184"/>
      <c r="AO195" s="1656"/>
      <c r="AP195" s="590"/>
      <c r="AQ195" s="590"/>
      <c r="AR195" s="590"/>
      <c r="AS195" s="590"/>
      <c r="AT195" s="1665">
        <v>11</v>
      </c>
    </row>
    <row s="1665" customFormat="1" customHeight="1" ht="11.549999999999999">
      <c r="A196" s="1011"/>
      <c r="B196" s="1660"/>
      <c r="C196" s="1660"/>
      <c r="D196" s="375"/>
      <c r="J196" s="1665"/>
      <c r="K196" s="1665"/>
      <c r="L196" s="1665"/>
      <c r="M196" s="1665"/>
      <c r="N196" s="1665"/>
      <c r="O196" s="1665"/>
      <c r="P196" s="1665"/>
      <c r="Q196" s="1665"/>
      <c r="R196" s="1665"/>
      <c r="S196" s="1665"/>
      <c r="T196" s="1665"/>
      <c r="U196" s="1665"/>
      <c r="V196" s="1665"/>
      <c r="W196" s="1665"/>
      <c r="Y196" s="1184"/>
      <c r="Z196" s="1660"/>
      <c r="AA196" s="1660"/>
      <c r="AB196" s="1184"/>
      <c r="AC196" s="1184"/>
      <c r="AD196" s="1184"/>
      <c r="AE196" s="1184"/>
      <c r="AF196" s="1660"/>
      <c r="AG196" s="1184"/>
      <c r="AH196" s="1184"/>
      <c r="AI196" s="568"/>
      <c r="AJ196" s="1184"/>
      <c r="AK196" s="1184"/>
      <c r="AL196" s="1184"/>
      <c r="AM196" s="1184"/>
      <c r="AN196" s="1184"/>
      <c r="AO196" s="1656"/>
      <c r="AP196" s="590"/>
      <c r="AQ196" s="590"/>
      <c r="AR196" s="590"/>
      <c r="AS196" s="590"/>
      <c r="AT196" s="1665">
        <v>11</v>
      </c>
    </row>
    <row s="1665" customFormat="1" customHeight="1" ht="11.549999999999999">
      <c r="A197" s="1011"/>
      <c r="B197" s="1660"/>
      <c r="C197" s="1660"/>
      <c r="D197" s="375"/>
      <c r="J197" s="1665"/>
      <c r="K197" s="1665"/>
      <c r="L197" s="1665"/>
      <c r="M197" s="1665"/>
      <c r="N197" s="1665"/>
      <c r="O197" s="1665"/>
      <c r="P197" s="1665"/>
      <c r="Q197" s="1665"/>
      <c r="R197" s="1665"/>
      <c r="S197" s="1665"/>
      <c r="T197" s="1665"/>
      <c r="U197" s="1665"/>
      <c r="V197" s="1665"/>
      <c r="W197" s="1665"/>
      <c r="Y197" s="1184"/>
      <c r="Z197" s="1660"/>
      <c r="AA197" s="1660"/>
      <c r="AB197" s="1184"/>
      <c r="AC197" s="1184"/>
      <c r="AD197" s="1184"/>
      <c r="AE197" s="1184"/>
      <c r="AF197" s="1660"/>
      <c r="AG197" s="1184"/>
      <c r="AH197" s="1184"/>
      <c r="AI197" s="568"/>
      <c r="AJ197" s="1184"/>
      <c r="AK197" s="1184"/>
      <c r="AL197" s="1184"/>
      <c r="AM197" s="1184"/>
      <c r="AN197" s="1184"/>
      <c r="AO197" s="1656"/>
      <c r="AP197" s="590"/>
      <c r="AQ197" s="590"/>
      <c r="AR197" s="590"/>
      <c r="AS197" s="590"/>
      <c r="AT197" s="1665">
        <v>11</v>
      </c>
    </row>
    <row s="1665" customFormat="1" customHeight="1" ht="11.549999999999999">
      <c r="A198" s="1011"/>
      <c r="B198" s="1660"/>
      <c r="C198" s="1660"/>
      <c r="D198" s="375"/>
      <c r="J198" s="1665"/>
      <c r="K198" s="1665"/>
      <c r="L198" s="1665"/>
      <c r="M198" s="1665"/>
      <c r="N198" s="1665"/>
      <c r="O198" s="1665"/>
      <c r="P198" s="1665"/>
      <c r="Q198" s="1665"/>
      <c r="R198" s="1665"/>
      <c r="S198" s="1665"/>
      <c r="T198" s="1665"/>
      <c r="U198" s="1665"/>
      <c r="V198" s="1665"/>
      <c r="W198" s="1665"/>
      <c r="Y198" s="1184"/>
      <c r="Z198" s="1660"/>
      <c r="AA198" s="1660"/>
      <c r="AB198" s="1184"/>
      <c r="AC198" s="1184"/>
      <c r="AD198" s="1184"/>
      <c r="AE198" s="1184"/>
      <c r="AF198" s="1660"/>
      <c r="AG198" s="1184"/>
      <c r="AH198" s="1184"/>
      <c r="AI198" s="568"/>
      <c r="AJ198" s="1184"/>
      <c r="AK198" s="1184"/>
      <c r="AL198" s="1184"/>
      <c r="AM198" s="1184"/>
      <c r="AN198" s="1184"/>
      <c r="AO198" s="1656"/>
      <c r="AP198" s="590"/>
      <c r="AQ198" s="590"/>
      <c r="AR198" s="590"/>
      <c r="AS198" s="590"/>
      <c r="AT198" s="1665">
        <v>11</v>
      </c>
    </row>
    <row s="1665" customFormat="1" customHeight="1" ht="11.549999999999999">
      <c r="A199" s="1011"/>
      <c r="B199" s="1660"/>
      <c r="C199" s="1660"/>
      <c r="D199" s="375"/>
      <c r="J199" s="1665"/>
      <c r="K199" s="1665"/>
      <c r="L199" s="1665"/>
      <c r="M199" s="1665"/>
      <c r="N199" s="1665"/>
      <c r="O199" s="1665"/>
      <c r="P199" s="1665"/>
      <c r="Q199" s="1665"/>
      <c r="R199" s="1665"/>
      <c r="S199" s="1665"/>
      <c r="T199" s="1665"/>
      <c r="U199" s="1665"/>
      <c r="V199" s="1665"/>
      <c r="W199" s="1665"/>
      <c r="Y199" s="1184"/>
      <c r="Z199" s="1660"/>
      <c r="AA199" s="1660"/>
      <c r="AB199" s="1184"/>
      <c r="AC199" s="1184"/>
      <c r="AD199" s="1184"/>
      <c r="AE199" s="1184"/>
      <c r="AF199" s="1660"/>
      <c r="AG199" s="1184"/>
      <c r="AH199" s="1184"/>
      <c r="AI199" s="568"/>
      <c r="AJ199" s="1184"/>
      <c r="AK199" s="1184"/>
      <c r="AL199" s="1184"/>
      <c r="AM199" s="1184"/>
      <c r="AN199" s="1184"/>
      <c r="AO199" s="1656"/>
      <c r="AP199" s="590"/>
      <c r="AQ199" s="590"/>
      <c r="AR199" s="590"/>
      <c r="AS199" s="590"/>
      <c r="AT199" s="1665">
        <v>11</v>
      </c>
    </row>
    <row s="1665" customFormat="1" customHeight="1" ht="11.549999999999999">
      <c r="A200" s="1011"/>
      <c r="B200" s="1660"/>
      <c r="C200" s="1660"/>
      <c r="D200" s="375"/>
      <c r="J200" s="1665"/>
      <c r="K200" s="1665"/>
      <c r="L200" s="1665"/>
      <c r="M200" s="1665"/>
      <c r="N200" s="1665"/>
      <c r="O200" s="1665"/>
      <c r="P200" s="1665"/>
      <c r="Q200" s="1665"/>
      <c r="R200" s="1665"/>
      <c r="S200" s="1665"/>
      <c r="T200" s="1665"/>
      <c r="U200" s="1665"/>
      <c r="V200" s="1665"/>
      <c r="W200" s="1665"/>
      <c r="Y200" s="1184"/>
      <c r="Z200" s="1660"/>
      <c r="AA200" s="1660"/>
      <c r="AB200" s="1184"/>
      <c r="AC200" s="1184"/>
      <c r="AD200" s="1184"/>
      <c r="AE200" s="1184"/>
      <c r="AF200" s="1660"/>
      <c r="AG200" s="1184"/>
      <c r="AH200" s="1184"/>
      <c r="AI200" s="568"/>
      <c r="AJ200" s="1184"/>
      <c r="AK200" s="1184"/>
      <c r="AL200" s="1184"/>
      <c r="AM200" s="1184"/>
      <c r="AN200" s="1184"/>
      <c r="AO200" s="1656"/>
      <c r="AP200" s="590"/>
      <c r="AQ200" s="590"/>
      <c r="AR200" s="590"/>
      <c r="AS200" s="590"/>
      <c r="AT200" s="1665">
        <v>11</v>
      </c>
    </row>
    <row s="1665" customFormat="1" customHeight="1" ht="11.549999999999999">
      <c r="A201" s="1011"/>
      <c r="B201" s="1660"/>
      <c r="C201" s="1660"/>
      <c r="D201" s="375"/>
      <c r="J201" s="1665"/>
      <c r="K201" s="1665"/>
      <c r="L201" s="1665"/>
      <c r="M201" s="1665"/>
      <c r="N201" s="1665"/>
      <c r="O201" s="1665"/>
      <c r="P201" s="1665"/>
      <c r="Q201" s="1665"/>
      <c r="R201" s="1665"/>
      <c r="S201" s="1665"/>
      <c r="T201" s="1665"/>
      <c r="U201" s="1665"/>
      <c r="V201" s="1665"/>
      <c r="W201" s="1665"/>
      <c r="Y201" s="1184"/>
      <c r="Z201" s="1660"/>
      <c r="AA201" s="1660"/>
      <c r="AB201" s="1184"/>
      <c r="AC201" s="1184"/>
      <c r="AD201" s="1184"/>
      <c r="AE201" s="1184"/>
      <c r="AF201" s="1660"/>
      <c r="AG201" s="1184"/>
      <c r="AH201" s="1184"/>
      <c r="AI201" s="568"/>
      <c r="AJ201" s="1184"/>
      <c r="AK201" s="1184"/>
      <c r="AL201" s="1184"/>
      <c r="AM201" s="1184"/>
      <c r="AN201" s="1184"/>
      <c r="AO201" s="1656"/>
      <c r="AP201" s="590"/>
      <c r="AQ201" s="590"/>
      <c r="AR201" s="590"/>
      <c r="AS201" s="590"/>
      <c r="AT201" s="1665">
        <v>11</v>
      </c>
    </row>
    <row s="1665" customFormat="1" customHeight="1" ht="11.549999999999999">
      <c r="A202" s="1011"/>
      <c r="B202" s="1660"/>
      <c r="C202" s="1660"/>
      <c r="D202" s="375"/>
      <c r="J202" s="1665"/>
      <c r="K202" s="1665"/>
      <c r="L202" s="1665"/>
      <c r="M202" s="1665"/>
      <c r="N202" s="1665"/>
      <c r="O202" s="1665"/>
      <c r="P202" s="1665"/>
      <c r="Q202" s="1665"/>
      <c r="R202" s="1665"/>
      <c r="S202" s="1665"/>
      <c r="T202" s="1665"/>
      <c r="U202" s="1665"/>
      <c r="V202" s="1665"/>
      <c r="W202" s="1665"/>
      <c r="Y202" s="1184"/>
      <c r="Z202" s="1660"/>
      <c r="AA202" s="1660"/>
      <c r="AB202" s="1184"/>
      <c r="AC202" s="1184"/>
      <c r="AD202" s="1184"/>
      <c r="AE202" s="1184"/>
      <c r="AF202" s="1660"/>
      <c r="AG202" s="1184"/>
      <c r="AH202" s="1184"/>
      <c r="AI202" s="568"/>
      <c r="AJ202" s="1184"/>
      <c r="AK202" s="1184"/>
      <c r="AL202" s="1184"/>
      <c r="AM202" s="1184"/>
      <c r="AN202" s="1184"/>
      <c r="AO202" s="1656"/>
      <c r="AP202" s="590"/>
      <c r="AQ202" s="590"/>
      <c r="AR202" s="590"/>
      <c r="AS202" s="590"/>
      <c r="AT202" s="1665">
        <v>11</v>
      </c>
    </row>
    <row s="1665" customFormat="1" customHeight="1" ht="11.549999999999999">
      <c r="A203" s="1011"/>
      <c r="B203" s="1660"/>
      <c r="C203" s="1660"/>
      <c r="D203" s="375"/>
      <c r="J203" s="1665"/>
      <c r="K203" s="1665"/>
      <c r="L203" s="1665"/>
      <c r="M203" s="1665"/>
      <c r="N203" s="1665"/>
      <c r="O203" s="1665"/>
      <c r="P203" s="1665"/>
      <c r="Q203" s="1665"/>
      <c r="R203" s="1665"/>
      <c r="S203" s="1665"/>
      <c r="T203" s="1665"/>
      <c r="U203" s="1665"/>
      <c r="V203" s="1665"/>
      <c r="W203" s="1665"/>
      <c r="Y203" s="1184"/>
      <c r="Z203" s="1660"/>
      <c r="AA203" s="1660"/>
      <c r="AB203" s="1184"/>
      <c r="AC203" s="1184"/>
      <c r="AD203" s="1184"/>
      <c r="AE203" s="1184"/>
      <c r="AF203" s="1660"/>
      <c r="AG203" s="1184"/>
      <c r="AH203" s="1184"/>
      <c r="AI203" s="568"/>
      <c r="AJ203" s="1184"/>
      <c r="AK203" s="1184"/>
      <c r="AL203" s="1184"/>
      <c r="AM203" s="1184"/>
      <c r="AN203" s="1184"/>
      <c r="AO203" s="1656"/>
      <c r="AP203" s="590"/>
      <c r="AQ203" s="590"/>
      <c r="AR203" s="590"/>
      <c r="AS203" s="590"/>
      <c r="AT203" s="1665">
        <v>11</v>
      </c>
    </row>
    <row s="1665" customFormat="1" customHeight="1" ht="11.549999999999999">
      <c r="A204" s="1011"/>
      <c r="B204" s="1660"/>
      <c r="C204" s="1660"/>
      <c r="D204" s="375"/>
      <c r="J204" s="1665"/>
      <c r="K204" s="1665"/>
      <c r="L204" s="1665"/>
      <c r="M204" s="1665"/>
      <c r="N204" s="1665"/>
      <c r="O204" s="1665"/>
      <c r="P204" s="1665"/>
      <c r="Q204" s="1665"/>
      <c r="R204" s="1665"/>
      <c r="S204" s="1665"/>
      <c r="T204" s="1665"/>
      <c r="U204" s="1665"/>
      <c r="V204" s="1665"/>
      <c r="W204" s="1665"/>
      <c r="Y204" s="1184"/>
      <c r="Z204" s="1660"/>
      <c r="AA204" s="1660"/>
      <c r="AB204" s="1184"/>
      <c r="AC204" s="1184"/>
      <c r="AD204" s="1184"/>
      <c r="AE204" s="1184"/>
      <c r="AF204" s="1660"/>
      <c r="AG204" s="1184"/>
      <c r="AH204" s="1184"/>
      <c r="AI204" s="568"/>
      <c r="AJ204" s="1184"/>
      <c r="AK204" s="1184"/>
      <c r="AL204" s="1184"/>
      <c r="AM204" s="1184"/>
      <c r="AN204" s="1184"/>
      <c r="AO204" s="1656"/>
      <c r="AP204" s="590"/>
      <c r="AQ204" s="590"/>
      <c r="AR204" s="590"/>
      <c r="AS204" s="590"/>
      <c r="AT204" s="1665">
        <v>11</v>
      </c>
    </row>
    <row s="1665" customFormat="1" customHeight="1" ht="11.549999999999999">
      <c r="A205" s="1011"/>
      <c r="B205" s="1660"/>
      <c r="C205" s="1660"/>
      <c r="D205" s="375"/>
      <c r="J205" s="1665"/>
      <c r="K205" s="1665"/>
      <c r="L205" s="1665"/>
      <c r="M205" s="1665"/>
      <c r="N205" s="1665"/>
      <c r="O205" s="1665"/>
      <c r="P205" s="1665"/>
      <c r="Q205" s="1665"/>
      <c r="R205" s="1665"/>
      <c r="S205" s="1665"/>
      <c r="T205" s="1665"/>
      <c r="U205" s="1665"/>
      <c r="V205" s="1665"/>
      <c r="W205" s="1665"/>
      <c r="Y205" s="1184"/>
      <c r="Z205" s="1660"/>
      <c r="AA205" s="1660"/>
      <c r="AB205" s="1184"/>
      <c r="AC205" s="1184"/>
      <c r="AD205" s="1184"/>
      <c r="AE205" s="1184"/>
      <c r="AF205" s="1660"/>
      <c r="AG205" s="1184"/>
      <c r="AH205" s="1184"/>
      <c r="AI205" s="568"/>
      <c r="AJ205" s="1184"/>
      <c r="AK205" s="1184"/>
      <c r="AL205" s="1184"/>
      <c r="AM205" s="1184"/>
      <c r="AN205" s="1184"/>
      <c r="AO205" s="1656"/>
      <c r="AP205" s="590"/>
      <c r="AQ205" s="590"/>
      <c r="AR205" s="590"/>
      <c r="AS205" s="590"/>
      <c r="AT205" s="1665">
        <v>11</v>
      </c>
    </row>
    <row s="1665" customFormat="1" customHeight="1" ht="11.549999999999999">
      <c r="A206" s="1011"/>
      <c r="B206" s="1660"/>
      <c r="C206" s="1660"/>
      <c r="D206" s="375"/>
      <c r="J206" s="1665"/>
      <c r="K206" s="1665"/>
      <c r="L206" s="1665"/>
      <c r="M206" s="1665"/>
      <c r="N206" s="1665"/>
      <c r="O206" s="1665"/>
      <c r="P206" s="1665"/>
      <c r="Q206" s="1665"/>
      <c r="R206" s="1665"/>
      <c r="S206" s="1665"/>
      <c r="T206" s="1665"/>
      <c r="U206" s="1665"/>
      <c r="V206" s="1665"/>
      <c r="W206" s="1665"/>
      <c r="Y206" s="1184"/>
      <c r="Z206" s="1660"/>
      <c r="AA206" s="1660"/>
      <c r="AB206" s="1184"/>
      <c r="AC206" s="1184"/>
      <c r="AD206" s="1184"/>
      <c r="AE206" s="1184"/>
      <c r="AF206" s="1660"/>
      <c r="AG206" s="1184"/>
      <c r="AH206" s="1184"/>
      <c r="AI206" s="568"/>
      <c r="AJ206" s="1184"/>
      <c r="AK206" s="1184"/>
      <c r="AL206" s="1184"/>
      <c r="AM206" s="1184"/>
      <c r="AN206" s="1184"/>
      <c r="AO206" s="1656"/>
      <c r="AP206" s="590"/>
      <c r="AQ206" s="590"/>
      <c r="AR206" s="590"/>
      <c r="AS206" s="590"/>
      <c r="AT206" s="1665">
        <v>11</v>
      </c>
    </row>
    <row s="1665" customFormat="1" customHeight="1" ht="11.549999999999999">
      <c r="A207" s="1011"/>
      <c r="B207" s="1660"/>
      <c r="C207" s="1660"/>
      <c r="D207" s="375"/>
      <c r="J207" s="1665"/>
      <c r="K207" s="1665"/>
      <c r="L207" s="1665"/>
      <c r="M207" s="1665"/>
      <c r="N207" s="1665"/>
      <c r="O207" s="1665"/>
      <c r="P207" s="1665"/>
      <c r="Q207" s="1665"/>
      <c r="R207" s="1665"/>
      <c r="S207" s="1665"/>
      <c r="T207" s="1665"/>
      <c r="U207" s="1665"/>
      <c r="V207" s="1665"/>
      <c r="W207" s="1665"/>
      <c r="Y207" s="1184"/>
      <c r="Z207" s="1660"/>
      <c r="AA207" s="1660"/>
      <c r="AB207" s="1184"/>
      <c r="AC207" s="1184"/>
      <c r="AD207" s="1184"/>
      <c r="AE207" s="1184"/>
      <c r="AF207" s="1660"/>
      <c r="AG207" s="1184"/>
      <c r="AH207" s="1184"/>
      <c r="AI207" s="568"/>
      <c r="AJ207" s="1184"/>
      <c r="AK207" s="1184"/>
      <c r="AL207" s="1184"/>
      <c r="AM207" s="1184"/>
      <c r="AN207" s="1184"/>
      <c r="AO207" s="1656"/>
      <c r="AP207" s="590"/>
      <c r="AQ207" s="590"/>
      <c r="AR207" s="590"/>
      <c r="AS207" s="590"/>
      <c r="AT207" s="1665">
        <v>11</v>
      </c>
    </row>
    <row s="1665" customFormat="1" customHeight="1" ht="11.549999999999999">
      <c r="A208" s="1011"/>
      <c r="B208" s="1660"/>
      <c r="C208" s="1660"/>
      <c r="D208" s="375"/>
      <c r="J208" s="1665"/>
      <c r="K208" s="1665"/>
      <c r="L208" s="1665"/>
      <c r="M208" s="1665"/>
      <c r="N208" s="1665"/>
      <c r="O208" s="1665"/>
      <c r="P208" s="1665"/>
      <c r="Q208" s="1665"/>
      <c r="R208" s="1665"/>
      <c r="S208" s="1665"/>
      <c r="T208" s="1665"/>
      <c r="U208" s="1665"/>
      <c r="V208" s="1665"/>
      <c r="W208" s="1665"/>
      <c r="Y208" s="1184"/>
      <c r="Z208" s="1660"/>
      <c r="AA208" s="1660"/>
      <c r="AB208" s="1184"/>
      <c r="AC208" s="1184"/>
      <c r="AD208" s="1184"/>
      <c r="AE208" s="1184"/>
      <c r="AF208" s="1660"/>
      <c r="AG208" s="1184"/>
      <c r="AH208" s="1184"/>
      <c r="AI208" s="568"/>
      <c r="AJ208" s="1184"/>
      <c r="AK208" s="1184"/>
      <c r="AL208" s="1184"/>
      <c r="AM208" s="1184"/>
      <c r="AN208" s="1184"/>
      <c r="AO208" s="1656"/>
      <c r="AP208" s="590"/>
      <c r="AQ208" s="590"/>
      <c r="AR208" s="590"/>
      <c r="AS208" s="590"/>
      <c r="AT208" s="1665">
        <v>11</v>
      </c>
    </row>
    <row s="1665" customFormat="1" customHeight="1" ht="11.549999999999999">
      <c r="A209" s="1011"/>
      <c r="B209" s="1660"/>
      <c r="C209" s="1660"/>
      <c r="D209" s="375"/>
      <c r="J209" s="1665"/>
      <c r="K209" s="1665"/>
      <c r="L209" s="1665"/>
      <c r="M209" s="1665"/>
      <c r="N209" s="1665"/>
      <c r="O209" s="1665"/>
      <c r="P209" s="1665"/>
      <c r="Q209" s="1665"/>
      <c r="R209" s="1665"/>
      <c r="S209" s="1665"/>
      <c r="T209" s="1665"/>
      <c r="U209" s="1665"/>
      <c r="V209" s="1665"/>
      <c r="W209" s="1665"/>
      <c r="Y209" s="1184"/>
      <c r="Z209" s="1660"/>
      <c r="AA209" s="1660"/>
      <c r="AB209" s="1184"/>
      <c r="AC209" s="1184"/>
      <c r="AD209" s="1184"/>
      <c r="AE209" s="1184"/>
      <c r="AF209" s="1660"/>
      <c r="AG209" s="1184"/>
      <c r="AH209" s="1184"/>
      <c r="AI209" s="568"/>
      <c r="AJ209" s="1184"/>
      <c r="AK209" s="1184"/>
      <c r="AL209" s="1184"/>
      <c r="AM209" s="1184"/>
      <c r="AN209" s="1184"/>
      <c r="AO209" s="1656"/>
      <c r="AP209" s="590"/>
      <c r="AQ209" s="590"/>
      <c r="AR209" s="590"/>
      <c r="AS209" s="590"/>
      <c r="AT209" s="1665">
        <v>11</v>
      </c>
    </row>
    <row s="1665" customFormat="1" customHeight="1" ht="11.549999999999999">
      <c r="A210" s="1011"/>
      <c r="B210" s="1660"/>
      <c r="C210" s="1660"/>
      <c r="D210" s="375"/>
      <c r="J210" s="1665"/>
      <c r="K210" s="1665"/>
      <c r="L210" s="1665"/>
      <c r="M210" s="1665"/>
      <c r="N210" s="1665"/>
      <c r="O210" s="1665"/>
      <c r="P210" s="1665"/>
      <c r="Q210" s="1665"/>
      <c r="R210" s="1665"/>
      <c r="S210" s="1665"/>
      <c r="T210" s="1665"/>
      <c r="U210" s="1665"/>
      <c r="V210" s="1665"/>
      <c r="W210" s="1665"/>
      <c r="Y210" s="1184"/>
      <c r="Z210" s="1660"/>
      <c r="AA210" s="1660"/>
      <c r="AB210" s="1184"/>
      <c r="AC210" s="1184"/>
      <c r="AD210" s="1184"/>
      <c r="AE210" s="1184"/>
      <c r="AF210" s="1660"/>
      <c r="AG210" s="1184"/>
      <c r="AH210" s="1184"/>
      <c r="AI210" s="568"/>
      <c r="AJ210" s="1184"/>
      <c r="AK210" s="1184"/>
      <c r="AL210" s="1184"/>
      <c r="AM210" s="1184"/>
      <c r="AN210" s="1184"/>
      <c r="AO210" s="1656"/>
      <c r="AP210" s="590"/>
      <c r="AQ210" s="590"/>
      <c r="AR210" s="590"/>
      <c r="AS210" s="590"/>
      <c r="AT210" s="1665">
        <v>11</v>
      </c>
    </row>
    <row s="1665" customFormat="1" customHeight="1" ht="11.549999999999999">
      <c r="A211" s="1011"/>
      <c r="B211" s="1660"/>
      <c r="C211" s="1660"/>
      <c r="D211" s="375"/>
      <c r="J211" s="1665"/>
      <c r="K211" s="1665"/>
      <c r="L211" s="1665"/>
      <c r="M211" s="1665"/>
      <c r="N211" s="1665"/>
      <c r="O211" s="1665"/>
      <c r="P211" s="1665"/>
      <c r="Q211" s="1665"/>
      <c r="R211" s="1665"/>
      <c r="S211" s="1665"/>
      <c r="T211" s="1665"/>
      <c r="U211" s="1665"/>
      <c r="V211" s="1665"/>
      <c r="W211" s="1665"/>
      <c r="Y211" s="1184"/>
      <c r="Z211" s="1660"/>
      <c r="AA211" s="1660"/>
      <c r="AB211" s="1184"/>
      <c r="AC211" s="1184"/>
      <c r="AD211" s="1184"/>
      <c r="AE211" s="1184"/>
      <c r="AF211" s="1660"/>
      <c r="AG211" s="1184"/>
      <c r="AH211" s="1184"/>
      <c r="AI211" s="568"/>
      <c r="AJ211" s="1184"/>
      <c r="AK211" s="1184"/>
      <c r="AL211" s="1184"/>
      <c r="AM211" s="1184"/>
      <c r="AN211" s="1184"/>
      <c r="AO211" s="1656"/>
      <c r="AP211" s="590"/>
      <c r="AQ211" s="590"/>
      <c r="AR211" s="590"/>
      <c r="AS211" s="590"/>
      <c r="AT211" s="1665">
        <v>11</v>
      </c>
    </row>
    <row s="1665" customFormat="1" customHeight="1" ht="11.549999999999999">
      <c r="A212" s="1011"/>
      <c r="B212" s="1660"/>
      <c r="C212" s="1660"/>
      <c r="D212" s="375"/>
      <c r="J212" s="1665"/>
      <c r="K212" s="1665"/>
      <c r="L212" s="1665"/>
      <c r="M212" s="1665"/>
      <c r="N212" s="1665"/>
      <c r="O212" s="1665"/>
      <c r="P212" s="1665"/>
      <c r="Q212" s="1665"/>
      <c r="R212" s="1665"/>
      <c r="S212" s="1665"/>
      <c r="T212" s="1665"/>
      <c r="U212" s="1665"/>
      <c r="V212" s="1665"/>
      <c r="W212" s="1665"/>
      <c r="Y212" s="1184"/>
      <c r="Z212" s="1660"/>
      <c r="AA212" s="1660"/>
      <c r="AB212" s="1184"/>
      <c r="AC212" s="1184"/>
      <c r="AD212" s="1184"/>
      <c r="AE212" s="1184"/>
      <c r="AF212" s="1660"/>
      <c r="AG212" s="1184"/>
      <c r="AH212" s="1184"/>
      <c r="AI212" s="568"/>
      <c r="AJ212" s="1184"/>
      <c r="AK212" s="1184"/>
      <c r="AL212" s="1184"/>
      <c r="AM212" s="1184"/>
      <c r="AN212" s="1184"/>
      <c r="AO212" s="1656"/>
      <c r="AP212" s="590"/>
      <c r="AQ212" s="590"/>
      <c r="AR212" s="590"/>
      <c r="AS212" s="590"/>
      <c r="AT212" s="1665">
        <v>11</v>
      </c>
    </row>
    <row s="1665" customFormat="1" customHeight="1" ht="11.549999999999999">
      <c r="A213" s="1011"/>
      <c r="B213" s="1660"/>
      <c r="C213" s="1660"/>
      <c r="D213" s="375"/>
      <c r="J213" s="1665"/>
      <c r="K213" s="1665"/>
      <c r="L213" s="1665"/>
      <c r="M213" s="1665"/>
      <c r="N213" s="1665"/>
      <c r="O213" s="1665"/>
      <c r="P213" s="1665"/>
      <c r="Q213" s="1665"/>
      <c r="R213" s="1665"/>
      <c r="S213" s="1665"/>
      <c r="T213" s="1665"/>
      <c r="U213" s="1665"/>
      <c r="V213" s="1665"/>
      <c r="W213" s="1665"/>
      <c r="Y213" s="1184"/>
      <c r="Z213" s="1660"/>
      <c r="AA213" s="1660"/>
      <c r="AB213" s="1184"/>
      <c r="AC213" s="1184"/>
      <c r="AD213" s="1184"/>
      <c r="AE213" s="1184"/>
      <c r="AF213" s="1660"/>
      <c r="AG213" s="1184"/>
      <c r="AH213" s="1184"/>
      <c r="AI213" s="568"/>
      <c r="AJ213" s="1184"/>
      <c r="AK213" s="1184"/>
      <c r="AL213" s="1184"/>
      <c r="AM213" s="1184"/>
      <c r="AN213" s="1184"/>
      <c r="AO213" s="1656"/>
      <c r="AP213" s="590"/>
      <c r="AQ213" s="590"/>
      <c r="AR213" s="590"/>
      <c r="AS213" s="590"/>
      <c r="AT213" s="1665">
        <v>11</v>
      </c>
    </row>
    <row s="1665" customFormat="1" customHeight="1" ht="11.549999999999999">
      <c r="A214" s="1011"/>
      <c r="B214" s="1660"/>
      <c r="C214" s="1660"/>
      <c r="D214" s="375"/>
      <c r="J214" s="1665"/>
      <c r="K214" s="1665"/>
      <c r="L214" s="1665"/>
      <c r="M214" s="1665"/>
      <c r="N214" s="1665"/>
      <c r="O214" s="1665"/>
      <c r="P214" s="1665"/>
      <c r="Q214" s="1665"/>
      <c r="R214" s="1665"/>
      <c r="S214" s="1665"/>
      <c r="T214" s="1665"/>
      <c r="U214" s="1665"/>
      <c r="V214" s="1665"/>
      <c r="W214" s="1665"/>
      <c r="Y214" s="1184"/>
      <c r="Z214" s="1660"/>
      <c r="AA214" s="1660"/>
      <c r="AB214" s="1184"/>
      <c r="AC214" s="1184"/>
      <c r="AD214" s="1184"/>
      <c r="AE214" s="1184"/>
      <c r="AF214" s="1660"/>
      <c r="AG214" s="1184"/>
      <c r="AH214" s="1184"/>
      <c r="AI214" s="568"/>
      <c r="AJ214" s="1184"/>
      <c r="AK214" s="1184"/>
      <c r="AL214" s="1184"/>
      <c r="AM214" s="1184"/>
      <c r="AN214" s="1184"/>
      <c r="AO214" s="1656"/>
      <c r="AP214" s="590"/>
      <c r="AQ214" s="590"/>
      <c r="AR214" s="590"/>
      <c r="AS214" s="590"/>
      <c r="AT214" s="1665">
        <v>11</v>
      </c>
    </row>
    <row s="1665" customFormat="1" customHeight="1" ht="11.549999999999999">
      <c r="A215" s="1011"/>
      <c r="B215" s="1660"/>
      <c r="C215" s="1660"/>
      <c r="D215" s="375"/>
      <c r="J215" s="1665"/>
      <c r="K215" s="1665"/>
      <c r="L215" s="1665"/>
      <c r="M215" s="1665"/>
      <c r="N215" s="1665"/>
      <c r="O215" s="1665"/>
      <c r="P215" s="1665"/>
      <c r="Q215" s="1665"/>
      <c r="R215" s="1665"/>
      <c r="S215" s="1665"/>
      <c r="T215" s="1665"/>
      <c r="U215" s="1665"/>
      <c r="V215" s="1665"/>
      <c r="W215" s="1665"/>
      <c r="Y215" s="1184"/>
      <c r="Z215" s="1660"/>
      <c r="AA215" s="1660"/>
      <c r="AB215" s="1184"/>
      <c r="AC215" s="1184"/>
      <c r="AD215" s="1184"/>
      <c r="AE215" s="1184"/>
      <c r="AF215" s="1660"/>
      <c r="AG215" s="1184"/>
      <c r="AH215" s="1184"/>
      <c r="AI215" s="568"/>
      <c r="AJ215" s="1184"/>
      <c r="AK215" s="1184"/>
      <c r="AL215" s="1184"/>
      <c r="AM215" s="1184"/>
      <c r="AN215" s="1184"/>
      <c r="AO215" s="1656"/>
      <c r="AP215" s="590"/>
      <c r="AQ215" s="590"/>
      <c r="AR215" s="590"/>
      <c r="AS215" s="590"/>
      <c r="AT215" s="1665">
        <v>11</v>
      </c>
    </row>
    <row s="1665" customFormat="1" customHeight="1" ht="11.549999999999999">
      <c r="A216" s="1011"/>
      <c r="B216" s="1660"/>
      <c r="C216" s="1660"/>
      <c r="D216" s="375"/>
      <c r="J216" s="1665"/>
      <c r="K216" s="1665"/>
      <c r="L216" s="1665"/>
      <c r="M216" s="1665"/>
      <c r="N216" s="1665"/>
      <c r="O216" s="1665"/>
      <c r="P216" s="1665"/>
      <c r="Q216" s="1665"/>
      <c r="R216" s="1665"/>
      <c r="S216" s="1665"/>
      <c r="T216" s="1665"/>
      <c r="U216" s="1665"/>
      <c r="V216" s="1665"/>
      <c r="W216" s="1665"/>
      <c r="Y216" s="1184"/>
      <c r="Z216" s="1660"/>
      <c r="AA216" s="1660"/>
      <c r="AB216" s="1184"/>
      <c r="AC216" s="1184"/>
      <c r="AD216" s="1184"/>
      <c r="AE216" s="1184"/>
      <c r="AF216" s="1660"/>
      <c r="AG216" s="1184"/>
      <c r="AH216" s="1184"/>
      <c r="AI216" s="568"/>
      <c r="AJ216" s="1184"/>
      <c r="AK216" s="1184"/>
      <c r="AL216" s="1184"/>
      <c r="AM216" s="1184"/>
      <c r="AN216" s="1184"/>
      <c r="AO216" s="1656"/>
      <c r="AP216" s="590"/>
      <c r="AQ216" s="590"/>
      <c r="AR216" s="590"/>
      <c r="AS216" s="590"/>
      <c r="AT216" s="1665">
        <v>11</v>
      </c>
    </row>
    <row s="1665" customFormat="1" customHeight="1" ht="11.549999999999999">
      <c r="A217" s="1011"/>
      <c r="B217" s="1660"/>
      <c r="C217" s="1660"/>
      <c r="D217" s="375"/>
      <c r="J217" s="1665"/>
      <c r="K217" s="1665"/>
      <c r="L217" s="1665"/>
      <c r="M217" s="1665"/>
      <c r="N217" s="1665"/>
      <c r="O217" s="1665"/>
      <c r="P217" s="1665"/>
      <c r="Q217" s="1665"/>
      <c r="R217" s="1665"/>
      <c r="S217" s="1665"/>
      <c r="T217" s="1665"/>
      <c r="U217" s="1665"/>
      <c r="V217" s="1665"/>
      <c r="W217" s="1665"/>
      <c r="Y217" s="1184"/>
      <c r="Z217" s="1660"/>
      <c r="AA217" s="1660"/>
      <c r="AB217" s="1184"/>
      <c r="AC217" s="1184"/>
      <c r="AD217" s="1184"/>
      <c r="AE217" s="1184"/>
      <c r="AF217" s="1660"/>
      <c r="AG217" s="1184"/>
      <c r="AH217" s="1184"/>
      <c r="AI217" s="568"/>
      <c r="AJ217" s="1184"/>
      <c r="AK217" s="1184"/>
      <c r="AL217" s="1184"/>
      <c r="AM217" s="1184"/>
      <c r="AN217" s="1184"/>
      <c r="AO217" s="1656"/>
      <c r="AP217" s="590"/>
      <c r="AQ217" s="590"/>
      <c r="AR217" s="590"/>
      <c r="AS217" s="590"/>
      <c r="AT217" s="1665">
        <v>11</v>
      </c>
    </row>
    <row s="1665" customFormat="1" customHeight="1" ht="11.549999999999999">
      <c r="A218" s="1011"/>
      <c r="B218" s="1660"/>
      <c r="C218" s="1660"/>
      <c r="D218" s="375"/>
      <c r="J218" s="1665"/>
      <c r="K218" s="1665"/>
      <c r="L218" s="1665"/>
      <c r="M218" s="1665"/>
      <c r="N218" s="1665"/>
      <c r="O218" s="1665"/>
      <c r="P218" s="1665"/>
      <c r="Q218" s="1665"/>
      <c r="R218" s="1665"/>
      <c r="S218" s="1665"/>
      <c r="T218" s="1665"/>
      <c r="U218" s="1665"/>
      <c r="V218" s="1665"/>
      <c r="W218" s="1665"/>
      <c r="Y218" s="1184"/>
      <c r="Z218" s="1660"/>
      <c r="AA218" s="1660"/>
      <c r="AB218" s="1184"/>
      <c r="AC218" s="1184"/>
      <c r="AD218" s="1184"/>
      <c r="AE218" s="1184"/>
      <c r="AF218" s="1660"/>
      <c r="AG218" s="1184"/>
      <c r="AH218" s="1184"/>
      <c r="AI218" s="568"/>
      <c r="AJ218" s="1184"/>
      <c r="AK218" s="1184"/>
      <c r="AL218" s="1184"/>
      <c r="AM218" s="1184"/>
      <c r="AN218" s="1184"/>
      <c r="AO218" s="1656"/>
      <c r="AP218" s="590"/>
      <c r="AQ218" s="590"/>
      <c r="AR218" s="590"/>
      <c r="AS218" s="590"/>
      <c r="AT218" s="1665">
        <v>11</v>
      </c>
    </row>
    <row s="1665" customFormat="1" customHeight="1" ht="11.549999999999999">
      <c r="A219" s="1011"/>
      <c r="B219" s="1660"/>
      <c r="C219" s="1660"/>
      <c r="D219" s="375"/>
      <c r="J219" s="1665"/>
      <c r="K219" s="1665"/>
      <c r="L219" s="1665"/>
      <c r="M219" s="1665"/>
      <c r="N219" s="1665"/>
      <c r="O219" s="1665"/>
      <c r="P219" s="1665"/>
      <c r="Q219" s="1665"/>
      <c r="R219" s="1665"/>
      <c r="S219" s="1665"/>
      <c r="T219" s="1665"/>
      <c r="U219" s="1665"/>
      <c r="V219" s="1665"/>
      <c r="W219" s="1665"/>
      <c r="Y219" s="1184"/>
      <c r="Z219" s="1660"/>
      <c r="AA219" s="1660"/>
      <c r="AB219" s="1184"/>
      <c r="AC219" s="1184"/>
      <c r="AD219" s="1184"/>
      <c r="AE219" s="1184"/>
      <c r="AF219" s="1660"/>
      <c r="AG219" s="1184"/>
      <c r="AH219" s="1184"/>
      <c r="AI219" s="568"/>
      <c r="AJ219" s="1184"/>
      <c r="AK219" s="1184"/>
      <c r="AL219" s="1184"/>
      <c r="AM219" s="1184"/>
      <c r="AN219" s="1184"/>
      <c r="AO219" s="1656"/>
      <c r="AP219" s="590"/>
      <c r="AQ219" s="590"/>
      <c r="AR219" s="590"/>
      <c r="AS219" s="590"/>
      <c r="AT219" s="1665">
        <v>11</v>
      </c>
    </row>
    <row s="1665" customFormat="1" customHeight="1" ht="11.549999999999999">
      <c r="A220" s="1011"/>
      <c r="B220" s="1660"/>
      <c r="C220" s="1660"/>
      <c r="D220" s="375"/>
      <c r="J220" s="1665"/>
      <c r="K220" s="1665"/>
      <c r="L220" s="1665"/>
      <c r="M220" s="1665"/>
      <c r="N220" s="1665"/>
      <c r="O220" s="1665"/>
      <c r="P220" s="1665"/>
      <c r="Q220" s="1665"/>
      <c r="R220" s="1665"/>
      <c r="S220" s="1665"/>
      <c r="T220" s="1665"/>
      <c r="U220" s="1665"/>
      <c r="V220" s="1665"/>
      <c r="W220" s="1665"/>
      <c r="Y220" s="1184"/>
      <c r="Z220" s="1660"/>
      <c r="AA220" s="1660"/>
      <c r="AB220" s="1184"/>
      <c r="AC220" s="1184"/>
      <c r="AD220" s="1184"/>
      <c r="AE220" s="1184"/>
      <c r="AF220" s="1660"/>
      <c r="AG220" s="1184"/>
      <c r="AH220" s="1184"/>
      <c r="AI220" s="568"/>
      <c r="AJ220" s="1184"/>
      <c r="AK220" s="1184"/>
      <c r="AL220" s="1184"/>
      <c r="AM220" s="1184"/>
      <c r="AN220" s="1184"/>
      <c r="AO220" s="1656"/>
      <c r="AP220" s="590"/>
      <c r="AQ220" s="590"/>
      <c r="AR220" s="590"/>
      <c r="AS220" s="590"/>
      <c r="AT220" s="1665">
        <v>11</v>
      </c>
    </row>
    <row s="1665" customFormat="1" customHeight="1" ht="11.549999999999999">
      <c r="A221" s="1011"/>
      <c r="B221" s="1660"/>
      <c r="C221" s="1660"/>
      <c r="D221" s="375"/>
      <c r="J221" s="1665"/>
      <c r="K221" s="1665"/>
      <c r="L221" s="1665"/>
      <c r="M221" s="1665"/>
      <c r="N221" s="1665"/>
      <c r="O221" s="1665"/>
      <c r="P221" s="1665"/>
      <c r="Q221" s="1665"/>
      <c r="R221" s="1665"/>
      <c r="S221" s="1665"/>
      <c r="T221" s="1665"/>
      <c r="U221" s="1665"/>
      <c r="V221" s="1665"/>
      <c r="W221" s="1665"/>
      <c r="Y221" s="1184"/>
      <c r="Z221" s="1660"/>
      <c r="AA221" s="1660"/>
      <c r="AB221" s="1184"/>
      <c r="AC221" s="1184"/>
      <c r="AD221" s="1184"/>
      <c r="AE221" s="1184"/>
      <c r="AF221" s="1660"/>
      <c r="AG221" s="1184"/>
      <c r="AH221" s="1184"/>
      <c r="AI221" s="568"/>
      <c r="AJ221" s="1184"/>
      <c r="AK221" s="1184"/>
      <c r="AL221" s="1184"/>
      <c r="AM221" s="1184"/>
      <c r="AN221" s="1184"/>
      <c r="AO221" s="1656"/>
      <c r="AP221" s="590"/>
      <c r="AQ221" s="590"/>
      <c r="AR221" s="590"/>
      <c r="AS221" s="590"/>
      <c r="AT221" s="1665">
        <v>11</v>
      </c>
    </row>
    <row s="1665" customFormat="1" customHeight="1" ht="11.549999999999999">
      <c r="A222" s="1011"/>
      <c r="B222" s="1660"/>
      <c r="C222" s="1660"/>
      <c r="D222" s="375"/>
      <c r="J222" s="1665"/>
      <c r="K222" s="1665"/>
      <c r="L222" s="1665"/>
      <c r="M222" s="1665"/>
      <c r="N222" s="1665"/>
      <c r="O222" s="1665"/>
      <c r="P222" s="1665"/>
      <c r="Q222" s="1665"/>
      <c r="R222" s="1665"/>
      <c r="S222" s="1665"/>
      <c r="T222" s="1665"/>
      <c r="U222" s="1665"/>
      <c r="V222" s="1665"/>
      <c r="W222" s="1665"/>
      <c r="Y222" s="1184"/>
      <c r="Z222" s="1660"/>
      <c r="AA222" s="1660"/>
      <c r="AB222" s="1184"/>
      <c r="AC222" s="1184"/>
      <c r="AD222" s="1184"/>
      <c r="AE222" s="1184"/>
      <c r="AF222" s="1660"/>
      <c r="AG222" s="1184"/>
      <c r="AH222" s="1184"/>
      <c r="AI222" s="568"/>
      <c r="AJ222" s="1184"/>
      <c r="AK222" s="1184"/>
      <c r="AL222" s="1184"/>
      <c r="AM222" s="1184"/>
      <c r="AN222" s="1184"/>
      <c r="AO222" s="1656"/>
      <c r="AP222" s="590"/>
      <c r="AQ222" s="590"/>
      <c r="AR222" s="590"/>
      <c r="AS222" s="590"/>
      <c r="AT222" s="1665">
        <v>11</v>
      </c>
    </row>
    <row s="1665" customFormat="1" customHeight="1" ht="11.549999999999999">
      <c r="A223" s="1011"/>
      <c r="B223" s="1660"/>
      <c r="C223" s="1660"/>
      <c r="D223" s="375"/>
      <c r="J223" s="1665"/>
      <c r="K223" s="1665"/>
      <c r="L223" s="1665"/>
      <c r="M223" s="1665"/>
      <c r="N223" s="1665"/>
      <c r="O223" s="1665"/>
      <c r="P223" s="1665"/>
      <c r="Q223" s="1665"/>
      <c r="R223" s="1665"/>
      <c r="S223" s="1665"/>
      <c r="T223" s="1665"/>
      <c r="U223" s="1665"/>
      <c r="V223" s="1665"/>
      <c r="W223" s="1665"/>
      <c r="Y223" s="1184"/>
      <c r="Z223" s="1660"/>
      <c r="AA223" s="1660"/>
      <c r="AB223" s="1184"/>
      <c r="AC223" s="1184"/>
      <c r="AD223" s="1184"/>
      <c r="AE223" s="1184"/>
      <c r="AF223" s="1660"/>
      <c r="AG223" s="1184"/>
      <c r="AH223" s="1184"/>
      <c r="AI223" s="568"/>
      <c r="AJ223" s="1184"/>
      <c r="AK223" s="1184"/>
      <c r="AL223" s="1184"/>
      <c r="AM223" s="1184"/>
      <c r="AN223" s="1184"/>
      <c r="AO223" s="1656"/>
      <c r="AP223" s="590"/>
      <c r="AQ223" s="590"/>
      <c r="AR223" s="590"/>
      <c r="AS223" s="590"/>
      <c r="AT223" s="1665">
        <v>11</v>
      </c>
    </row>
    <row s="1665" customFormat="1" customHeight="1" ht="11.549999999999999">
      <c r="A224" s="1011"/>
      <c r="B224" s="1660"/>
      <c r="C224" s="1660"/>
      <c r="D224" s="375"/>
      <c r="J224" s="1665"/>
      <c r="K224" s="1665"/>
      <c r="L224" s="1665"/>
      <c r="M224" s="1665"/>
      <c r="N224" s="1665"/>
      <c r="O224" s="1665"/>
      <c r="P224" s="1665"/>
      <c r="Q224" s="1665"/>
      <c r="R224" s="1665"/>
      <c r="S224" s="1665"/>
      <c r="T224" s="1665"/>
      <c r="U224" s="1665"/>
      <c r="V224" s="1665"/>
      <c r="W224" s="1665"/>
      <c r="Y224" s="1184"/>
      <c r="Z224" s="1660"/>
      <c r="AA224" s="1660"/>
      <c r="AB224" s="1184"/>
      <c r="AC224" s="1184"/>
      <c r="AD224" s="1184"/>
      <c r="AE224" s="1184"/>
      <c r="AF224" s="1660"/>
      <c r="AG224" s="1184"/>
      <c r="AH224" s="1184"/>
      <c r="AI224" s="568"/>
      <c r="AJ224" s="1184"/>
      <c r="AK224" s="1184"/>
      <c r="AL224" s="1184"/>
      <c r="AM224" s="1184"/>
      <c r="AN224" s="1184"/>
      <c r="AO224" s="1656"/>
      <c r="AP224" s="590"/>
      <c r="AQ224" s="590"/>
      <c r="AR224" s="590"/>
      <c r="AS224" s="590"/>
      <c r="AT224" s="1665">
        <v>11</v>
      </c>
    </row>
    <row s="1665" customFormat="1" customHeight="1" ht="11.549999999999999">
      <c r="A225" s="1011"/>
      <c r="B225" s="1660"/>
      <c r="C225" s="1660"/>
      <c r="D225" s="375"/>
      <c r="J225" s="1665"/>
      <c r="K225" s="1665"/>
      <c r="L225" s="1665"/>
      <c r="M225" s="1665"/>
      <c r="N225" s="1665"/>
      <c r="O225" s="1665"/>
      <c r="P225" s="1665"/>
      <c r="Q225" s="1665"/>
      <c r="R225" s="1665"/>
      <c r="S225" s="1665"/>
      <c r="T225" s="1665"/>
      <c r="U225" s="1665"/>
      <c r="V225" s="1665"/>
      <c r="W225" s="1665"/>
      <c r="Y225" s="1184"/>
      <c r="Z225" s="1660"/>
      <c r="AA225" s="1660"/>
      <c r="AB225" s="1184"/>
      <c r="AC225" s="1184"/>
      <c r="AD225" s="1184"/>
      <c r="AE225" s="1184"/>
      <c r="AF225" s="1660"/>
      <c r="AG225" s="1184"/>
      <c r="AH225" s="1184"/>
      <c r="AI225" s="568"/>
      <c r="AJ225" s="1184"/>
      <c r="AK225" s="1184"/>
      <c r="AL225" s="1184"/>
      <c r="AM225" s="1184"/>
      <c r="AN225" s="1184"/>
      <c r="AO225" s="1656"/>
      <c r="AP225" s="590"/>
      <c r="AQ225" s="590"/>
      <c r="AR225" s="590"/>
      <c r="AS225" s="590"/>
      <c r="AT225" s="1665">
        <v>11</v>
      </c>
    </row>
    <row s="1665" customFormat="1" customHeight="1" ht="11.549999999999999">
      <c r="A226" s="1011"/>
      <c r="B226" s="1660"/>
      <c r="C226" s="1660"/>
      <c r="D226" s="375"/>
      <c r="J226" s="1665"/>
      <c r="K226" s="1665"/>
      <c r="L226" s="1665"/>
      <c r="M226" s="1665"/>
      <c r="N226" s="1665"/>
      <c r="O226" s="1665"/>
      <c r="P226" s="1665"/>
      <c r="Q226" s="1665"/>
      <c r="R226" s="1665"/>
      <c r="S226" s="1665"/>
      <c r="T226" s="1665"/>
      <c r="U226" s="1665"/>
      <c r="V226" s="1665"/>
      <c r="W226" s="1665"/>
      <c r="Y226" s="1184"/>
      <c r="Z226" s="1660"/>
      <c r="AA226" s="1660"/>
      <c r="AB226" s="1184"/>
      <c r="AC226" s="1184"/>
      <c r="AD226" s="1184"/>
      <c r="AE226" s="1184"/>
      <c r="AF226" s="1660"/>
      <c r="AG226" s="1184"/>
      <c r="AH226" s="1184"/>
      <c r="AI226" s="568"/>
      <c r="AJ226" s="1184"/>
      <c r="AK226" s="1184"/>
      <c r="AL226" s="1184"/>
      <c r="AM226" s="1184"/>
      <c r="AN226" s="1184"/>
      <c r="AO226" s="1656"/>
      <c r="AP226" s="590"/>
      <c r="AQ226" s="590"/>
      <c r="AR226" s="590"/>
      <c r="AS226" s="590"/>
      <c r="AT226" s="1665">
        <v>11</v>
      </c>
    </row>
    <row s="1665" customFormat="1" customHeight="1" ht="11.549999999999999">
      <c r="A227" s="1011"/>
      <c r="B227" s="1660"/>
      <c r="C227" s="1660"/>
      <c r="D227" s="375"/>
      <c r="J227" s="1665"/>
      <c r="K227" s="1665"/>
      <c r="L227" s="1665"/>
      <c r="M227" s="1665"/>
      <c r="N227" s="1665"/>
      <c r="O227" s="1665"/>
      <c r="P227" s="1665"/>
      <c r="Q227" s="1665"/>
      <c r="R227" s="1665"/>
      <c r="S227" s="1665"/>
      <c r="T227" s="1665"/>
      <c r="U227" s="1665"/>
      <c r="V227" s="1665"/>
      <c r="W227" s="1665"/>
      <c r="Y227" s="1184"/>
      <c r="Z227" s="1660"/>
      <c r="AA227" s="1660"/>
      <c r="AB227" s="1184"/>
      <c r="AC227" s="1184"/>
      <c r="AD227" s="1184"/>
      <c r="AE227" s="1184"/>
      <c r="AF227" s="1660"/>
      <c r="AG227" s="1184"/>
      <c r="AH227" s="1184"/>
      <c r="AI227" s="568"/>
      <c r="AJ227" s="1184"/>
      <c r="AK227" s="1184"/>
      <c r="AL227" s="1184"/>
      <c r="AM227" s="1184"/>
      <c r="AN227" s="1184"/>
      <c r="AO227" s="1656"/>
      <c r="AP227" s="590"/>
      <c r="AQ227" s="590"/>
      <c r="AR227" s="590"/>
      <c r="AS227" s="590"/>
      <c r="AT227" s="1665">
        <v>11</v>
      </c>
    </row>
    <row s="1665" customFormat="1" customHeight="1" ht="11.549999999999999">
      <c r="A228" s="1011"/>
      <c r="B228" s="1660"/>
      <c r="C228" s="1660"/>
      <c r="D228" s="375"/>
      <c r="J228" s="1665"/>
      <c r="K228" s="1665"/>
      <c r="L228" s="1665"/>
      <c r="M228" s="1665"/>
      <c r="N228" s="1665"/>
      <c r="O228" s="1665"/>
      <c r="P228" s="1665"/>
      <c r="Q228" s="1665"/>
      <c r="R228" s="1665"/>
      <c r="S228" s="1665"/>
      <c r="T228" s="1665"/>
      <c r="U228" s="1665"/>
      <c r="V228" s="1665"/>
      <c r="W228" s="1665"/>
      <c r="Y228" s="1184"/>
      <c r="Z228" s="1660"/>
      <c r="AA228" s="1660"/>
      <c r="AB228" s="1184"/>
      <c r="AC228" s="1184"/>
      <c r="AD228" s="1184"/>
      <c r="AE228" s="1184"/>
      <c r="AF228" s="1660"/>
      <c r="AG228" s="1184"/>
      <c r="AH228" s="1184"/>
      <c r="AI228" s="568"/>
      <c r="AJ228" s="1184"/>
      <c r="AK228" s="1184"/>
      <c r="AL228" s="1184"/>
      <c r="AM228" s="1184"/>
      <c r="AN228" s="1184"/>
      <c r="AO228" s="1656"/>
      <c r="AP228" s="590"/>
      <c r="AQ228" s="590"/>
      <c r="AR228" s="590"/>
      <c r="AS228" s="590"/>
      <c r="AT228" s="1665">
        <v>11</v>
      </c>
    </row>
    <row s="1665" customFormat="1" customHeight="1" ht="11.549999999999999">
      <c r="A229" s="1011"/>
      <c r="B229" s="1660"/>
      <c r="C229" s="1660"/>
      <c r="D229" s="375"/>
      <c r="J229" s="1665"/>
      <c r="K229" s="1665"/>
      <c r="L229" s="1665"/>
      <c r="M229" s="1665"/>
      <c r="N229" s="1665"/>
      <c r="O229" s="1665"/>
      <c r="P229" s="1665"/>
      <c r="Q229" s="1665"/>
      <c r="R229" s="1665"/>
      <c r="S229" s="1665"/>
      <c r="T229" s="1665"/>
      <c r="U229" s="1665"/>
      <c r="V229" s="1665"/>
      <c r="W229" s="1665"/>
      <c r="Y229" s="1184"/>
      <c r="Z229" s="1660"/>
      <c r="AA229" s="1660"/>
      <c r="AB229" s="1184"/>
      <c r="AC229" s="1184"/>
      <c r="AD229" s="1184"/>
      <c r="AE229" s="1184"/>
      <c r="AF229" s="1660"/>
      <c r="AG229" s="1184"/>
      <c r="AH229" s="1184"/>
      <c r="AI229" s="568"/>
      <c r="AJ229" s="1184"/>
      <c r="AK229" s="1184"/>
      <c r="AL229" s="1184"/>
      <c r="AM229" s="1184"/>
      <c r="AN229" s="1184"/>
      <c r="AO229" s="1656"/>
      <c r="AP229" s="590"/>
      <c r="AQ229" s="590"/>
      <c r="AR229" s="590"/>
      <c r="AS229" s="590"/>
      <c r="AT229" s="1665">
        <v>11</v>
      </c>
    </row>
    <row s="1665" customFormat="1" customHeight="1" ht="11.549999999999999">
      <c r="A230" s="1011"/>
      <c r="B230" s="1660"/>
      <c r="C230" s="1660"/>
      <c r="D230" s="375"/>
      <c r="J230" s="1665"/>
      <c r="K230" s="1665"/>
      <c r="L230" s="1665"/>
      <c r="M230" s="1665"/>
      <c r="N230" s="1665"/>
      <c r="O230" s="1665"/>
      <c r="P230" s="1665"/>
      <c r="Q230" s="1665"/>
      <c r="R230" s="1665"/>
      <c r="S230" s="1665"/>
      <c r="T230" s="1665"/>
      <c r="U230" s="1665"/>
      <c r="V230" s="1665"/>
      <c r="W230" s="1665"/>
      <c r="Y230" s="1184"/>
      <c r="Z230" s="1660"/>
      <c r="AA230" s="1660"/>
      <c r="AB230" s="1184"/>
      <c r="AC230" s="1184"/>
      <c r="AD230" s="1184"/>
      <c r="AE230" s="1184"/>
      <c r="AF230" s="1660"/>
      <c r="AG230" s="1184"/>
      <c r="AH230" s="1184"/>
      <c r="AI230" s="568"/>
      <c r="AJ230" s="1184"/>
      <c r="AK230" s="1184"/>
      <c r="AL230" s="1184"/>
      <c r="AM230" s="1184"/>
      <c r="AN230" s="1184"/>
      <c r="AO230" s="1656"/>
      <c r="AP230" s="590"/>
      <c r="AQ230" s="590"/>
      <c r="AR230" s="590"/>
      <c r="AS230" s="590"/>
      <c r="AT230" s="1665">
        <v>11</v>
      </c>
    </row>
    <row s="1665" customFormat="1" customHeight="1" ht="11.549999999999999">
      <c r="A231" s="1011"/>
      <c r="B231" s="1660"/>
      <c r="C231" s="1660"/>
      <c r="D231" s="375"/>
      <c r="J231" s="1665"/>
      <c r="K231" s="1665"/>
      <c r="L231" s="1665"/>
      <c r="M231" s="1665"/>
      <c r="N231" s="1665"/>
      <c r="O231" s="1665"/>
      <c r="P231" s="1665"/>
      <c r="Q231" s="1665"/>
      <c r="R231" s="1665"/>
      <c r="S231" s="1665"/>
      <c r="T231" s="1665"/>
      <c r="U231" s="1665"/>
      <c r="V231" s="1665"/>
      <c r="W231" s="1665"/>
      <c r="Y231" s="1184"/>
      <c r="Z231" s="1660"/>
      <c r="AA231" s="1660"/>
      <c r="AB231" s="1184"/>
      <c r="AC231" s="1184"/>
      <c r="AD231" s="1184"/>
      <c r="AE231" s="1184"/>
      <c r="AF231" s="1660"/>
      <c r="AG231" s="1184"/>
      <c r="AH231" s="1184"/>
      <c r="AI231" s="568"/>
      <c r="AJ231" s="1184"/>
      <c r="AK231" s="1184"/>
      <c r="AL231" s="1184"/>
      <c r="AM231" s="1184"/>
      <c r="AN231" s="1184"/>
      <c r="AO231" s="1656"/>
      <c r="AP231" s="590"/>
      <c r="AQ231" s="590"/>
      <c r="AR231" s="590"/>
      <c r="AS231" s="590"/>
      <c r="AT231" s="1665">
        <v>11</v>
      </c>
    </row>
    <row s="1665" customFormat="1" customHeight="1" ht="11.549999999999999">
      <c r="A232" s="1011"/>
      <c r="B232" s="1660"/>
      <c r="C232" s="1660"/>
      <c r="D232" s="375"/>
      <c r="J232" s="1665"/>
      <c r="K232" s="1665"/>
      <c r="L232" s="1665"/>
      <c r="M232" s="1665"/>
      <c r="N232" s="1665"/>
      <c r="O232" s="1665"/>
      <c r="P232" s="1665"/>
      <c r="Q232" s="1665"/>
      <c r="R232" s="1665"/>
      <c r="S232" s="1665"/>
      <c r="T232" s="1665"/>
      <c r="U232" s="1665"/>
      <c r="V232" s="1665"/>
      <c r="W232" s="1665"/>
      <c r="Y232" s="1184"/>
      <c r="Z232" s="1660"/>
      <c r="AA232" s="1660"/>
      <c r="AB232" s="1184"/>
      <c r="AC232" s="1184"/>
      <c r="AD232" s="1184"/>
      <c r="AE232" s="1184"/>
      <c r="AF232" s="1660"/>
      <c r="AG232" s="1184"/>
      <c r="AH232" s="1184"/>
      <c r="AI232" s="568"/>
      <c r="AJ232" s="1184"/>
      <c r="AK232" s="1184"/>
      <c r="AL232" s="1184"/>
      <c r="AM232" s="1184"/>
      <c r="AN232" s="1184"/>
      <c r="AO232" s="1656"/>
      <c r="AP232" s="590"/>
      <c r="AQ232" s="590"/>
      <c r="AR232" s="590"/>
      <c r="AS232" s="590"/>
      <c r="AT232" s="1665">
        <v>11</v>
      </c>
    </row>
    <row s="1665" customFormat="1" customHeight="1" ht="11.549999999999999">
      <c r="A233" s="1011"/>
      <c r="B233" s="1660"/>
      <c r="C233" s="1660"/>
      <c r="D233" s="375"/>
      <c r="J233" s="1665"/>
      <c r="K233" s="1665"/>
      <c r="L233" s="1665"/>
      <c r="M233" s="1665"/>
      <c r="N233" s="1665"/>
      <c r="O233" s="1665"/>
      <c r="P233" s="1665"/>
      <c r="Q233" s="1665"/>
      <c r="R233" s="1665"/>
      <c r="S233" s="1665"/>
      <c r="T233" s="1665"/>
      <c r="U233" s="1665"/>
      <c r="V233" s="1665"/>
      <c r="W233" s="1665"/>
      <c r="Y233" s="1184"/>
      <c r="Z233" s="1660"/>
      <c r="AA233" s="1660"/>
      <c r="AB233" s="1184"/>
      <c r="AC233" s="1184"/>
      <c r="AD233" s="1184"/>
      <c r="AE233" s="1184"/>
      <c r="AF233" s="1660"/>
      <c r="AG233" s="1184"/>
      <c r="AH233" s="1184"/>
      <c r="AI233" s="568"/>
      <c r="AJ233" s="1184"/>
      <c r="AK233" s="1184"/>
      <c r="AL233" s="1184"/>
      <c r="AM233" s="1184"/>
      <c r="AN233" s="1184"/>
      <c r="AO233" s="1656"/>
      <c r="AP233" s="590"/>
      <c r="AQ233" s="590"/>
      <c r="AR233" s="590"/>
      <c r="AS233" s="590"/>
      <c r="AT233" s="1665">
        <v>11</v>
      </c>
    </row>
    <row s="1665" customFormat="1" customHeight="1" ht="11.549999999999999">
      <c r="A234" s="1011"/>
      <c r="B234" s="1660"/>
      <c r="C234" s="1660"/>
      <c r="D234" s="375"/>
      <c r="J234" s="1665"/>
      <c r="K234" s="1665"/>
      <c r="L234" s="1665"/>
      <c r="M234" s="1665"/>
      <c r="N234" s="1665"/>
      <c r="O234" s="1665"/>
      <c r="P234" s="1665"/>
      <c r="Q234" s="1665"/>
      <c r="R234" s="1665"/>
      <c r="S234" s="1665"/>
      <c r="T234" s="1665"/>
      <c r="U234" s="1665"/>
      <c r="V234" s="1665"/>
      <c r="W234" s="1665"/>
      <c r="Y234" s="1184"/>
      <c r="Z234" s="1660"/>
      <c r="AA234" s="1660"/>
      <c r="AB234" s="1184"/>
      <c r="AC234" s="1184"/>
      <c r="AD234" s="1184"/>
      <c r="AE234" s="1184"/>
      <c r="AF234" s="1660"/>
      <c r="AG234" s="1184"/>
      <c r="AH234" s="1184"/>
      <c r="AI234" s="568"/>
      <c r="AJ234" s="1184"/>
      <c r="AK234" s="1184"/>
      <c r="AL234" s="1184"/>
      <c r="AM234" s="1184"/>
      <c r="AN234" s="1184"/>
      <c r="AO234" s="1656"/>
      <c r="AP234" s="590"/>
      <c r="AQ234" s="590"/>
      <c r="AR234" s="590"/>
      <c r="AS234" s="590"/>
      <c r="AT234" s="1665">
        <v>11</v>
      </c>
    </row>
    <row s="1665" customFormat="1" customHeight="1" ht="11.549999999999999">
      <c r="A235" s="1011"/>
      <c r="B235" s="1660"/>
      <c r="C235" s="1660"/>
      <c r="D235" s="375"/>
      <c r="J235" s="1665"/>
      <c r="K235" s="1665"/>
      <c r="L235" s="1665"/>
      <c r="M235" s="1665"/>
      <c r="N235" s="1665"/>
      <c r="O235" s="1665"/>
      <c r="P235" s="1665"/>
      <c r="Q235" s="1665"/>
      <c r="R235" s="1665"/>
      <c r="S235" s="1665"/>
      <c r="T235" s="1665"/>
      <c r="U235" s="1665"/>
      <c r="V235" s="1665"/>
      <c r="W235" s="1665"/>
      <c r="Y235" s="1184"/>
      <c r="Z235" s="1660"/>
      <c r="AA235" s="1660"/>
      <c r="AB235" s="1184"/>
      <c r="AC235" s="1184"/>
      <c r="AD235" s="1184"/>
      <c r="AE235" s="1184"/>
      <c r="AF235" s="1660"/>
      <c r="AG235" s="1184"/>
      <c r="AH235" s="1184"/>
      <c r="AI235" s="568"/>
      <c r="AJ235" s="1184"/>
      <c r="AK235" s="1184"/>
      <c r="AL235" s="1184"/>
      <c r="AM235" s="1184"/>
      <c r="AN235" s="1184"/>
      <c r="AO235" s="1656"/>
      <c r="AP235" s="590"/>
      <c r="AQ235" s="590"/>
      <c r="AR235" s="590"/>
      <c r="AS235" s="590"/>
      <c r="AT235" s="1665">
        <v>11</v>
      </c>
    </row>
    <row s="1665" customFormat="1" customHeight="1" ht="11.549999999999999">
      <c r="A236" s="1011"/>
      <c r="B236" s="1660"/>
      <c r="C236" s="1660"/>
      <c r="D236" s="375"/>
      <c r="J236" s="1665"/>
      <c r="K236" s="1665"/>
      <c r="L236" s="1665"/>
      <c r="M236" s="1665"/>
      <c r="N236" s="1665"/>
      <c r="O236" s="1665"/>
      <c r="P236" s="1665"/>
      <c r="Q236" s="1665"/>
      <c r="R236" s="1665"/>
      <c r="S236" s="1665"/>
      <c r="T236" s="1665"/>
      <c r="U236" s="1665"/>
      <c r="V236" s="1665"/>
      <c r="W236" s="1665"/>
      <c r="Y236" s="1184"/>
      <c r="Z236" s="1660"/>
      <c r="AA236" s="1660"/>
      <c r="AB236" s="1184"/>
      <c r="AC236" s="1184"/>
      <c r="AD236" s="1184"/>
      <c r="AE236" s="1184"/>
      <c r="AF236" s="1660"/>
      <c r="AG236" s="1184"/>
      <c r="AH236" s="1184"/>
      <c r="AI236" s="568"/>
      <c r="AJ236" s="1184"/>
      <c r="AK236" s="1184"/>
      <c r="AL236" s="1184"/>
      <c r="AM236" s="1184"/>
      <c r="AN236" s="1184"/>
      <c r="AO236" s="1656"/>
      <c r="AP236" s="590"/>
      <c r="AQ236" s="590"/>
      <c r="AR236" s="590"/>
      <c r="AS236" s="590"/>
      <c r="AT236" s="1665">
        <v>11</v>
      </c>
    </row>
    <row s="1665" customFormat="1" customHeight="1" ht="11.549999999999999">
      <c r="A237" s="1011"/>
      <c r="B237" s="1660"/>
      <c r="C237" s="1660"/>
      <c r="D237" s="375"/>
      <c r="J237" s="1665"/>
      <c r="K237" s="1665"/>
      <c r="L237" s="1665"/>
      <c r="M237" s="1665"/>
      <c r="N237" s="1665"/>
      <c r="O237" s="1665"/>
      <c r="P237" s="1665"/>
      <c r="Q237" s="1665"/>
      <c r="R237" s="1665"/>
      <c r="S237" s="1665"/>
      <c r="T237" s="1665"/>
      <c r="U237" s="1665"/>
      <c r="V237" s="1665"/>
      <c r="W237" s="1665"/>
      <c r="Y237" s="1184"/>
      <c r="Z237" s="1660"/>
      <c r="AA237" s="1660"/>
      <c r="AB237" s="1184"/>
      <c r="AC237" s="1184"/>
      <c r="AD237" s="1184"/>
      <c r="AE237" s="1184"/>
      <c r="AF237" s="1660"/>
      <c r="AG237" s="1184"/>
      <c r="AH237" s="1184"/>
      <c r="AI237" s="568"/>
      <c r="AJ237" s="1184"/>
      <c r="AK237" s="1184"/>
      <c r="AL237" s="1184"/>
      <c r="AM237" s="1184"/>
      <c r="AN237" s="1184"/>
      <c r="AO237" s="1656"/>
      <c r="AP237" s="590"/>
      <c r="AQ237" s="590"/>
      <c r="AR237" s="590"/>
      <c r="AS237" s="590"/>
      <c r="AT237" s="1665">
        <v>11</v>
      </c>
    </row>
    <row s="1665" customFormat="1" customHeight="1" ht="11.549999999999999">
      <c r="A238" s="1011"/>
      <c r="B238" s="1660"/>
      <c r="C238" s="1660"/>
      <c r="D238" s="375"/>
      <c r="J238" s="1665"/>
      <c r="K238" s="1665"/>
      <c r="L238" s="1665"/>
      <c r="M238" s="1665"/>
      <c r="N238" s="1665"/>
      <c r="O238" s="1665"/>
      <c r="P238" s="1665"/>
      <c r="Q238" s="1665"/>
      <c r="R238" s="1665"/>
      <c r="S238" s="1665"/>
      <c r="T238" s="1665"/>
      <c r="U238" s="1665"/>
      <c r="V238" s="1665"/>
      <c r="W238" s="1665"/>
      <c r="Y238" s="1184"/>
      <c r="Z238" s="1660"/>
      <c r="AA238" s="1660"/>
      <c r="AB238" s="1184"/>
      <c r="AC238" s="1184"/>
      <c r="AD238" s="1184"/>
      <c r="AE238" s="1184"/>
      <c r="AF238" s="1660"/>
      <c r="AG238" s="1184"/>
      <c r="AH238" s="1184"/>
      <c r="AI238" s="568"/>
      <c r="AJ238" s="1184"/>
      <c r="AK238" s="1184"/>
      <c r="AL238" s="1184"/>
      <c r="AM238" s="1184"/>
      <c r="AN238" s="1184"/>
      <c r="AO238" s="1656"/>
      <c r="AP238" s="590"/>
      <c r="AQ238" s="590"/>
      <c r="AR238" s="590"/>
      <c r="AS238" s="590"/>
      <c r="AT238" s="1665">
        <v>11</v>
      </c>
    </row>
    <row s="1665" customFormat="1" customHeight="1" ht="11.549999999999999">
      <c r="A239" s="1011"/>
      <c r="B239" s="1660"/>
      <c r="C239" s="1660"/>
      <c r="D239" s="375"/>
      <c r="J239" s="1665"/>
      <c r="K239" s="1665"/>
      <c r="L239" s="1665"/>
      <c r="M239" s="1665"/>
      <c r="N239" s="1665"/>
      <c r="O239" s="1665"/>
      <c r="P239" s="1665"/>
      <c r="Q239" s="1665"/>
      <c r="R239" s="1665"/>
      <c r="S239" s="1665"/>
      <c r="T239" s="1665"/>
      <c r="U239" s="1665"/>
      <c r="V239" s="1665"/>
      <c r="W239" s="1665"/>
      <c r="Y239" s="1184"/>
      <c r="Z239" s="1660"/>
      <c r="AA239" s="1660"/>
      <c r="AB239" s="1184"/>
      <c r="AC239" s="1184"/>
      <c r="AD239" s="1184"/>
      <c r="AE239" s="1184"/>
      <c r="AF239" s="1660"/>
      <c r="AG239" s="1184"/>
      <c r="AH239" s="1184"/>
      <c r="AI239" s="568"/>
      <c r="AJ239" s="1184"/>
      <c r="AK239" s="1184"/>
      <c r="AL239" s="1184"/>
      <c r="AM239" s="1184"/>
      <c r="AN239" s="1184"/>
      <c r="AO239" s="1656"/>
      <c r="AP239" s="590"/>
      <c r="AQ239" s="590"/>
      <c r="AR239" s="590"/>
      <c r="AS239" s="590"/>
      <c r="AT239" s="1665">
        <v>11</v>
      </c>
    </row>
    <row s="1665" customFormat="1" customHeight="1" ht="11.549999999999999">
      <c r="A240" s="1011"/>
      <c r="B240" s="1660"/>
      <c r="C240" s="1660"/>
      <c r="D240" s="375"/>
      <c r="J240" s="1665"/>
      <c r="K240" s="1665"/>
      <c r="L240" s="1665"/>
      <c r="M240" s="1665"/>
      <c r="N240" s="1665"/>
      <c r="O240" s="1665"/>
      <c r="P240" s="1665"/>
      <c r="Q240" s="1665"/>
      <c r="R240" s="1665"/>
      <c r="S240" s="1665"/>
      <c r="T240" s="1665"/>
      <c r="U240" s="1665"/>
      <c r="V240" s="1665"/>
      <c r="W240" s="1665"/>
      <c r="Y240" s="1184"/>
      <c r="Z240" s="1660"/>
      <c r="AA240" s="1660"/>
      <c r="AB240" s="1184"/>
      <c r="AC240" s="1184"/>
      <c r="AD240" s="1184"/>
      <c r="AE240" s="1184"/>
      <c r="AF240" s="1660"/>
      <c r="AG240" s="1184"/>
      <c r="AH240" s="1184"/>
      <c r="AI240" s="568"/>
      <c r="AJ240" s="1184"/>
      <c r="AK240" s="1184"/>
      <c r="AL240" s="1184"/>
      <c r="AM240" s="1184"/>
      <c r="AN240" s="1184"/>
      <c r="AO240" s="1656"/>
      <c r="AP240" s="590"/>
      <c r="AQ240" s="590"/>
      <c r="AR240" s="590"/>
      <c r="AS240" s="590"/>
      <c r="AT240" s="1665">
        <v>11</v>
      </c>
    </row>
    <row s="1665" customFormat="1" customHeight="1" ht="11.549999999999999">
      <c r="A241" s="1011"/>
      <c r="B241" s="1660"/>
      <c r="C241" s="1660"/>
      <c r="D241" s="375"/>
      <c r="J241" s="1665"/>
      <c r="K241" s="1665"/>
      <c r="L241" s="1665"/>
      <c r="M241" s="1665"/>
      <c r="N241" s="1665"/>
      <c r="O241" s="1665"/>
      <c r="P241" s="1665"/>
      <c r="Q241" s="1665"/>
      <c r="R241" s="1665"/>
      <c r="S241" s="1665"/>
      <c r="T241" s="1665"/>
      <c r="U241" s="1665"/>
      <c r="V241" s="1665"/>
      <c r="W241" s="1665"/>
      <c r="Y241" s="1184"/>
      <c r="Z241" s="1660"/>
      <c r="AA241" s="1660"/>
      <c r="AB241" s="1184"/>
      <c r="AC241" s="1184"/>
      <c r="AD241" s="1184"/>
      <c r="AE241" s="1184"/>
      <c r="AF241" s="1660"/>
      <c r="AG241" s="1184"/>
      <c r="AH241" s="1184"/>
      <c r="AI241" s="568"/>
      <c r="AJ241" s="1184"/>
      <c r="AK241" s="1184"/>
      <c r="AL241" s="1184"/>
      <c r="AM241" s="1184"/>
      <c r="AN241" s="1184"/>
      <c r="AO241" s="1656"/>
      <c r="AP241" s="590"/>
      <c r="AQ241" s="590"/>
      <c r="AR241" s="590"/>
      <c r="AS241" s="590"/>
      <c r="AT241" s="1665">
        <v>11</v>
      </c>
    </row>
    <row s="1665" customFormat="1" customHeight="1" ht="11.549999999999999">
      <c r="A242" s="1011"/>
      <c r="B242" s="1660"/>
      <c r="C242" s="1660"/>
      <c r="D242" s="375"/>
      <c r="J242" s="1665"/>
      <c r="K242" s="1665"/>
      <c r="L242" s="1665"/>
      <c r="M242" s="1665"/>
      <c r="N242" s="1665"/>
      <c r="O242" s="1665"/>
      <c r="P242" s="1665"/>
      <c r="Q242" s="1665"/>
      <c r="R242" s="1665"/>
      <c r="S242" s="1665"/>
      <c r="T242" s="1665"/>
      <c r="U242" s="1665"/>
      <c r="V242" s="1665"/>
      <c r="W242" s="1665"/>
      <c r="Y242" s="1184"/>
      <c r="Z242" s="1660"/>
      <c r="AA242" s="1660"/>
      <c r="AB242" s="1184"/>
      <c r="AC242" s="1184"/>
      <c r="AD242" s="1184"/>
      <c r="AE242" s="1184"/>
      <c r="AF242" s="1660"/>
      <c r="AG242" s="1184"/>
      <c r="AH242" s="1184"/>
      <c r="AI242" s="568"/>
      <c r="AJ242" s="1184"/>
      <c r="AK242" s="1184"/>
      <c r="AL242" s="1184"/>
      <c r="AM242" s="1184"/>
      <c r="AN242" s="1184"/>
      <c r="AO242" s="1656"/>
      <c r="AP242" s="590"/>
      <c r="AQ242" s="590"/>
      <c r="AR242" s="590"/>
      <c r="AS242" s="590"/>
      <c r="AT242" s="1665">
        <v>11</v>
      </c>
    </row>
    <row s="1665" customFormat="1" customHeight="1" ht="11.549999999999999">
      <c r="A243" s="1011"/>
      <c r="B243" s="1660"/>
      <c r="C243" s="1660"/>
      <c r="D243" s="375"/>
      <c r="J243" s="1665"/>
      <c r="K243" s="1665"/>
      <c r="L243" s="1665"/>
      <c r="M243" s="1665"/>
      <c r="N243" s="1665"/>
      <c r="O243" s="1665"/>
      <c r="P243" s="1665"/>
      <c r="Q243" s="1665"/>
      <c r="R243" s="1665"/>
      <c r="S243" s="1665"/>
      <c r="T243" s="1665"/>
      <c r="U243" s="1665"/>
      <c r="V243" s="1665"/>
      <c r="W243" s="1665"/>
      <c r="Y243" s="1184"/>
      <c r="Z243" s="1660"/>
      <c r="AA243" s="1660"/>
      <c r="AB243" s="1184"/>
      <c r="AC243" s="1184"/>
      <c r="AD243" s="1184"/>
      <c r="AE243" s="1184"/>
      <c r="AF243" s="1660"/>
      <c r="AG243" s="1184"/>
      <c r="AH243" s="1184"/>
      <c r="AI243" s="568"/>
      <c r="AJ243" s="1184"/>
      <c r="AK243" s="1184"/>
      <c r="AL243" s="1184"/>
      <c r="AM243" s="1184"/>
      <c r="AN243" s="1184"/>
      <c r="AO243" s="1656"/>
      <c r="AP243" s="590"/>
      <c r="AQ243" s="590"/>
      <c r="AR243" s="590"/>
      <c r="AS243" s="590"/>
      <c r="AT243" s="1665">
        <v>11</v>
      </c>
    </row>
    <row s="1665" customFormat="1" customHeight="1" ht="11.549999999999999">
      <c r="A244" s="1011"/>
      <c r="B244" s="1660"/>
      <c r="C244" s="1660"/>
      <c r="D244" s="375"/>
      <c r="J244" s="1665"/>
      <c r="K244" s="1665"/>
      <c r="L244" s="1665"/>
      <c r="M244" s="1665"/>
      <c r="N244" s="1665"/>
      <c r="O244" s="1665"/>
      <c r="P244" s="1665"/>
      <c r="Q244" s="1665"/>
      <c r="R244" s="1665"/>
      <c r="S244" s="1665"/>
      <c r="T244" s="1665"/>
      <c r="U244" s="1665"/>
      <c r="V244" s="1665"/>
      <c r="W244" s="1665"/>
      <c r="Y244" s="1184"/>
      <c r="Z244" s="1660"/>
      <c r="AA244" s="1660"/>
      <c r="AB244" s="1184"/>
      <c r="AC244" s="1184"/>
      <c r="AD244" s="1184"/>
      <c r="AE244" s="1184"/>
      <c r="AF244" s="1660"/>
      <c r="AG244" s="1184"/>
      <c r="AH244" s="1184"/>
      <c r="AI244" s="568"/>
      <c r="AJ244" s="1184"/>
      <c r="AK244" s="1184"/>
      <c r="AL244" s="1184"/>
      <c r="AM244" s="1184"/>
      <c r="AN244" s="1184"/>
      <c r="AO244" s="1656"/>
      <c r="AP244" s="590"/>
      <c r="AQ244" s="590"/>
      <c r="AR244" s="590"/>
      <c r="AS244" s="590"/>
      <c r="AT244" s="1665">
        <v>11</v>
      </c>
    </row>
    <row s="1665" customFormat="1" customHeight="1" ht="11.549999999999999">
      <c r="A245" s="1011"/>
      <c r="B245" s="1660"/>
      <c r="C245" s="1660"/>
      <c r="D245" s="375"/>
      <c r="J245" s="1665"/>
      <c r="K245" s="1665"/>
      <c r="L245" s="1665"/>
      <c r="M245" s="1665"/>
      <c r="N245" s="1665"/>
      <c r="O245" s="1665"/>
      <c r="P245" s="1665"/>
      <c r="Q245" s="1665"/>
      <c r="R245" s="1665"/>
      <c r="S245" s="1665"/>
      <c r="T245" s="1665"/>
      <c r="U245" s="1665"/>
      <c r="V245" s="1665"/>
      <c r="W245" s="1665"/>
      <c r="Y245" s="1184"/>
      <c r="Z245" s="1660"/>
      <c r="AA245" s="1660"/>
      <c r="AB245" s="1184"/>
      <c r="AC245" s="1184"/>
      <c r="AD245" s="1184"/>
      <c r="AE245" s="1184"/>
      <c r="AF245" s="1660"/>
      <c r="AG245" s="1184"/>
      <c r="AH245" s="1184"/>
      <c r="AI245" s="568"/>
      <c r="AJ245" s="1184"/>
      <c r="AK245" s="1184"/>
      <c r="AL245" s="1184"/>
      <c r="AM245" s="1184"/>
      <c r="AN245" s="1184"/>
      <c r="AO245" s="1656"/>
      <c r="AP245" s="590"/>
      <c r="AQ245" s="590"/>
      <c r="AR245" s="590"/>
      <c r="AS245" s="590"/>
      <c r="AT245" s="1665">
        <v>11</v>
      </c>
    </row>
    <row s="1665" customFormat="1" customHeight="1" ht="11.549999999999999">
      <c r="A246" s="1011"/>
      <c r="B246" s="1660"/>
      <c r="C246" s="1660"/>
      <c r="D246" s="375"/>
      <c r="J246" s="1665"/>
      <c r="K246" s="1665"/>
      <c r="L246" s="1665"/>
      <c r="M246" s="1665"/>
      <c r="N246" s="1665"/>
      <c r="O246" s="1665"/>
      <c r="P246" s="1665"/>
      <c r="Q246" s="1665"/>
      <c r="R246" s="1665"/>
      <c r="S246" s="1665"/>
      <c r="T246" s="1665"/>
      <c r="U246" s="1665"/>
      <c r="V246" s="1665"/>
      <c r="W246" s="1665"/>
      <c r="Y246" s="1184"/>
      <c r="Z246" s="1660"/>
      <c r="AA246" s="1660"/>
      <c r="AB246" s="1184"/>
      <c r="AC246" s="1184"/>
      <c r="AD246" s="1184"/>
      <c r="AE246" s="1184"/>
      <c r="AF246" s="1660"/>
      <c r="AG246" s="1184"/>
      <c r="AH246" s="1184"/>
      <c r="AI246" s="568"/>
      <c r="AJ246" s="1184"/>
      <c r="AK246" s="1184"/>
      <c r="AL246" s="1184"/>
      <c r="AM246" s="1184"/>
      <c r="AN246" s="1184"/>
      <c r="AO246" s="1656"/>
      <c r="AP246" s="590"/>
      <c r="AQ246" s="590"/>
      <c r="AR246" s="590"/>
      <c r="AS246" s="590"/>
      <c r="AT246" s="1665">
        <v>11</v>
      </c>
    </row>
    <row s="1665" customFormat="1" customHeight="1" ht="11.549999999999999">
      <c r="A247" s="1011"/>
      <c r="B247" s="1660"/>
      <c r="C247" s="1660"/>
      <c r="D247" s="375"/>
      <c r="J247" s="1665"/>
      <c r="K247" s="1665"/>
      <c r="L247" s="1665"/>
      <c r="M247" s="1665"/>
      <c r="N247" s="1665"/>
      <c r="O247" s="1665"/>
      <c r="P247" s="1665"/>
      <c r="Q247" s="1665"/>
      <c r="R247" s="1665"/>
      <c r="S247" s="1665"/>
      <c r="T247" s="1665"/>
      <c r="U247" s="1665"/>
      <c r="V247" s="1665"/>
      <c r="W247" s="1665"/>
      <c r="Y247" s="1184"/>
      <c r="Z247" s="1660"/>
      <c r="AA247" s="1660"/>
      <c r="AB247" s="1184"/>
      <c r="AC247" s="1184"/>
      <c r="AD247" s="1184"/>
      <c r="AE247" s="1184"/>
      <c r="AF247" s="1660"/>
      <c r="AG247" s="1184"/>
      <c r="AH247" s="1184"/>
      <c r="AI247" s="568"/>
      <c r="AJ247" s="1184"/>
      <c r="AK247" s="1184"/>
      <c r="AL247" s="1184"/>
      <c r="AM247" s="1184"/>
      <c r="AN247" s="1184"/>
      <c r="AO247" s="1656"/>
      <c r="AP247" s="590"/>
      <c r="AQ247" s="590"/>
      <c r="AR247" s="590"/>
      <c r="AS247" s="590"/>
      <c r="AT247" s="1665">
        <v>11</v>
      </c>
    </row>
    <row s="1665" customFormat="1" customHeight="1" ht="11.549999999999999">
      <c r="A248" s="1011"/>
      <c r="B248" s="1660"/>
      <c r="C248" s="1660"/>
      <c r="D248" s="375"/>
      <c r="J248" s="1665"/>
      <c r="K248" s="1665"/>
      <c r="L248" s="1665"/>
      <c r="M248" s="1665"/>
      <c r="N248" s="1665"/>
      <c r="O248" s="1665"/>
      <c r="P248" s="1665"/>
      <c r="Q248" s="1665"/>
      <c r="R248" s="1665"/>
      <c r="S248" s="1665"/>
      <c r="T248" s="1665"/>
      <c r="U248" s="1665"/>
      <c r="V248" s="1665"/>
      <c r="W248" s="1665"/>
      <c r="Y248" s="1184"/>
      <c r="Z248" s="1660"/>
      <c r="AA248" s="1660"/>
      <c r="AB248" s="1184"/>
      <c r="AC248" s="1184"/>
      <c r="AD248" s="1184"/>
      <c r="AE248" s="1184"/>
      <c r="AF248" s="1660"/>
      <c r="AG248" s="1184"/>
      <c r="AH248" s="1184"/>
      <c r="AI248" s="568"/>
      <c r="AJ248" s="1184"/>
      <c r="AK248" s="1184"/>
      <c r="AL248" s="1184"/>
      <c r="AM248" s="1184"/>
      <c r="AN248" s="1184"/>
      <c r="AO248" s="1656"/>
      <c r="AP248" s="590"/>
      <c r="AQ248" s="590"/>
      <c r="AR248" s="590"/>
      <c r="AS248" s="590"/>
      <c r="AT248" s="1665">
        <v>11</v>
      </c>
    </row>
    <row s="1665" customFormat="1" customHeight="1" ht="11.549999999999999">
      <c r="A249" s="1011"/>
      <c r="B249" s="1660"/>
      <c r="C249" s="1660"/>
      <c r="D249" s="375"/>
      <c r="J249" s="1665"/>
      <c r="K249" s="1665"/>
      <c r="L249" s="1665"/>
      <c r="M249" s="1665"/>
      <c r="N249" s="1665"/>
      <c r="O249" s="1665"/>
      <c r="P249" s="1665"/>
      <c r="Q249" s="1665"/>
      <c r="R249" s="1665"/>
      <c r="S249" s="1665"/>
      <c r="T249" s="1665"/>
      <c r="U249" s="1665"/>
      <c r="V249" s="1665"/>
      <c r="W249" s="1665"/>
      <c r="Y249" s="1184"/>
      <c r="Z249" s="1660"/>
      <c r="AA249" s="1660"/>
      <c r="AB249" s="1184"/>
      <c r="AC249" s="1184"/>
      <c r="AD249" s="1184"/>
      <c r="AE249" s="1184"/>
      <c r="AF249" s="1660"/>
      <c r="AG249" s="1184"/>
      <c r="AH249" s="1184"/>
      <c r="AI249" s="568"/>
      <c r="AJ249" s="1184"/>
      <c r="AK249" s="1184"/>
      <c r="AL249" s="1184"/>
      <c r="AM249" s="1184"/>
      <c r="AN249" s="1184"/>
      <c r="AO249" s="1656"/>
      <c r="AP249" s="590"/>
      <c r="AQ249" s="590"/>
      <c r="AR249" s="590"/>
      <c r="AS249" s="590"/>
      <c r="AT249" s="1665">
        <v>11</v>
      </c>
    </row>
    <row s="1665" customFormat="1" customHeight="1" ht="11.549999999999999">
      <c r="A250" s="1011"/>
      <c r="B250" s="1660"/>
      <c r="C250" s="1660"/>
      <c r="D250" s="375"/>
      <c r="J250" s="1665"/>
      <c r="K250" s="1665"/>
      <c r="L250" s="1665"/>
      <c r="M250" s="1665"/>
      <c r="N250" s="1665"/>
      <c r="O250" s="1665"/>
      <c r="P250" s="1665"/>
      <c r="Q250" s="1665"/>
      <c r="R250" s="1665"/>
      <c r="S250" s="1665"/>
      <c r="T250" s="1665"/>
      <c r="U250" s="1665"/>
      <c r="V250" s="1665"/>
      <c r="W250" s="1665"/>
      <c r="Y250" s="1184"/>
      <c r="Z250" s="1660"/>
      <c r="AA250" s="1660"/>
      <c r="AB250" s="1184"/>
      <c r="AC250" s="1184"/>
      <c r="AD250" s="1184"/>
      <c r="AE250" s="1184"/>
      <c r="AF250" s="1660"/>
      <c r="AG250" s="1184"/>
      <c r="AH250" s="1184"/>
      <c r="AI250" s="568"/>
      <c r="AJ250" s="1184"/>
      <c r="AK250" s="1184"/>
      <c r="AL250" s="1184"/>
      <c r="AM250" s="1184"/>
      <c r="AN250" s="1184"/>
      <c r="AO250" s="1656"/>
      <c r="AP250" s="590"/>
      <c r="AQ250" s="590"/>
      <c r="AR250" s="590"/>
      <c r="AS250" s="590"/>
      <c r="AT250" s="1665">
        <v>11</v>
      </c>
    </row>
    <row s="1665" customFormat="1" customHeight="1" ht="11.549999999999999">
      <c r="A251" s="1011"/>
      <c r="B251" s="1660"/>
      <c r="C251" s="1660"/>
      <c r="D251" s="375"/>
      <c r="J251" s="1665"/>
      <c r="K251" s="1665"/>
      <c r="L251" s="1665"/>
      <c r="M251" s="1665"/>
      <c r="N251" s="1665"/>
      <c r="O251" s="1665"/>
      <c r="P251" s="1665"/>
      <c r="Q251" s="1665"/>
      <c r="R251" s="1665"/>
      <c r="S251" s="1665"/>
      <c r="T251" s="1665"/>
      <c r="U251" s="1665"/>
      <c r="V251" s="1665"/>
      <c r="W251" s="1665"/>
      <c r="Y251" s="1184"/>
      <c r="Z251" s="1660"/>
      <c r="AA251" s="1660"/>
      <c r="AB251" s="1184"/>
      <c r="AC251" s="1184"/>
      <c r="AD251" s="1184"/>
      <c r="AE251" s="1184"/>
      <c r="AF251" s="1660"/>
      <c r="AG251" s="1184"/>
      <c r="AH251" s="1184"/>
      <c r="AI251" s="568"/>
      <c r="AJ251" s="1184"/>
      <c r="AK251" s="1184"/>
      <c r="AL251" s="1184"/>
      <c r="AM251" s="1184"/>
      <c r="AN251" s="1184"/>
      <c r="AO251" s="1656"/>
      <c r="AP251" s="590"/>
      <c r="AQ251" s="590"/>
      <c r="AR251" s="590"/>
      <c r="AS251" s="590"/>
      <c r="AT251" s="1665">
        <v>11</v>
      </c>
    </row>
    <row s="1665" customFormat="1" customHeight="1" ht="11.549999999999999">
      <c r="A252" s="1011"/>
      <c r="B252" s="1660"/>
      <c r="C252" s="1660"/>
      <c r="D252" s="375"/>
      <c r="J252" s="1665"/>
      <c r="K252" s="1665"/>
      <c r="L252" s="1665"/>
      <c r="M252" s="1665"/>
      <c r="N252" s="1665"/>
      <c r="O252" s="1665"/>
      <c r="P252" s="1665"/>
      <c r="Q252" s="1665"/>
      <c r="R252" s="1665"/>
      <c r="S252" s="1665"/>
      <c r="T252" s="1665"/>
      <c r="U252" s="1665"/>
      <c r="V252" s="1665"/>
      <c r="W252" s="1665"/>
      <c r="Y252" s="1184"/>
      <c r="Z252" s="1660"/>
      <c r="AA252" s="1660"/>
      <c r="AB252" s="1184"/>
      <c r="AC252" s="1184"/>
      <c r="AD252" s="1184"/>
      <c r="AE252" s="1184"/>
      <c r="AF252" s="1660"/>
      <c r="AG252" s="1184"/>
      <c r="AH252" s="1184"/>
      <c r="AI252" s="568"/>
      <c r="AJ252" s="1184"/>
      <c r="AK252" s="1184"/>
      <c r="AL252" s="1184"/>
      <c r="AM252" s="1184"/>
      <c r="AN252" s="1184"/>
      <c r="AO252" s="1656"/>
      <c r="AP252" s="590"/>
      <c r="AQ252" s="590"/>
      <c r="AR252" s="590"/>
      <c r="AS252" s="590"/>
      <c r="AT252" s="1665">
        <v>11</v>
      </c>
    </row>
    <row s="1665" customFormat="1" customHeight="1" ht="11.549999999999999">
      <c r="A253" s="1011"/>
      <c r="B253" s="1660"/>
      <c r="C253" s="1660"/>
      <c r="D253" s="375"/>
      <c r="J253" s="1665"/>
      <c r="K253" s="1665"/>
      <c r="L253" s="1665"/>
      <c r="M253" s="1665"/>
      <c r="N253" s="1665"/>
      <c r="O253" s="1665"/>
      <c r="P253" s="1665"/>
      <c r="Q253" s="1665"/>
      <c r="R253" s="1665"/>
      <c r="S253" s="1665"/>
      <c r="T253" s="1665"/>
      <c r="U253" s="1665"/>
      <c r="V253" s="1665"/>
      <c r="W253" s="1665"/>
      <c r="Y253" s="1184"/>
      <c r="Z253" s="1660"/>
      <c r="AA253" s="1660"/>
      <c r="AB253" s="1184"/>
      <c r="AC253" s="1184"/>
      <c r="AD253" s="1184"/>
      <c r="AE253" s="1184"/>
      <c r="AF253" s="1660"/>
      <c r="AG253" s="1184"/>
      <c r="AH253" s="1184"/>
      <c r="AI253" s="568"/>
      <c r="AJ253" s="1184"/>
      <c r="AK253" s="1184"/>
      <c r="AL253" s="1184"/>
      <c r="AM253" s="1184"/>
      <c r="AN253" s="1184"/>
      <c r="AO253" s="1656"/>
      <c r="AP253" s="590"/>
      <c r="AQ253" s="590"/>
      <c r="AR253" s="590"/>
      <c r="AS253" s="590"/>
      <c r="AT253" s="1665">
        <v>11</v>
      </c>
    </row>
    <row s="1665" customFormat="1" customHeight="1" ht="11.549999999999999">
      <c r="A254" s="1011"/>
      <c r="B254" s="1660"/>
      <c r="C254" s="1660"/>
      <c r="D254" s="375"/>
      <c r="J254" s="1665"/>
      <c r="K254" s="1665"/>
      <c r="L254" s="1665"/>
      <c r="M254" s="1665"/>
      <c r="N254" s="1665"/>
      <c r="O254" s="1665"/>
      <c r="P254" s="1665"/>
      <c r="Q254" s="1665"/>
      <c r="R254" s="1665"/>
      <c r="S254" s="1665"/>
      <c r="T254" s="1665"/>
      <c r="U254" s="1665"/>
      <c r="V254" s="1665"/>
      <c r="W254" s="1665"/>
      <c r="Y254" s="1184"/>
      <c r="Z254" s="1660"/>
      <c r="AA254" s="1660"/>
      <c r="AB254" s="1184"/>
      <c r="AC254" s="1184"/>
      <c r="AD254" s="1184"/>
      <c r="AE254" s="1184"/>
      <c r="AF254" s="1660"/>
      <c r="AG254" s="1184"/>
      <c r="AH254" s="1184"/>
      <c r="AI254" s="568"/>
      <c r="AJ254" s="1184"/>
      <c r="AK254" s="1184"/>
      <c r="AL254" s="1184"/>
      <c r="AM254" s="1184"/>
      <c r="AN254" s="1184"/>
      <c r="AO254" s="1656"/>
      <c r="AP254" s="590"/>
      <c r="AQ254" s="590"/>
      <c r="AR254" s="590"/>
      <c r="AS254" s="590"/>
      <c r="AT254" s="1665">
        <v>11</v>
      </c>
    </row>
    <row s="1665" customFormat="1" customHeight="1" ht="11.549999999999999">
      <c r="A255" s="1011"/>
      <c r="B255" s="1660"/>
      <c r="C255" s="1660"/>
      <c r="D255" s="375"/>
      <c r="J255" s="1665"/>
      <c r="K255" s="1665"/>
      <c r="L255" s="1665"/>
      <c r="M255" s="1665"/>
      <c r="N255" s="1665"/>
      <c r="O255" s="1665"/>
      <c r="P255" s="1665"/>
      <c r="Q255" s="1665"/>
      <c r="R255" s="1665"/>
      <c r="S255" s="1665"/>
      <c r="T255" s="1665"/>
      <c r="U255" s="1665"/>
      <c r="V255" s="1665"/>
      <c r="W255" s="1665"/>
      <c r="Y255" s="1184"/>
      <c r="Z255" s="1660"/>
      <c r="AA255" s="1660"/>
      <c r="AB255" s="1184"/>
      <c r="AC255" s="1184"/>
      <c r="AD255" s="1184"/>
      <c r="AE255" s="1184"/>
      <c r="AF255" s="1660"/>
      <c r="AG255" s="1184"/>
      <c r="AH255" s="1184"/>
      <c r="AI255" s="568"/>
      <c r="AJ255" s="1184"/>
      <c r="AK255" s="1184"/>
      <c r="AL255" s="1184"/>
      <c r="AM255" s="1184"/>
      <c r="AN255" s="1184"/>
      <c r="AO255" s="1656"/>
      <c r="AP255" s="590"/>
      <c r="AQ255" s="590"/>
      <c r="AR255" s="590"/>
      <c r="AS255" s="590"/>
      <c r="AT255" s="1665">
        <v>11</v>
      </c>
    </row>
    <row s="1665" customFormat="1" customHeight="1" ht="11.549999999999999">
      <c r="A256" s="1011"/>
      <c r="B256" s="1660"/>
      <c r="C256" s="1660"/>
      <c r="D256" s="375"/>
      <c r="J256" s="1665"/>
      <c r="K256" s="1665"/>
      <c r="L256" s="1665"/>
      <c r="M256" s="1665"/>
      <c r="N256" s="1665"/>
      <c r="O256" s="1665"/>
      <c r="P256" s="1665"/>
      <c r="Q256" s="1665"/>
      <c r="R256" s="1665"/>
      <c r="S256" s="1665"/>
      <c r="T256" s="1665"/>
      <c r="U256" s="1665"/>
      <c r="V256" s="1665"/>
      <c r="W256" s="1665"/>
      <c r="Y256" s="1184"/>
      <c r="Z256" s="1660"/>
      <c r="AA256" s="1660"/>
      <c r="AB256" s="1184"/>
      <c r="AC256" s="1184"/>
      <c r="AD256" s="1184"/>
      <c r="AE256" s="1184"/>
      <c r="AF256" s="1660"/>
      <c r="AG256" s="1184"/>
      <c r="AH256" s="1184"/>
      <c r="AI256" s="568"/>
      <c r="AJ256" s="1184"/>
      <c r="AK256" s="1184"/>
      <c r="AL256" s="1184"/>
      <c r="AM256" s="1184"/>
      <c r="AN256" s="1184"/>
      <c r="AO256" s="1656"/>
      <c r="AP256" s="590"/>
      <c r="AQ256" s="590"/>
      <c r="AR256" s="590"/>
      <c r="AS256" s="590"/>
      <c r="AT256" s="1665">
        <v>11</v>
      </c>
    </row>
    <row s="1665" customFormat="1" customHeight="1" ht="11.549999999999999">
      <c r="A257" s="1011"/>
      <c r="B257" s="1660"/>
      <c r="C257" s="1660"/>
      <c r="D257" s="375"/>
      <c r="J257" s="1665"/>
      <c r="K257" s="1665"/>
      <c r="L257" s="1665"/>
      <c r="M257" s="1665"/>
      <c r="N257" s="1665"/>
      <c r="O257" s="1665"/>
      <c r="P257" s="1665"/>
      <c r="Q257" s="1665"/>
      <c r="R257" s="1665"/>
      <c r="S257" s="1665"/>
      <c r="T257" s="1665"/>
      <c r="U257" s="1665"/>
      <c r="V257" s="1665"/>
      <c r="W257" s="1665"/>
      <c r="Y257" s="1184"/>
      <c r="Z257" s="1660"/>
      <c r="AA257" s="1660"/>
      <c r="AB257" s="1184"/>
      <c r="AC257" s="1184"/>
      <c r="AD257" s="1184"/>
      <c r="AE257" s="1184"/>
      <c r="AF257" s="1660"/>
      <c r="AG257" s="1184"/>
      <c r="AH257" s="1184"/>
      <c r="AI257" s="568"/>
      <c r="AJ257" s="1184"/>
      <c r="AK257" s="1184"/>
      <c r="AL257" s="1184"/>
      <c r="AM257" s="1184"/>
      <c r="AN257" s="1184"/>
      <c r="AO257" s="1656"/>
      <c r="AP257" s="590"/>
      <c r="AQ257" s="590"/>
      <c r="AR257" s="590"/>
      <c r="AS257" s="590"/>
      <c r="AT257" s="1665">
        <v>11</v>
      </c>
    </row>
    <row s="1665" customFormat="1" customHeight="1" ht="11.549999999999999">
      <c r="A258" s="1011"/>
      <c r="B258" s="1660"/>
      <c r="C258" s="1660"/>
      <c r="D258" s="375"/>
      <c r="J258" s="1665"/>
      <c r="K258" s="1665"/>
      <c r="L258" s="1665"/>
      <c r="M258" s="1665"/>
      <c r="N258" s="1665"/>
      <c r="O258" s="1665"/>
      <c r="P258" s="1665"/>
      <c r="Q258" s="1665"/>
      <c r="R258" s="1665"/>
      <c r="S258" s="1665"/>
      <c r="T258" s="1665"/>
      <c r="U258" s="1665"/>
      <c r="V258" s="1665"/>
      <c r="W258" s="1665"/>
      <c r="Y258" s="1184"/>
      <c r="Z258" s="1660"/>
      <c r="AA258" s="1660"/>
      <c r="AB258" s="1184"/>
      <c r="AC258" s="1184"/>
      <c r="AD258" s="1184"/>
      <c r="AE258" s="1184"/>
      <c r="AF258" s="1660"/>
      <c r="AG258" s="1184"/>
      <c r="AH258" s="1184"/>
      <c r="AI258" s="568"/>
      <c r="AJ258" s="1184"/>
      <c r="AK258" s="1184"/>
      <c r="AL258" s="1184"/>
      <c r="AM258" s="1184"/>
      <c r="AN258" s="1184"/>
      <c r="AO258" s="1656"/>
      <c r="AP258" s="590"/>
      <c r="AQ258" s="590"/>
      <c r="AR258" s="590"/>
      <c r="AS258" s="590"/>
      <c r="AT258" s="1665">
        <v>11</v>
      </c>
    </row>
    <row s="1665" customFormat="1" customHeight="1" ht="11.549999999999999">
      <c r="A259" s="1011"/>
      <c r="B259" s="1660"/>
      <c r="C259" s="1660"/>
      <c r="D259" s="375"/>
      <c r="J259" s="1665"/>
      <c r="K259" s="1665"/>
      <c r="L259" s="1665"/>
      <c r="M259" s="1665"/>
      <c r="N259" s="1665"/>
      <c r="O259" s="1665"/>
      <c r="P259" s="1665"/>
      <c r="Q259" s="1665"/>
      <c r="R259" s="1665"/>
      <c r="S259" s="1665"/>
      <c r="T259" s="1665"/>
      <c r="U259" s="1665"/>
      <c r="V259" s="1665"/>
      <c r="W259" s="1665"/>
      <c r="Y259" s="1184"/>
      <c r="Z259" s="1660"/>
      <c r="AA259" s="1660"/>
      <c r="AB259" s="1184"/>
      <c r="AC259" s="1184"/>
      <c r="AD259" s="1184"/>
      <c r="AE259" s="1184"/>
      <c r="AF259" s="1660"/>
      <c r="AG259" s="1184"/>
      <c r="AH259" s="1184"/>
      <c r="AI259" s="568"/>
      <c r="AJ259" s="1184"/>
      <c r="AK259" s="1184"/>
      <c r="AL259" s="1184"/>
      <c r="AM259" s="1184"/>
      <c r="AN259" s="1184"/>
      <c r="AO259" s="1656"/>
      <c r="AP259" s="590"/>
      <c r="AQ259" s="590"/>
      <c r="AR259" s="590"/>
      <c r="AS259" s="590"/>
      <c r="AT259" s="1665">
        <v>11</v>
      </c>
    </row>
    <row s="1665" customFormat="1" customHeight="1" ht="11.549999999999999">
      <c r="A260" s="1011"/>
      <c r="B260" s="1660"/>
      <c r="C260" s="1660"/>
      <c r="D260" s="375"/>
      <c r="J260" s="1665"/>
      <c r="K260" s="1665"/>
      <c r="L260" s="1665"/>
      <c r="M260" s="1665"/>
      <c r="N260" s="1665"/>
      <c r="O260" s="1665"/>
      <c r="P260" s="1665"/>
      <c r="Q260" s="1665"/>
      <c r="R260" s="1665"/>
      <c r="S260" s="1665"/>
      <c r="T260" s="1665"/>
      <c r="U260" s="1665"/>
      <c r="V260" s="1665"/>
      <c r="W260" s="1665"/>
      <c r="Y260" s="1184"/>
      <c r="Z260" s="1660"/>
      <c r="AA260" s="1660"/>
      <c r="AB260" s="1184"/>
      <c r="AC260" s="1184"/>
      <c r="AD260" s="1184"/>
      <c r="AE260" s="1184"/>
      <c r="AF260" s="1660"/>
      <c r="AG260" s="1184"/>
      <c r="AH260" s="1184"/>
      <c r="AI260" s="568"/>
      <c r="AJ260" s="1184"/>
      <c r="AK260" s="1184"/>
      <c r="AL260" s="1184"/>
      <c r="AM260" s="1184"/>
      <c r="AN260" s="1184"/>
      <c r="AO260" s="1656"/>
      <c r="AP260" s="590"/>
      <c r="AQ260" s="590"/>
      <c r="AR260" s="590"/>
      <c r="AS260" s="590"/>
      <c r="AT260" s="1665">
        <v>11</v>
      </c>
    </row>
    <row s="1665" customFormat="1" customHeight="1" ht="11.549999999999999">
      <c r="A261" s="1011"/>
      <c r="B261" s="1660"/>
      <c r="C261" s="1660"/>
      <c r="D261" s="375"/>
      <c r="J261" s="1665"/>
      <c r="K261" s="1665"/>
      <c r="L261" s="1665"/>
      <c r="M261" s="1665"/>
      <c r="N261" s="1665"/>
      <c r="O261" s="1665"/>
      <c r="P261" s="1665"/>
      <c r="Q261" s="1665"/>
      <c r="R261" s="1665"/>
      <c r="S261" s="1665"/>
      <c r="T261" s="1665"/>
      <c r="U261" s="1665"/>
      <c r="V261" s="1665"/>
      <c r="W261" s="1665"/>
      <c r="Y261" s="1184"/>
      <c r="Z261" s="1660"/>
      <c r="AA261" s="1660"/>
      <c r="AB261" s="1184"/>
      <c r="AC261" s="1184"/>
      <c r="AD261" s="1184"/>
      <c r="AE261" s="1184"/>
      <c r="AF261" s="1660"/>
      <c r="AG261" s="1184"/>
      <c r="AH261" s="1184"/>
      <c r="AI261" s="568"/>
      <c r="AJ261" s="1184"/>
      <c r="AK261" s="1184"/>
      <c r="AL261" s="1184"/>
      <c r="AM261" s="1184"/>
      <c r="AN261" s="1184"/>
      <c r="AO261" s="1656"/>
      <c r="AP261" s="590"/>
      <c r="AQ261" s="590"/>
      <c r="AR261" s="590"/>
      <c r="AS261" s="590"/>
      <c r="AT261" s="1665">
        <v>11</v>
      </c>
    </row>
    <row s="1665" customFormat="1" customHeight="1" ht="11.549999999999999">
      <c r="A262" s="1011"/>
      <c r="B262" s="1660"/>
      <c r="C262" s="1660"/>
      <c r="D262" s="375"/>
      <c r="J262" s="1665"/>
      <c r="K262" s="1665"/>
      <c r="L262" s="1665"/>
      <c r="M262" s="1665"/>
      <c r="N262" s="1665"/>
      <c r="O262" s="1665"/>
      <c r="P262" s="1665"/>
      <c r="Q262" s="1665"/>
      <c r="R262" s="1665"/>
      <c r="S262" s="1665"/>
      <c r="T262" s="1665"/>
      <c r="U262" s="1665"/>
      <c r="V262" s="1665"/>
      <c r="W262" s="1665"/>
      <c r="Y262" s="1184"/>
      <c r="Z262" s="1660"/>
      <c r="AA262" s="1660"/>
      <c r="AB262" s="1184"/>
      <c r="AC262" s="1184"/>
      <c r="AD262" s="1184"/>
      <c r="AE262" s="1184"/>
      <c r="AF262" s="1660"/>
      <c r="AG262" s="1184"/>
      <c r="AH262" s="1184"/>
      <c r="AI262" s="568"/>
      <c r="AJ262" s="1184"/>
      <c r="AK262" s="1184"/>
      <c r="AL262" s="1184"/>
      <c r="AM262" s="1184"/>
      <c r="AN262" s="1184"/>
      <c r="AO262" s="1656"/>
      <c r="AP262" s="590"/>
      <c r="AQ262" s="590"/>
      <c r="AR262" s="590"/>
      <c r="AS262" s="590"/>
      <c r="AT262" s="1665">
        <v>11</v>
      </c>
    </row>
    <row s="1665" customFormat="1" customHeight="1" ht="11.549999999999999">
      <c r="A263" s="1011"/>
      <c r="B263" s="1660"/>
      <c r="C263" s="1660"/>
      <c r="D263" s="375"/>
      <c r="J263" s="1665"/>
      <c r="K263" s="1665"/>
      <c r="L263" s="1665"/>
      <c r="M263" s="1665"/>
      <c r="N263" s="1665"/>
      <c r="O263" s="1665"/>
      <c r="P263" s="1665"/>
      <c r="Q263" s="1665"/>
      <c r="R263" s="1665"/>
      <c r="S263" s="1665"/>
      <c r="T263" s="1665"/>
      <c r="U263" s="1665"/>
      <c r="V263" s="1665"/>
      <c r="W263" s="1665"/>
      <c r="Y263" s="1184"/>
      <c r="Z263" s="1660"/>
      <c r="AA263" s="1660"/>
      <c r="AB263" s="1184"/>
      <c r="AC263" s="1184"/>
      <c r="AD263" s="1184"/>
      <c r="AE263" s="1184"/>
      <c r="AF263" s="1660"/>
      <c r="AG263" s="1184"/>
      <c r="AH263" s="1184"/>
      <c r="AI263" s="568"/>
      <c r="AJ263" s="1184"/>
      <c r="AK263" s="1184"/>
      <c r="AL263" s="1184"/>
      <c r="AM263" s="1184"/>
      <c r="AN263" s="1184"/>
      <c r="AO263" s="1656"/>
      <c r="AP263" s="590"/>
      <c r="AQ263" s="590"/>
      <c r="AR263" s="590"/>
      <c r="AS263" s="590"/>
      <c r="AT263" s="1665">
        <v>11</v>
      </c>
    </row>
    <row s="1665" customFormat="1" customHeight="1" ht="11.549999999999999">
      <c r="A264" s="1011"/>
      <c r="B264" s="1660"/>
      <c r="C264" s="1660"/>
      <c r="D264" s="375"/>
      <c r="J264" s="1665"/>
      <c r="K264" s="1665"/>
      <c r="L264" s="1665"/>
      <c r="M264" s="1665"/>
      <c r="N264" s="1665"/>
      <c r="O264" s="1665"/>
      <c r="P264" s="1665"/>
      <c r="Q264" s="1665"/>
      <c r="R264" s="1665"/>
      <c r="S264" s="1665"/>
      <c r="T264" s="1665"/>
      <c r="U264" s="1665"/>
      <c r="V264" s="1665"/>
      <c r="W264" s="1665"/>
      <c r="Y264" s="1184"/>
      <c r="Z264" s="1660"/>
      <c r="AA264" s="1660"/>
      <c r="AB264" s="1184"/>
      <c r="AC264" s="1184"/>
      <c r="AD264" s="1184"/>
      <c r="AE264" s="1184"/>
      <c r="AF264" s="1660"/>
      <c r="AG264" s="1184"/>
      <c r="AH264" s="1184"/>
      <c r="AI264" s="568"/>
      <c r="AJ264" s="1184"/>
      <c r="AK264" s="1184"/>
      <c r="AL264" s="1184"/>
      <c r="AM264" s="1184"/>
      <c r="AN264" s="1184"/>
      <c r="AO264" s="1656"/>
      <c r="AP264" s="590"/>
      <c r="AQ264" s="590"/>
      <c r="AR264" s="590"/>
      <c r="AS264" s="590"/>
      <c r="AT264" s="1665">
        <v>11</v>
      </c>
    </row>
    <row s="1665" customFormat="1" customHeight="1" ht="11.549999999999999">
      <c r="A265" s="1011"/>
      <c r="B265" s="1660"/>
      <c r="C265" s="1660"/>
      <c r="D265" s="375"/>
      <c r="J265" s="1665"/>
      <c r="K265" s="1665"/>
      <c r="L265" s="1665"/>
      <c r="M265" s="1665"/>
      <c r="N265" s="1665"/>
      <c r="O265" s="1665"/>
      <c r="P265" s="1665"/>
      <c r="Q265" s="1665"/>
      <c r="R265" s="1665"/>
      <c r="S265" s="1665"/>
      <c r="T265" s="1665"/>
      <c r="U265" s="1665"/>
      <c r="V265" s="1665"/>
      <c r="W265" s="1665"/>
      <c r="Y265" s="1184"/>
      <c r="Z265" s="1660"/>
      <c r="AA265" s="1660"/>
      <c r="AB265" s="1184"/>
      <c r="AC265" s="1184"/>
      <c r="AD265" s="1184"/>
      <c r="AE265" s="1184"/>
      <c r="AF265" s="1660"/>
      <c r="AG265" s="1184"/>
      <c r="AH265" s="1184"/>
      <c r="AI265" s="568"/>
      <c r="AJ265" s="1184"/>
      <c r="AK265" s="1184"/>
      <c r="AL265" s="1184"/>
      <c r="AM265" s="1184"/>
      <c r="AN265" s="1184"/>
      <c r="AO265" s="1656"/>
      <c r="AP265" s="590"/>
      <c r="AQ265" s="590"/>
      <c r="AR265" s="590"/>
      <c r="AS265" s="590"/>
      <c r="AT265" s="1665">
        <v>11</v>
      </c>
    </row>
    <row s="1665" customFormat="1" customHeight="1" ht="11.549999999999999">
      <c r="A266" s="1011"/>
      <c r="B266" s="1660"/>
      <c r="C266" s="1660"/>
      <c r="D266" s="375"/>
      <c r="J266" s="1665"/>
      <c r="K266" s="1665"/>
      <c r="L266" s="1665"/>
      <c r="M266" s="1665"/>
      <c r="N266" s="1665"/>
      <c r="O266" s="1665"/>
      <c r="P266" s="1665"/>
      <c r="Q266" s="1665"/>
      <c r="R266" s="1665"/>
      <c r="S266" s="1665"/>
      <c r="T266" s="1665"/>
      <c r="U266" s="1665"/>
      <c r="V266" s="1665"/>
      <c r="W266" s="1665"/>
      <c r="Y266" s="1184"/>
      <c r="Z266" s="1660"/>
      <c r="AA266" s="1660"/>
      <c r="AB266" s="1184"/>
      <c r="AC266" s="1184"/>
      <c r="AD266" s="1184"/>
      <c r="AE266" s="1184"/>
      <c r="AF266" s="1660"/>
      <c r="AG266" s="1184"/>
      <c r="AH266" s="1184"/>
      <c r="AI266" s="568"/>
      <c r="AJ266" s="1184"/>
      <c r="AK266" s="1184"/>
      <c r="AL266" s="1184"/>
      <c r="AM266" s="1184"/>
      <c r="AN266" s="1184"/>
      <c r="AO266" s="1656"/>
      <c r="AP266" s="590"/>
      <c r="AQ266" s="590"/>
      <c r="AR266" s="590"/>
      <c r="AS266" s="590"/>
      <c r="AT266" s="1665">
        <v>11</v>
      </c>
    </row>
    <row s="1665" customFormat="1" customHeight="1" ht="11.549999999999999">
      <c r="A267" s="1011"/>
      <c r="B267" s="1660"/>
      <c r="C267" s="1660"/>
      <c r="D267" s="375"/>
      <c r="J267" s="1665"/>
      <c r="K267" s="1665"/>
      <c r="L267" s="1665"/>
      <c r="M267" s="1665"/>
      <c r="N267" s="1665"/>
      <c r="O267" s="1665"/>
      <c r="P267" s="1665"/>
      <c r="Q267" s="1665"/>
      <c r="R267" s="1665"/>
      <c r="S267" s="1665"/>
      <c r="T267" s="1665"/>
      <c r="U267" s="1665"/>
      <c r="V267" s="1665"/>
      <c r="W267" s="1665"/>
      <c r="Y267" s="1184"/>
      <c r="Z267" s="1660"/>
      <c r="AA267" s="1660"/>
      <c r="AB267" s="1184"/>
      <c r="AC267" s="1184"/>
      <c r="AD267" s="1184"/>
      <c r="AE267" s="1184"/>
      <c r="AF267" s="1660"/>
      <c r="AG267" s="1184"/>
      <c r="AH267" s="1184"/>
      <c r="AI267" s="568"/>
      <c r="AJ267" s="1184"/>
      <c r="AK267" s="1184"/>
      <c r="AL267" s="1184"/>
      <c r="AM267" s="1184"/>
      <c r="AN267" s="1184"/>
      <c r="AO267" s="1656"/>
      <c r="AP267" s="590"/>
      <c r="AQ267" s="590"/>
      <c r="AR267" s="590"/>
      <c r="AS267" s="590"/>
      <c r="AT267" s="1665">
        <v>11</v>
      </c>
    </row>
    <row s="1665" customFormat="1" customHeight="1" ht="11.549999999999999">
      <c r="A268" s="1011"/>
      <c r="B268" s="1660"/>
      <c r="C268" s="1660"/>
      <c r="D268" s="375"/>
      <c r="J268" s="1665"/>
      <c r="K268" s="1665"/>
      <c r="L268" s="1665"/>
      <c r="M268" s="1665"/>
      <c r="N268" s="1665"/>
      <c r="O268" s="1665"/>
      <c r="P268" s="1665"/>
      <c r="Q268" s="1665"/>
      <c r="R268" s="1665"/>
      <c r="S268" s="1665"/>
      <c r="T268" s="1665"/>
      <c r="U268" s="1665"/>
      <c r="V268" s="1665"/>
      <c r="W268" s="1665"/>
      <c r="Y268" s="1184"/>
      <c r="Z268" s="1660"/>
      <c r="AA268" s="1660"/>
      <c r="AB268" s="1184"/>
      <c r="AC268" s="1184"/>
      <c r="AD268" s="1184"/>
      <c r="AE268" s="1184"/>
      <c r="AF268" s="1660"/>
      <c r="AG268" s="1184"/>
      <c r="AH268" s="1184"/>
      <c r="AI268" s="568"/>
      <c r="AJ268" s="1184"/>
      <c r="AK268" s="1184"/>
      <c r="AL268" s="1184"/>
      <c r="AM268" s="1184"/>
      <c r="AN268" s="1184"/>
      <c r="AO268" s="1656"/>
      <c r="AP268" s="590"/>
      <c r="AQ268" s="590"/>
      <c r="AR268" s="590"/>
      <c r="AS268" s="590"/>
      <c r="AT268" s="1665">
        <v>11</v>
      </c>
    </row>
    <row s="1665" customFormat="1" customHeight="1" ht="11.549999999999999">
      <c r="A269" s="1011"/>
      <c r="B269" s="1660"/>
      <c r="C269" s="1660"/>
      <c r="D269" s="375"/>
      <c r="J269" s="1665"/>
      <c r="K269" s="1665"/>
      <c r="L269" s="1665"/>
      <c r="M269" s="1665"/>
      <c r="N269" s="1665"/>
      <c r="O269" s="1665"/>
      <c r="P269" s="1665"/>
      <c r="Q269" s="1665"/>
      <c r="R269" s="1665"/>
      <c r="S269" s="1665"/>
      <c r="T269" s="1665"/>
      <c r="U269" s="1665"/>
      <c r="V269" s="1665"/>
      <c r="W269" s="1665"/>
      <c r="Y269" s="1184"/>
      <c r="Z269" s="1660"/>
      <c r="AA269" s="1660"/>
      <c r="AB269" s="1184"/>
      <c r="AC269" s="1184"/>
      <c r="AD269" s="1184"/>
      <c r="AE269" s="1184"/>
      <c r="AF269" s="1660"/>
      <c r="AG269" s="1184"/>
      <c r="AH269" s="1184"/>
      <c r="AI269" s="568"/>
      <c r="AJ269" s="1184"/>
      <c r="AK269" s="1184"/>
      <c r="AL269" s="1184"/>
      <c r="AM269" s="1184"/>
      <c r="AN269" s="1184"/>
      <c r="AO269" s="1656"/>
      <c r="AP269" s="590"/>
      <c r="AQ269" s="590"/>
      <c r="AR269" s="590"/>
      <c r="AS269" s="590"/>
      <c r="AT269" s="1665">
        <v>11</v>
      </c>
    </row>
    <row s="1665" customFormat="1" customHeight="1" ht="11.549999999999999">
      <c r="A270" s="1011"/>
      <c r="B270" s="1660"/>
      <c r="C270" s="1660"/>
      <c r="D270" s="375"/>
      <c r="J270" s="1665"/>
      <c r="K270" s="1665"/>
      <c r="L270" s="1665"/>
      <c r="M270" s="1665"/>
      <c r="N270" s="1665"/>
      <c r="O270" s="1665"/>
      <c r="P270" s="1665"/>
      <c r="Q270" s="1665"/>
      <c r="R270" s="1665"/>
      <c r="S270" s="1665"/>
      <c r="T270" s="1665"/>
      <c r="U270" s="1665"/>
      <c r="V270" s="1665"/>
      <c r="W270" s="1665"/>
      <c r="Y270" s="1184"/>
      <c r="Z270" s="1660"/>
      <c r="AA270" s="1660"/>
      <c r="AB270" s="1184"/>
      <c r="AC270" s="1184"/>
      <c r="AD270" s="1184"/>
      <c r="AE270" s="1184"/>
      <c r="AF270" s="1660"/>
      <c r="AG270" s="1184"/>
      <c r="AH270" s="1184"/>
      <c r="AI270" s="568"/>
      <c r="AJ270" s="1184"/>
      <c r="AK270" s="1184"/>
      <c r="AL270" s="1184"/>
      <c r="AM270" s="1184"/>
      <c r="AN270" s="1184"/>
      <c r="AO270" s="1656"/>
      <c r="AP270" s="590"/>
      <c r="AQ270" s="590"/>
      <c r="AR270" s="590"/>
      <c r="AS270" s="590"/>
      <c r="AT270" s="1665">
        <v>11</v>
      </c>
    </row>
    <row s="1665" customFormat="1" customHeight="1" ht="11.549999999999999">
      <c r="A271" s="1011"/>
      <c r="B271" s="1660"/>
      <c r="C271" s="1660"/>
      <c r="D271" s="375"/>
      <c r="J271" s="1665"/>
      <c r="K271" s="1665"/>
      <c r="L271" s="1665"/>
      <c r="M271" s="1665"/>
      <c r="N271" s="1665"/>
      <c r="O271" s="1665"/>
      <c r="P271" s="1665"/>
      <c r="Q271" s="1665"/>
      <c r="R271" s="1665"/>
      <c r="S271" s="1665"/>
      <c r="T271" s="1665"/>
      <c r="U271" s="1665"/>
      <c r="V271" s="1665"/>
      <c r="W271" s="1665"/>
      <c r="Y271" s="1184"/>
      <c r="Z271" s="1660"/>
      <c r="AA271" s="1660"/>
      <c r="AB271" s="1184"/>
      <c r="AC271" s="1184"/>
      <c r="AD271" s="1184"/>
      <c r="AE271" s="1184"/>
      <c r="AF271" s="1660"/>
      <c r="AG271" s="1184"/>
      <c r="AH271" s="1184"/>
      <c r="AI271" s="568"/>
      <c r="AJ271" s="1184"/>
      <c r="AK271" s="1184"/>
      <c r="AL271" s="1184"/>
      <c r="AM271" s="1184"/>
      <c r="AN271" s="1184"/>
      <c r="AO271" s="1656"/>
      <c r="AP271" s="590"/>
      <c r="AQ271" s="590"/>
      <c r="AR271" s="590"/>
      <c r="AS271" s="590"/>
      <c r="AT271" s="1665">
        <v>11</v>
      </c>
    </row>
    <row s="1665" customFormat="1" customHeight="1" ht="11.549999999999999">
      <c r="A272" s="1011"/>
      <c r="B272" s="1660"/>
      <c r="C272" s="1660"/>
      <c r="D272" s="375"/>
      <c r="J272" s="1665"/>
      <c r="K272" s="1665"/>
      <c r="L272" s="1665"/>
      <c r="M272" s="1665"/>
      <c r="N272" s="1665"/>
      <c r="O272" s="1665"/>
      <c r="P272" s="1665"/>
      <c r="Q272" s="1665"/>
      <c r="R272" s="1665"/>
      <c r="S272" s="1665"/>
      <c r="T272" s="1665"/>
      <c r="U272" s="1665"/>
      <c r="V272" s="1665"/>
      <c r="W272" s="1665"/>
      <c r="Y272" s="1184"/>
      <c r="Z272" s="1660"/>
      <c r="AA272" s="1660"/>
      <c r="AB272" s="1184"/>
      <c r="AC272" s="1184"/>
      <c r="AD272" s="1184"/>
      <c r="AE272" s="1184"/>
      <c r="AF272" s="1660"/>
      <c r="AG272" s="1184"/>
      <c r="AH272" s="1184"/>
      <c r="AI272" s="568"/>
      <c r="AJ272" s="1184"/>
      <c r="AK272" s="1184"/>
      <c r="AL272" s="1184"/>
      <c r="AM272" s="1184"/>
      <c r="AN272" s="1184"/>
      <c r="AO272" s="1656"/>
      <c r="AP272" s="590"/>
      <c r="AQ272" s="590"/>
      <c r="AR272" s="590"/>
      <c r="AS272" s="590"/>
      <c r="AT272" s="1665">
        <v>11</v>
      </c>
    </row>
    <row s="1665" customFormat="1" customHeight="1" ht="11.549999999999999">
      <c r="A273" s="1011"/>
      <c r="B273" s="1660"/>
      <c r="C273" s="1660"/>
      <c r="D273" s="375"/>
      <c r="J273" s="1665"/>
      <c r="K273" s="1665"/>
      <c r="L273" s="1665"/>
      <c r="M273" s="1665"/>
      <c r="N273" s="1665"/>
      <c r="O273" s="1665"/>
      <c r="P273" s="1665"/>
      <c r="Q273" s="1665"/>
      <c r="R273" s="1665"/>
      <c r="S273" s="1665"/>
      <c r="T273" s="1665"/>
      <c r="U273" s="1665"/>
      <c r="V273" s="1665"/>
      <c r="W273" s="1665"/>
      <c r="Y273" s="1184"/>
      <c r="Z273" s="1660"/>
      <c r="AA273" s="1660"/>
      <c r="AB273" s="1184"/>
      <c r="AC273" s="1184"/>
      <c r="AD273" s="1184"/>
      <c r="AE273" s="1184"/>
      <c r="AF273" s="1660"/>
      <c r="AG273" s="1184"/>
      <c r="AH273" s="1184"/>
      <c r="AI273" s="568"/>
      <c r="AJ273" s="1184"/>
      <c r="AK273" s="1184"/>
      <c r="AL273" s="1184"/>
      <c r="AM273" s="1184"/>
      <c r="AN273" s="1184"/>
      <c r="AO273" s="1656"/>
      <c r="AP273" s="590"/>
      <c r="AQ273" s="590"/>
      <c r="AR273" s="590"/>
      <c r="AS273" s="590"/>
      <c r="AT273" s="1665">
        <v>11</v>
      </c>
    </row>
    <row s="1665" customFormat="1" customHeight="1" ht="11.549999999999999">
      <c r="A274" s="1011"/>
      <c r="B274" s="1660"/>
      <c r="C274" s="1660"/>
      <c r="D274" s="375"/>
      <c r="J274" s="1665"/>
      <c r="K274" s="1665"/>
      <c r="L274" s="1665"/>
      <c r="M274" s="1665"/>
      <c r="N274" s="1665"/>
      <c r="O274" s="1665"/>
      <c r="P274" s="1665"/>
      <c r="Q274" s="1665"/>
      <c r="R274" s="1665"/>
      <c r="S274" s="1665"/>
      <c r="T274" s="1665"/>
      <c r="U274" s="1665"/>
      <c r="V274" s="1665"/>
      <c r="W274" s="1665"/>
      <c r="Y274" s="1184"/>
      <c r="Z274" s="1660"/>
      <c r="AA274" s="1660"/>
      <c r="AB274" s="1184"/>
      <c r="AC274" s="1184"/>
      <c r="AD274" s="1184"/>
      <c r="AE274" s="1184"/>
      <c r="AF274" s="1660"/>
      <c r="AG274" s="1184"/>
      <c r="AH274" s="1184"/>
      <c r="AI274" s="568"/>
      <c r="AJ274" s="1184"/>
      <c r="AK274" s="1184"/>
      <c r="AL274" s="1184"/>
      <c r="AM274" s="1184"/>
      <c r="AN274" s="1184"/>
      <c r="AO274" s="1656"/>
      <c r="AP274" s="590"/>
      <c r="AQ274" s="590"/>
      <c r="AR274" s="590"/>
      <c r="AS274" s="590"/>
      <c r="AT274" s="1665">
        <v>11</v>
      </c>
    </row>
    <row s="1665" customFormat="1" customHeight="1" ht="11.549999999999999">
      <c r="A275" s="1011"/>
      <c r="B275" s="1660"/>
      <c r="C275" s="1660"/>
      <c r="D275" s="375"/>
      <c r="J275" s="1665"/>
      <c r="K275" s="1665"/>
      <c r="L275" s="1665"/>
      <c r="M275" s="1665"/>
      <c r="N275" s="1665"/>
      <c r="O275" s="1665"/>
      <c r="P275" s="1665"/>
      <c r="Q275" s="1665"/>
      <c r="R275" s="1665"/>
      <c r="S275" s="1665"/>
      <c r="T275" s="1665"/>
      <c r="U275" s="1665"/>
      <c r="V275" s="1665"/>
      <c r="W275" s="1665"/>
      <c r="Y275" s="1184"/>
      <c r="Z275" s="1660"/>
      <c r="AA275" s="1660"/>
      <c r="AB275" s="1184"/>
      <c r="AC275" s="1184"/>
      <c r="AD275" s="1184"/>
      <c r="AE275" s="1184"/>
      <c r="AF275" s="1660"/>
      <c r="AG275" s="1184"/>
      <c r="AH275" s="1184"/>
      <c r="AI275" s="568"/>
      <c r="AJ275" s="1184"/>
      <c r="AK275" s="1184"/>
      <c r="AL275" s="1184"/>
      <c r="AM275" s="1184"/>
      <c r="AN275" s="1184"/>
      <c r="AO275" s="1656"/>
      <c r="AP275" s="590"/>
      <c r="AQ275" s="590"/>
      <c r="AR275" s="590"/>
      <c r="AS275" s="590"/>
      <c r="AT275" s="1665">
        <v>11</v>
      </c>
    </row>
    <row s="1665" customFormat="1" customHeight="1" ht="11.549999999999999">
      <c r="A276" s="1011"/>
      <c r="B276" s="1660"/>
      <c r="C276" s="1660"/>
      <c r="D276" s="375"/>
      <c r="J276" s="1665"/>
      <c r="K276" s="1665"/>
      <c r="L276" s="1665"/>
      <c r="M276" s="1665"/>
      <c r="N276" s="1665"/>
      <c r="O276" s="1665"/>
      <c r="P276" s="1665"/>
      <c r="Q276" s="1665"/>
      <c r="R276" s="1665"/>
      <c r="S276" s="1665"/>
      <c r="T276" s="1665"/>
      <c r="U276" s="1665"/>
      <c r="V276" s="1665"/>
      <c r="W276" s="1665"/>
      <c r="Y276" s="1184"/>
      <c r="Z276" s="1660"/>
      <c r="AA276" s="1660"/>
      <c r="AB276" s="1184"/>
      <c r="AC276" s="1184"/>
      <c r="AD276" s="1184"/>
      <c r="AE276" s="1184"/>
      <c r="AF276" s="1660"/>
      <c r="AG276" s="1184"/>
      <c r="AH276" s="1184"/>
      <c r="AI276" s="568"/>
      <c r="AJ276" s="1184"/>
      <c r="AK276" s="1184"/>
      <c r="AL276" s="1184"/>
      <c r="AM276" s="1184"/>
      <c r="AN276" s="1184"/>
      <c r="AO276" s="1656"/>
      <c r="AP276" s="590"/>
      <c r="AQ276" s="590"/>
      <c r="AR276" s="590"/>
      <c r="AS276" s="590"/>
      <c r="AT276" s="1665">
        <v>11</v>
      </c>
    </row>
    <row s="1665" customFormat="1" customHeight="1" ht="11.549999999999999">
      <c r="A277" s="1011"/>
      <c r="B277" s="1660"/>
      <c r="C277" s="1660"/>
      <c r="D277" s="375"/>
      <c r="J277" s="1665"/>
      <c r="K277" s="1665"/>
      <c r="L277" s="1665"/>
      <c r="M277" s="1665"/>
      <c r="N277" s="1665"/>
      <c r="O277" s="1665"/>
      <c r="P277" s="1665"/>
      <c r="Q277" s="1665"/>
      <c r="R277" s="1665"/>
      <c r="S277" s="1665"/>
      <c r="T277" s="1665"/>
      <c r="U277" s="1665"/>
      <c r="V277" s="1665"/>
      <c r="W277" s="1665"/>
      <c r="Y277" s="1184"/>
      <c r="Z277" s="1660"/>
      <c r="AA277" s="1660"/>
      <c r="AB277" s="1184"/>
      <c r="AC277" s="1184"/>
      <c r="AD277" s="1184"/>
      <c r="AE277" s="1184"/>
      <c r="AF277" s="1660"/>
      <c r="AG277" s="1184"/>
      <c r="AH277" s="1184"/>
      <c r="AI277" s="568"/>
      <c r="AJ277" s="1184"/>
      <c r="AK277" s="1184"/>
      <c r="AL277" s="1184"/>
      <c r="AM277" s="1184"/>
      <c r="AN277" s="1184"/>
      <c r="AO277" s="1656"/>
      <c r="AP277" s="590"/>
      <c r="AQ277" s="590"/>
      <c r="AR277" s="590"/>
      <c r="AS277" s="590"/>
      <c r="AT277" s="1665">
        <v>11</v>
      </c>
    </row>
    <row s="1665" customFormat="1" customHeight="1" ht="11.549999999999999">
      <c r="A278" s="1011"/>
      <c r="B278" s="1660"/>
      <c r="C278" s="1660"/>
      <c r="D278" s="375"/>
      <c r="J278" s="1665"/>
      <c r="K278" s="1665"/>
      <c r="L278" s="1665"/>
      <c r="M278" s="1665"/>
      <c r="N278" s="1665"/>
      <c r="O278" s="1665"/>
      <c r="P278" s="1665"/>
      <c r="Q278" s="1665"/>
      <c r="R278" s="1665"/>
      <c r="S278" s="1665"/>
      <c r="T278" s="1665"/>
      <c r="U278" s="1665"/>
      <c r="V278" s="1665"/>
      <c r="W278" s="1665"/>
      <c r="Y278" s="1184"/>
      <c r="Z278" s="1660"/>
      <c r="AA278" s="1660"/>
      <c r="AB278" s="1184"/>
      <c r="AC278" s="1184"/>
      <c r="AD278" s="1184"/>
      <c r="AE278" s="1184"/>
      <c r="AF278" s="1660"/>
      <c r="AG278" s="1184"/>
      <c r="AH278" s="1184"/>
      <c r="AI278" s="568"/>
      <c r="AJ278" s="1184"/>
      <c r="AK278" s="1184"/>
      <c r="AL278" s="1184"/>
      <c r="AM278" s="1184"/>
      <c r="AN278" s="1184"/>
      <c r="AO278" s="1656"/>
      <c r="AP278" s="590"/>
      <c r="AQ278" s="590"/>
      <c r="AR278" s="590"/>
      <c r="AS278" s="590"/>
      <c r="AT278" s="1665">
        <v>11</v>
      </c>
    </row>
    <row s="1665" customFormat="1" customHeight="1" ht="11.549999999999999">
      <c r="A279" s="1011"/>
      <c r="B279" s="1660"/>
      <c r="C279" s="1660"/>
      <c r="D279" s="375"/>
      <c r="J279" s="1665"/>
      <c r="K279" s="1665"/>
      <c r="L279" s="1665"/>
      <c r="M279" s="1665"/>
      <c r="N279" s="1665"/>
      <c r="O279" s="1665"/>
      <c r="P279" s="1665"/>
      <c r="Q279" s="1665"/>
      <c r="R279" s="1665"/>
      <c r="S279" s="1665"/>
      <c r="T279" s="1665"/>
      <c r="U279" s="1665"/>
      <c r="V279" s="1665"/>
      <c r="W279" s="1665"/>
      <c r="Y279" s="1184"/>
      <c r="Z279" s="1660"/>
      <c r="AA279" s="1660"/>
      <c r="AB279" s="1184"/>
      <c r="AC279" s="1184"/>
      <c r="AD279" s="1184"/>
      <c r="AE279" s="1184"/>
      <c r="AF279" s="1660"/>
      <c r="AG279" s="1184"/>
      <c r="AH279" s="1184"/>
      <c r="AI279" s="568"/>
      <c r="AJ279" s="1184"/>
      <c r="AK279" s="1184"/>
      <c r="AL279" s="1184"/>
      <c r="AM279" s="1184"/>
      <c r="AN279" s="1184"/>
      <c r="AO279" s="1656"/>
      <c r="AP279" s="590"/>
      <c r="AQ279" s="590"/>
      <c r="AR279" s="590"/>
      <c r="AS279" s="590"/>
      <c r="AT279" s="1665">
        <v>11</v>
      </c>
    </row>
    <row s="1665" customFormat="1" customHeight="1" ht="11.549999999999999">
      <c r="A280" s="1011"/>
      <c r="B280" s="1660"/>
      <c r="C280" s="1660"/>
      <c r="D280" s="375"/>
      <c r="J280" s="1665"/>
      <c r="K280" s="1665"/>
      <c r="L280" s="1665"/>
      <c r="M280" s="1665"/>
      <c r="N280" s="1665"/>
      <c r="O280" s="1665"/>
      <c r="P280" s="1665"/>
      <c r="Q280" s="1665"/>
      <c r="R280" s="1665"/>
      <c r="S280" s="1665"/>
      <c r="T280" s="1665"/>
      <c r="U280" s="1665"/>
      <c r="V280" s="1665"/>
      <c r="W280" s="1665"/>
      <c r="Y280" s="1184"/>
      <c r="Z280" s="1660"/>
      <c r="AA280" s="1660"/>
      <c r="AB280" s="1184"/>
      <c r="AC280" s="1184"/>
      <c r="AD280" s="1184"/>
      <c r="AE280" s="1184"/>
      <c r="AF280" s="1660"/>
      <c r="AG280" s="1184"/>
      <c r="AH280" s="1184"/>
      <c r="AI280" s="568"/>
      <c r="AJ280" s="1184"/>
      <c r="AK280" s="1184"/>
      <c r="AL280" s="1184"/>
      <c r="AM280" s="1184"/>
      <c r="AN280" s="1184"/>
      <c r="AO280" s="1656"/>
      <c r="AP280" s="590"/>
      <c r="AQ280" s="590"/>
      <c r="AR280" s="590"/>
      <c r="AS280" s="590"/>
      <c r="AT280" s="1665">
        <v>11</v>
      </c>
    </row>
    <row s="1665" customFormat="1" customHeight="1" ht="11.549999999999999">
      <c r="A281" s="1011"/>
      <c r="B281" s="1660"/>
      <c r="C281" s="1660"/>
      <c r="D281" s="375"/>
      <c r="J281" s="1665"/>
      <c r="K281" s="1665"/>
      <c r="L281" s="1665"/>
      <c r="M281" s="1665"/>
      <c r="N281" s="1665"/>
      <c r="O281" s="1665"/>
      <c r="P281" s="1665"/>
      <c r="Q281" s="1665"/>
      <c r="R281" s="1665"/>
      <c r="S281" s="1665"/>
      <c r="T281" s="1665"/>
      <c r="U281" s="1665"/>
      <c r="V281" s="1665"/>
      <c r="W281" s="1665"/>
      <c r="Y281" s="1184"/>
      <c r="Z281" s="1660"/>
      <c r="AA281" s="1660"/>
      <c r="AB281" s="1184"/>
      <c r="AC281" s="1184"/>
      <c r="AD281" s="1184"/>
      <c r="AE281" s="1184"/>
      <c r="AF281" s="1660"/>
      <c r="AG281" s="1184"/>
      <c r="AH281" s="1184"/>
      <c r="AI281" s="568"/>
      <c r="AJ281" s="1184"/>
      <c r="AK281" s="1184"/>
      <c r="AL281" s="1184"/>
      <c r="AM281" s="1184"/>
      <c r="AN281" s="1184"/>
      <c r="AO281" s="1656"/>
      <c r="AP281" s="590"/>
      <c r="AQ281" s="590"/>
      <c r="AR281" s="590"/>
      <c r="AS281" s="590"/>
      <c r="AT281" s="1665">
        <v>11</v>
      </c>
    </row>
    <row s="1665" customFormat="1" customHeight="1" ht="11.549999999999999">
      <c r="A282" s="1011"/>
      <c r="B282" s="1660"/>
      <c r="C282" s="1660"/>
      <c r="D282" s="375"/>
      <c r="J282" s="1665"/>
      <c r="K282" s="1665"/>
      <c r="L282" s="1665"/>
      <c r="M282" s="1665"/>
      <c r="N282" s="1665"/>
      <c r="O282" s="1665"/>
      <c r="P282" s="1665"/>
      <c r="Q282" s="1665"/>
      <c r="R282" s="1665"/>
      <c r="S282" s="1665"/>
      <c r="T282" s="1665"/>
      <c r="U282" s="1665"/>
      <c r="V282" s="1665"/>
      <c r="W282" s="1665"/>
      <c r="Y282" s="1184"/>
      <c r="Z282" s="1660"/>
      <c r="AA282" s="1660"/>
      <c r="AB282" s="1184"/>
      <c r="AC282" s="1184"/>
      <c r="AD282" s="1184"/>
      <c r="AE282" s="1184"/>
      <c r="AF282" s="1660"/>
      <c r="AG282" s="1184"/>
      <c r="AH282" s="1184"/>
      <c r="AI282" s="568"/>
      <c r="AJ282" s="1184"/>
      <c r="AK282" s="1184"/>
      <c r="AL282" s="1184"/>
      <c r="AM282" s="1184"/>
      <c r="AN282" s="1184"/>
      <c r="AO282" s="1656"/>
      <c r="AP282" s="590"/>
      <c r="AQ282" s="590"/>
      <c r="AR282" s="590"/>
      <c r="AS282" s="590"/>
      <c r="AT282" s="1665">
        <v>11</v>
      </c>
    </row>
    <row s="1665" customFormat="1" customHeight="1" ht="11.549999999999999">
      <c r="A283" s="1011"/>
      <c r="B283" s="1660"/>
      <c r="C283" s="1660"/>
      <c r="D283" s="375"/>
      <c r="J283" s="1665"/>
      <c r="K283" s="1665"/>
      <c r="L283" s="1665"/>
      <c r="M283" s="1665"/>
      <c r="N283" s="1665"/>
      <c r="O283" s="1665"/>
      <c r="P283" s="1665"/>
      <c r="Q283" s="1665"/>
      <c r="R283" s="1665"/>
      <c r="S283" s="1665"/>
      <c r="T283" s="1665"/>
      <c r="U283" s="1665"/>
      <c r="V283" s="1665"/>
      <c r="W283" s="1665"/>
      <c r="Y283" s="1184"/>
      <c r="Z283" s="1660"/>
      <c r="AA283" s="1660"/>
      <c r="AB283" s="1184"/>
      <c r="AC283" s="1184"/>
      <c r="AD283" s="1184"/>
      <c r="AE283" s="1184"/>
      <c r="AF283" s="1660"/>
      <c r="AG283" s="1184"/>
      <c r="AH283" s="1184"/>
      <c r="AI283" s="568"/>
      <c r="AJ283" s="1184"/>
      <c r="AK283" s="1184"/>
      <c r="AL283" s="1184"/>
      <c r="AM283" s="1184"/>
      <c r="AN283" s="1184"/>
      <c r="AO283" s="1656"/>
      <c r="AP283" s="590"/>
      <c r="AQ283" s="590"/>
      <c r="AR283" s="590"/>
      <c r="AS283" s="590"/>
      <c r="AT283" s="1665">
        <v>11</v>
      </c>
    </row>
    <row s="1665" customFormat="1" customHeight="1" ht="11.549999999999999">
      <c r="A284" s="1011"/>
      <c r="B284" s="1660"/>
      <c r="C284" s="1660"/>
      <c r="D284" s="375"/>
      <c r="J284" s="1665"/>
      <c r="K284" s="1665"/>
      <c r="L284" s="1665"/>
      <c r="M284" s="1665"/>
      <c r="N284" s="1665"/>
      <c r="O284" s="1665"/>
      <c r="P284" s="1665"/>
      <c r="Q284" s="1665"/>
      <c r="R284" s="1665"/>
      <c r="S284" s="1665"/>
      <c r="T284" s="1665"/>
      <c r="U284" s="1665"/>
      <c r="V284" s="1665"/>
      <c r="W284" s="1665"/>
      <c r="Y284" s="1184"/>
      <c r="Z284" s="1660"/>
      <c r="AA284" s="1660"/>
      <c r="AB284" s="1184"/>
      <c r="AC284" s="1184"/>
      <c r="AD284" s="1184"/>
      <c r="AE284" s="1184"/>
      <c r="AF284" s="1660"/>
      <c r="AG284" s="1184"/>
      <c r="AH284" s="1184"/>
      <c r="AI284" s="568"/>
      <c r="AJ284" s="1184"/>
      <c r="AK284" s="1184"/>
      <c r="AL284" s="1184"/>
      <c r="AM284" s="1184"/>
      <c r="AN284" s="1184"/>
      <c r="AO284" s="1656"/>
      <c r="AP284" s="590"/>
      <c r="AQ284" s="590"/>
      <c r="AR284" s="590"/>
      <c r="AS284" s="590"/>
      <c r="AT284" s="1665">
        <v>11</v>
      </c>
    </row>
    <row s="1665" customFormat="1" customHeight="1" ht="11.549999999999999">
      <c r="A285" s="1011"/>
      <c r="B285" s="1660"/>
      <c r="C285" s="1660"/>
      <c r="D285" s="375"/>
      <c r="J285" s="1665"/>
      <c r="K285" s="1665"/>
      <c r="L285" s="1665"/>
      <c r="M285" s="1665"/>
      <c r="N285" s="1665"/>
      <c r="O285" s="1665"/>
      <c r="P285" s="1665"/>
      <c r="Q285" s="1665"/>
      <c r="R285" s="1665"/>
      <c r="S285" s="1665"/>
      <c r="T285" s="1665"/>
      <c r="U285" s="1665"/>
      <c r="V285" s="1665"/>
      <c r="W285" s="1665"/>
      <c r="Y285" s="1184"/>
      <c r="Z285" s="1660"/>
      <c r="AA285" s="1660"/>
      <c r="AB285" s="1184"/>
      <c r="AC285" s="1184"/>
      <c r="AD285" s="1184"/>
      <c r="AE285" s="1184"/>
      <c r="AF285" s="1660"/>
      <c r="AG285" s="1184"/>
      <c r="AH285" s="1184"/>
      <c r="AI285" s="568"/>
      <c r="AJ285" s="1184"/>
      <c r="AK285" s="1184"/>
      <c r="AL285" s="1184"/>
      <c r="AM285" s="1184"/>
      <c r="AN285" s="1184"/>
      <c r="AO285" s="1656"/>
      <c r="AP285" s="590"/>
      <c r="AQ285" s="590"/>
      <c r="AR285" s="590"/>
      <c r="AS285" s="590"/>
      <c r="AT285" s="1665">
        <v>11</v>
      </c>
    </row>
    <row s="1665" customFormat="1" customHeight="1" ht="11.549999999999999">
      <c r="A286" s="1011"/>
      <c r="B286" s="1660"/>
      <c r="C286" s="1660"/>
      <c r="D286" s="375"/>
      <c r="J286" s="1665"/>
      <c r="K286" s="1665"/>
      <c r="L286" s="1665"/>
      <c r="M286" s="1665"/>
      <c r="N286" s="1665"/>
      <c r="O286" s="1665"/>
      <c r="P286" s="1665"/>
      <c r="Q286" s="1665"/>
      <c r="R286" s="1665"/>
      <c r="S286" s="1665"/>
      <c r="T286" s="1665"/>
      <c r="U286" s="1665"/>
      <c r="V286" s="1665"/>
      <c r="W286" s="1665"/>
      <c r="Y286" s="1184"/>
      <c r="Z286" s="1660"/>
      <c r="AA286" s="1660"/>
      <c r="AB286" s="1184"/>
      <c r="AC286" s="1184"/>
      <c r="AD286" s="1184"/>
      <c r="AE286" s="1184"/>
      <c r="AF286" s="1660"/>
      <c r="AG286" s="1184"/>
      <c r="AH286" s="1184"/>
      <c r="AI286" s="568"/>
      <c r="AJ286" s="1184"/>
      <c r="AK286" s="1184"/>
      <c r="AL286" s="1184"/>
      <c r="AM286" s="1184"/>
      <c r="AN286" s="1184"/>
      <c r="AO286" s="1656"/>
      <c r="AP286" s="590"/>
      <c r="AQ286" s="590"/>
      <c r="AR286" s="590"/>
      <c r="AS286" s="590"/>
      <c r="AT286" s="1665">
        <v>11</v>
      </c>
    </row>
    <row s="1665" customFormat="1" customHeight="1" ht="11.549999999999999">
      <c r="A287" s="1011"/>
      <c r="B287" s="1660"/>
      <c r="C287" s="1660"/>
      <c r="D287" s="375"/>
      <c r="J287" s="1665"/>
      <c r="K287" s="1665"/>
      <c r="L287" s="1665"/>
      <c r="M287" s="1665"/>
      <c r="N287" s="1665"/>
      <c r="O287" s="1665"/>
      <c r="P287" s="1665"/>
      <c r="Q287" s="1665"/>
      <c r="R287" s="1665"/>
      <c r="S287" s="1665"/>
      <c r="T287" s="1665"/>
      <c r="U287" s="1665"/>
      <c r="V287" s="1665"/>
      <c r="W287" s="1665"/>
      <c r="Y287" s="1184"/>
      <c r="Z287" s="1660"/>
      <c r="AA287" s="1660"/>
      <c r="AB287" s="1184"/>
      <c r="AC287" s="1184"/>
      <c r="AD287" s="1184"/>
      <c r="AE287" s="1184"/>
      <c r="AF287" s="1660"/>
      <c r="AG287" s="1184"/>
      <c r="AH287" s="1184"/>
      <c r="AI287" s="568"/>
      <c r="AJ287" s="1184"/>
      <c r="AK287" s="1184"/>
      <c r="AL287" s="1184"/>
      <c r="AM287" s="1184"/>
      <c r="AN287" s="1184"/>
      <c r="AO287" s="1656"/>
      <c r="AP287" s="590"/>
      <c r="AQ287" s="590"/>
      <c r="AR287" s="590"/>
      <c r="AS287" s="590"/>
      <c r="AT287" s="1665">
        <v>11</v>
      </c>
    </row>
    <row s="1665" customFormat="1" customHeight="1" ht="11.549999999999999">
      <c r="A288" s="1011"/>
      <c r="B288" s="1660"/>
      <c r="C288" s="1660"/>
      <c r="D288" s="375"/>
      <c r="J288" s="1665"/>
      <c r="K288" s="1665"/>
      <c r="L288" s="1665"/>
      <c r="M288" s="1665"/>
      <c r="N288" s="1665"/>
      <c r="O288" s="1665"/>
      <c r="P288" s="1665"/>
      <c r="Q288" s="1665"/>
      <c r="R288" s="1665"/>
      <c r="S288" s="1665"/>
      <c r="T288" s="1665"/>
      <c r="U288" s="1665"/>
      <c r="V288" s="1665"/>
      <c r="W288" s="1665"/>
      <c r="Y288" s="1184"/>
      <c r="Z288" s="1660"/>
      <c r="AA288" s="1660"/>
      <c r="AB288" s="1184"/>
      <c r="AC288" s="1184"/>
      <c r="AD288" s="1184"/>
      <c r="AE288" s="1184"/>
      <c r="AF288" s="1660"/>
      <c r="AG288" s="1184"/>
      <c r="AH288" s="1184"/>
      <c r="AI288" s="568"/>
      <c r="AJ288" s="1184"/>
      <c r="AK288" s="1184"/>
      <c r="AL288" s="1184"/>
      <c r="AM288" s="1184"/>
      <c r="AN288" s="1184"/>
      <c r="AO288" s="1656"/>
      <c r="AP288" s="590"/>
      <c r="AQ288" s="590"/>
      <c r="AR288" s="590"/>
      <c r="AS288" s="590"/>
      <c r="AT288" s="1665">
        <v>11</v>
      </c>
    </row>
    <row customHeight="1" ht="11.549999999999999">
      <c r="J289" s="1659"/>
      <c r="K289" s="1659"/>
      <c r="L289" s="1659"/>
      <c r="M289" s="1659"/>
      <c r="N289" s="1659"/>
      <c r="O289" s="1659"/>
      <c r="P289" s="1659"/>
      <c r="Q289" s="1659"/>
      <c r="R289" s="1659"/>
      <c r="S289" s="1659"/>
      <c r="T289" s="1659"/>
      <c r="U289" s="1659"/>
      <c r="V289" s="1659"/>
      <c r="W289" s="1659"/>
      <c r="AT289" s="1655">
        <v>11</v>
      </c>
    </row>
    <row customHeight="1" ht="11.549999999999999">
      <c r="J290" s="1659"/>
      <c r="K290" s="1659"/>
      <c r="L290" s="1659"/>
      <c r="M290" s="1659"/>
      <c r="N290" s="1659"/>
      <c r="O290" s="1659"/>
      <c r="P290" s="1659"/>
      <c r="Q290" s="1659"/>
      <c r="R290" s="1659"/>
      <c r="S290" s="1659"/>
      <c r="T290" s="1659"/>
      <c r="U290" s="1659"/>
      <c r="V290" s="1659"/>
      <c r="W290" s="1659"/>
      <c r="AT290" s="1655">
        <v>11</v>
      </c>
    </row>
    <row customHeight="1" ht="11.549999999999999">
      <c r="J291" s="1659"/>
      <c r="K291" s="1659"/>
      <c r="L291" s="1659"/>
      <c r="M291" s="1659"/>
      <c r="N291" s="1659"/>
      <c r="O291" s="1659"/>
      <c r="P291" s="1659"/>
      <c r="Q291" s="1659"/>
      <c r="R291" s="1659"/>
      <c r="S291" s="1659"/>
      <c r="T291" s="1659"/>
      <c r="U291" s="1659"/>
      <c r="V291" s="1659"/>
      <c r="W291" s="1659"/>
      <c r="AT291" s="1655">
        <v>11</v>
      </c>
    </row>
    <row customHeight="1" ht="11.549999999999999">
      <c r="A292" s="1014"/>
      <c r="B292" s="1655"/>
      <c r="D292" s="1655"/>
      <c r="J292" s="1659"/>
      <c r="K292" s="1659"/>
      <c r="L292" s="1659"/>
      <c r="M292" s="1659"/>
      <c r="N292" s="1659"/>
      <c r="O292" s="1659"/>
      <c r="P292" s="1659"/>
      <c r="Q292" s="1659"/>
      <c r="R292" s="1659"/>
      <c r="S292" s="1659"/>
      <c r="T292" s="1659"/>
      <c r="U292" s="1659"/>
      <c r="V292" s="1659"/>
      <c r="W292" s="1659"/>
      <c r="Y292" s="1655"/>
      <c r="AB292" s="1655"/>
      <c r="AC292" s="1655"/>
      <c r="AD292" s="1655"/>
      <c r="AE292" s="1655"/>
      <c r="AG292" s="1655"/>
      <c r="AH292" s="1655"/>
      <c r="AI292" s="1655"/>
      <c r="AJ292" s="1655"/>
      <c r="AK292" s="1655"/>
      <c r="AL292" s="1655"/>
      <c r="AM292" s="1655"/>
      <c r="AN292" s="1655"/>
      <c r="AO292" s="1655"/>
      <c r="AP292" s="1655"/>
      <c r="AQ292" s="1655"/>
      <c r="AR292" s="1655"/>
      <c r="AS292" s="1655"/>
      <c r="AT292" s="1655">
        <v>11</v>
      </c>
    </row>
    <row customHeight="1" ht="11.549999999999999">
      <c r="A293" s="1014"/>
      <c r="B293" s="1655"/>
      <c r="D293" s="1655"/>
      <c r="J293" s="1659"/>
      <c r="K293" s="1659"/>
      <c r="L293" s="1659"/>
      <c r="M293" s="1659"/>
      <c r="N293" s="1659"/>
      <c r="O293" s="1659"/>
      <c r="P293" s="1659"/>
      <c r="Q293" s="1659"/>
      <c r="R293" s="1659"/>
      <c r="S293" s="1659"/>
      <c r="T293" s="1659"/>
      <c r="U293" s="1659"/>
      <c r="V293" s="1659"/>
      <c r="W293" s="1659"/>
      <c r="Y293" s="1655"/>
      <c r="AB293" s="1655"/>
      <c r="AC293" s="1655"/>
      <c r="AD293" s="1655"/>
      <c r="AE293" s="1655"/>
      <c r="AG293" s="1655"/>
      <c r="AH293" s="1655"/>
      <c r="AI293" s="1655"/>
      <c r="AJ293" s="1655"/>
      <c r="AK293" s="1655"/>
      <c r="AL293" s="1655"/>
      <c r="AM293" s="1655"/>
      <c r="AN293" s="1655"/>
      <c r="AO293" s="1655"/>
      <c r="AP293" s="1655"/>
      <c r="AQ293" s="1655"/>
      <c r="AR293" s="1655"/>
      <c r="AS293" s="1655"/>
      <c r="AT293" s="1655">
        <v>11</v>
      </c>
    </row>
    <row customHeight="1" ht="11.549999999999999">
      <c r="A294" s="1014"/>
      <c r="B294" s="1655"/>
      <c r="D294" s="1655"/>
      <c r="J294" s="1659"/>
      <c r="K294" s="1659"/>
      <c r="L294" s="1659"/>
      <c r="M294" s="1659"/>
      <c r="N294" s="1659"/>
      <c r="O294" s="1659"/>
      <c r="P294" s="1659"/>
      <c r="Q294" s="1659"/>
      <c r="R294" s="1659"/>
      <c r="S294" s="1659"/>
      <c r="T294" s="1659"/>
      <c r="U294" s="1659"/>
      <c r="V294" s="1659"/>
      <c r="W294" s="1659"/>
      <c r="Y294" s="1655"/>
      <c r="AB294" s="1655"/>
      <c r="AC294" s="1655"/>
      <c r="AD294" s="1655"/>
      <c r="AE294" s="1655"/>
      <c r="AG294" s="1655"/>
      <c r="AH294" s="1655"/>
      <c r="AI294" s="1655"/>
      <c r="AJ294" s="1655"/>
      <c r="AK294" s="1655"/>
      <c r="AL294" s="1655"/>
      <c r="AM294" s="1655"/>
      <c r="AN294" s="1655"/>
      <c r="AO294" s="1655"/>
      <c r="AP294" s="1655"/>
      <c r="AQ294" s="1655"/>
      <c r="AR294" s="1655"/>
      <c r="AS294" s="1655"/>
      <c r="AT294" s="1655">
        <v>11</v>
      </c>
    </row>
    <row customHeight="1" ht="11.549999999999999">
      <c r="A295" s="1014"/>
      <c r="B295" s="1655"/>
      <c r="D295" s="1655"/>
      <c r="J295" s="1659"/>
      <c r="K295" s="1659"/>
      <c r="L295" s="1659"/>
      <c r="M295" s="1659"/>
      <c r="N295" s="1659"/>
      <c r="O295" s="1659"/>
      <c r="P295" s="1659"/>
      <c r="Q295" s="1659"/>
      <c r="R295" s="1659"/>
      <c r="S295" s="1659"/>
      <c r="T295" s="1659"/>
      <c r="U295" s="1659"/>
      <c r="V295" s="1659"/>
      <c r="W295" s="1659"/>
      <c r="Y295" s="1655"/>
      <c r="AB295" s="1655"/>
      <c r="AC295" s="1655"/>
      <c r="AD295" s="1655"/>
      <c r="AE295" s="1655"/>
      <c r="AG295" s="1655"/>
      <c r="AH295" s="1655"/>
      <c r="AI295" s="1655"/>
      <c r="AJ295" s="1655"/>
      <c r="AK295" s="1655"/>
      <c r="AL295" s="1655"/>
      <c r="AM295" s="1655"/>
      <c r="AN295" s="1655"/>
      <c r="AO295" s="1655"/>
      <c r="AP295" s="1655"/>
      <c r="AQ295" s="1655"/>
      <c r="AR295" s="1655"/>
      <c r="AS295" s="1655"/>
      <c r="AT295" s="1655">
        <v>11</v>
      </c>
    </row>
    <row customHeight="1" ht="11.549999999999999">
      <c r="A296" s="1014"/>
      <c r="B296" s="1655"/>
      <c r="D296" s="1655"/>
      <c r="J296" s="1659"/>
      <c r="K296" s="1659"/>
      <c r="L296" s="1659"/>
      <c r="M296" s="1659"/>
      <c r="N296" s="1659"/>
      <c r="O296" s="1659"/>
      <c r="P296" s="1659"/>
      <c r="Q296" s="1659"/>
      <c r="R296" s="1659"/>
      <c r="S296" s="1659"/>
      <c r="T296" s="1659"/>
      <c r="U296" s="1659"/>
      <c r="V296" s="1659"/>
      <c r="W296" s="1659"/>
      <c r="Y296" s="1655"/>
      <c r="AB296" s="1655"/>
      <c r="AC296" s="1655"/>
      <c r="AD296" s="1655"/>
      <c r="AE296" s="1655"/>
      <c r="AG296" s="1655"/>
      <c r="AH296" s="1655"/>
      <c r="AI296" s="1655"/>
      <c r="AJ296" s="1655"/>
      <c r="AK296" s="1655"/>
      <c r="AL296" s="1655"/>
      <c r="AM296" s="1655"/>
      <c r="AN296" s="1655"/>
      <c r="AO296" s="1655"/>
      <c r="AP296" s="1655"/>
      <c r="AQ296" s="1655"/>
      <c r="AR296" s="1655"/>
      <c r="AS296" s="1655"/>
      <c r="AT296" s="1655">
        <v>11</v>
      </c>
    </row>
    <row customHeight="1" ht="11.549999999999999">
      <c r="A297" s="1014"/>
      <c r="B297" s="1655"/>
      <c r="D297" s="1655"/>
      <c r="J297" s="1659"/>
      <c r="K297" s="1659"/>
      <c r="L297" s="1659"/>
      <c r="M297" s="1659"/>
      <c r="N297" s="1659"/>
      <c r="O297" s="1659"/>
      <c r="P297" s="1659"/>
      <c r="Q297" s="1659"/>
      <c r="R297" s="1659"/>
      <c r="S297" s="1659"/>
      <c r="T297" s="1659"/>
      <c r="U297" s="1659"/>
      <c r="V297" s="1659"/>
      <c r="W297" s="1659"/>
      <c r="Y297" s="1655"/>
      <c r="AB297" s="1655"/>
      <c r="AC297" s="1655"/>
      <c r="AD297" s="1655"/>
      <c r="AE297" s="1655"/>
      <c r="AG297" s="1655"/>
      <c r="AH297" s="1655"/>
      <c r="AI297" s="1655"/>
      <c r="AJ297" s="1655"/>
      <c r="AK297" s="1655"/>
      <c r="AL297" s="1655"/>
      <c r="AM297" s="1655"/>
      <c r="AN297" s="1655"/>
      <c r="AO297" s="1655"/>
      <c r="AP297" s="1655"/>
      <c r="AQ297" s="1655"/>
      <c r="AR297" s="1655"/>
      <c r="AS297" s="1655"/>
      <c r="AT297" s="1655">
        <v>11</v>
      </c>
    </row>
    <row customHeight="1" ht="11.549999999999999">
      <c r="A298" s="1014"/>
      <c r="B298" s="1655"/>
      <c r="D298" s="1655"/>
      <c r="J298" s="1659"/>
      <c r="K298" s="1659"/>
      <c r="L298" s="1659"/>
      <c r="M298" s="1659"/>
      <c r="N298" s="1659"/>
      <c r="O298" s="1659"/>
      <c r="P298" s="1659"/>
      <c r="Q298" s="1659"/>
      <c r="R298" s="1659"/>
      <c r="S298" s="1659"/>
      <c r="T298" s="1659"/>
      <c r="U298" s="1659"/>
      <c r="V298" s="1659"/>
      <c r="W298" s="1659"/>
      <c r="Y298" s="1655"/>
      <c r="AB298" s="1655"/>
      <c r="AC298" s="1655"/>
      <c r="AD298" s="1655"/>
      <c r="AE298" s="1655"/>
      <c r="AG298" s="1655"/>
      <c r="AH298" s="1655"/>
      <c r="AI298" s="1655"/>
      <c r="AJ298" s="1655"/>
      <c r="AK298" s="1655"/>
      <c r="AL298" s="1655"/>
      <c r="AM298" s="1655"/>
      <c r="AN298" s="1655"/>
      <c r="AO298" s="1655"/>
      <c r="AP298" s="1655"/>
      <c r="AQ298" s="1655"/>
      <c r="AR298" s="1655"/>
      <c r="AS298" s="1655"/>
      <c r="AT298" s="1655">
        <v>11</v>
      </c>
    </row>
    <row customHeight="1" ht="11.549999999999999">
      <c r="A299" s="1014"/>
      <c r="B299" s="1655"/>
      <c r="D299" s="1655"/>
      <c r="J299" s="1659"/>
      <c r="K299" s="1659"/>
      <c r="L299" s="1659"/>
      <c r="M299" s="1659"/>
      <c r="N299" s="1659"/>
      <c r="O299" s="1659"/>
      <c r="P299" s="1659"/>
      <c r="Q299" s="1659"/>
      <c r="R299" s="1659"/>
      <c r="S299" s="1659"/>
      <c r="T299" s="1659"/>
      <c r="U299" s="1659"/>
      <c r="V299" s="1659"/>
      <c r="W299" s="1659"/>
      <c r="Y299" s="1655"/>
      <c r="AB299" s="1655"/>
      <c r="AC299" s="1655"/>
      <c r="AD299" s="1655"/>
      <c r="AE299" s="1655"/>
      <c r="AG299" s="1655"/>
      <c r="AH299" s="1655"/>
      <c r="AI299" s="1655"/>
      <c r="AJ299" s="1655"/>
      <c r="AK299" s="1655"/>
      <c r="AL299" s="1655"/>
      <c r="AM299" s="1655"/>
      <c r="AN299" s="1655"/>
      <c r="AO299" s="1655"/>
      <c r="AP299" s="1655"/>
      <c r="AQ299" s="1655"/>
      <c r="AR299" s="1655"/>
      <c r="AS299" s="1655"/>
      <c r="AT299" s="1655">
        <v>11</v>
      </c>
    </row>
    <row customHeight="1" ht="11.549999999999999">
      <c r="A300" s="1014"/>
      <c r="B300" s="1655"/>
      <c r="D300" s="1655"/>
      <c r="J300" s="1659"/>
      <c r="K300" s="1659"/>
      <c r="L300" s="1659"/>
      <c r="M300" s="1659"/>
      <c r="N300" s="1659"/>
      <c r="O300" s="1659"/>
      <c r="P300" s="1659"/>
      <c r="Q300" s="1659"/>
      <c r="R300" s="1659"/>
      <c r="S300" s="1659"/>
      <c r="T300" s="1659"/>
      <c r="U300" s="1659"/>
      <c r="V300" s="1659"/>
      <c r="W300" s="1659"/>
      <c r="Y300" s="1655"/>
      <c r="AB300" s="1655"/>
      <c r="AC300" s="1655"/>
      <c r="AD300" s="1655"/>
      <c r="AE300" s="1655"/>
      <c r="AG300" s="1655"/>
      <c r="AH300" s="1655"/>
      <c r="AI300" s="1655"/>
      <c r="AJ300" s="1655"/>
      <c r="AK300" s="1655"/>
      <c r="AL300" s="1655"/>
      <c r="AM300" s="1655"/>
      <c r="AN300" s="1655"/>
      <c r="AO300" s="1655"/>
      <c r="AP300" s="1655"/>
      <c r="AQ300" s="1655"/>
      <c r="AR300" s="1655"/>
      <c r="AS300" s="1655"/>
      <c r="AT300" s="1655">
        <v>11</v>
      </c>
    </row>
    <row customHeight="1" ht="11.549999999999999">
      <c r="A301" s="1014"/>
      <c r="B301" s="1655"/>
      <c r="D301" s="1655"/>
      <c r="J301" s="1659"/>
      <c r="K301" s="1659"/>
      <c r="L301" s="1659"/>
      <c r="M301" s="1659"/>
      <c r="N301" s="1659"/>
      <c r="O301" s="1659"/>
      <c r="P301" s="1659"/>
      <c r="Q301" s="1659"/>
      <c r="R301" s="1659"/>
      <c r="S301" s="1659"/>
      <c r="T301" s="1659"/>
      <c r="U301" s="1659"/>
      <c r="V301" s="1659"/>
      <c r="W301" s="1659"/>
      <c r="Y301" s="1655"/>
      <c r="AB301" s="1655"/>
      <c r="AC301" s="1655"/>
      <c r="AD301" s="1655"/>
      <c r="AE301" s="1655"/>
      <c r="AG301" s="1655"/>
      <c r="AH301" s="1655"/>
      <c r="AI301" s="1655"/>
      <c r="AJ301" s="1655"/>
      <c r="AK301" s="1655"/>
      <c r="AL301" s="1655"/>
      <c r="AM301" s="1655"/>
      <c r="AN301" s="1655"/>
      <c r="AO301" s="1655"/>
      <c r="AP301" s="1655"/>
      <c r="AQ301" s="1655"/>
      <c r="AR301" s="1655"/>
      <c r="AS301" s="1655"/>
      <c r="AT301" s="1655">
        <v>11</v>
      </c>
    </row>
    <row customHeight="1" ht="11.549999999999999">
      <c r="A302" s="1014"/>
      <c r="B302" s="1655"/>
      <c r="D302" s="1655"/>
      <c r="J302" s="1659"/>
      <c r="K302" s="1659"/>
      <c r="L302" s="1659"/>
      <c r="M302" s="1659"/>
      <c r="N302" s="1659"/>
      <c r="O302" s="1659"/>
      <c r="P302" s="1659"/>
      <c r="Q302" s="1659"/>
      <c r="R302" s="1659"/>
      <c r="S302" s="1659"/>
      <c r="T302" s="1659"/>
      <c r="U302" s="1659"/>
      <c r="V302" s="1659"/>
      <c r="W302" s="1659"/>
      <c r="Y302" s="1655"/>
      <c r="AB302" s="1655"/>
      <c r="AC302" s="1655"/>
      <c r="AD302" s="1655"/>
      <c r="AE302" s="1655"/>
      <c r="AG302" s="1655"/>
      <c r="AH302" s="1655"/>
      <c r="AI302" s="1655"/>
      <c r="AJ302" s="1655"/>
      <c r="AK302" s="1655"/>
      <c r="AL302" s="1655"/>
      <c r="AM302" s="1655"/>
      <c r="AN302" s="1655"/>
      <c r="AO302" s="1655"/>
      <c r="AP302" s="1655"/>
      <c r="AQ302" s="1655"/>
      <c r="AR302" s="1655"/>
      <c r="AS302" s="1655"/>
      <c r="AT302" s="1655">
        <v>11</v>
      </c>
    </row>
    <row customHeight="1" ht="11.25" hidden="1">
      <c r="A303" s="1011" t="s">
        <v>82</v>
      </c>
      <c r="B303" s="1184">
        <v>0</v>
      </c>
      <c r="C303" s="1660">
        <v>0</v>
      </c>
      <c r="D303" s="1659">
        <v>3</v>
      </c>
      <c r="E303" s="1655">
        <v>7</v>
      </c>
      <c r="F303" s="1655">
        <v>54</v>
      </c>
      <c r="G303" s="1655">
        <v>10</v>
      </c>
      <c r="H303" s="1655">
        <v>0</v>
      </c>
      <c r="I303" s="1655">
        <v>40</v>
      </c>
      <c r="J303" s="1659">
        <v>0</v>
      </c>
      <c r="K303" s="1659">
        <v>0</v>
      </c>
      <c r="L303" s="1659">
        <v>0</v>
      </c>
      <c r="M303" s="1659">
        <v>0</v>
      </c>
      <c r="N303" s="1659">
        <v>0</v>
      </c>
      <c r="O303" s="1659">
        <v>0</v>
      </c>
      <c r="P303" s="1659">
        <v>0</v>
      </c>
      <c r="Q303" s="1659">
        <v>0</v>
      </c>
      <c r="R303" s="1659">
        <v>0</v>
      </c>
      <c r="S303" s="1659">
        <v>0</v>
      </c>
      <c r="T303" s="1659">
        <v>0</v>
      </c>
      <c r="U303" s="1659">
        <v>0</v>
      </c>
      <c r="V303" s="1659">
        <v>0</v>
      </c>
      <c r="W303" s="1659">
        <v>0</v>
      </c>
      <c r="X303" s="1655">
        <v>102</v>
      </c>
      <c r="Y303" s="1184">
        <v>9</v>
      </c>
      <c r="Z303" s="1660">
        <v>5</v>
      </c>
      <c r="AA303" s="1660">
        <v>3</v>
      </c>
      <c r="AB303" s="1184">
        <v>3</v>
      </c>
      <c r="AC303" s="1184">
        <v>3</v>
      </c>
      <c r="AD303" s="1184">
        <v>3</v>
      </c>
      <c r="AE303" s="1184">
        <v>3</v>
      </c>
      <c r="AF303" s="1660">
        <v>10</v>
      </c>
      <c r="AG303" s="1184">
        <v>34</v>
      </c>
      <c r="AH303" s="1184">
        <v>9</v>
      </c>
      <c r="AI303" s="568">
        <v>8</v>
      </c>
      <c r="AJ303" s="1184">
        <v>8</v>
      </c>
      <c r="AK303" s="1184">
        <v>8</v>
      </c>
      <c r="AL303" s="1184">
        <v>8</v>
      </c>
      <c r="AM303" s="1184">
        <v>8</v>
      </c>
      <c r="AN303" s="1184">
        <v>8</v>
      </c>
      <c r="AO303" s="1656">
        <v>8</v>
      </c>
      <c r="AP303" s="1656">
        <v>8</v>
      </c>
      <c r="AQ303" s="1656">
        <v>8</v>
      </c>
      <c r="AR303" s="1656">
        <v>8</v>
      </c>
      <c r="AS303" s="1656">
        <v>8</v>
      </c>
      <c r="AT303" s="1655">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X25:X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W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W70">
      <formula1>900</formula1>
    </dataValidation>
    <dataValidation type="textLength" operator="lessThanOrEqual" allowBlank="1" showInputMessage="1" showErrorMessage="1" errorTitle="Ошибка" error="Допускается ввод не более 900 символов!" sqref="G4 H34:W34 H39:W39">
      <formula1>900</formula1>
    </dataValidation>
    <dataValidation type="decimal" allowBlank="1" showErrorMessage="1" errorTitle="Ошибка" error="Допускается ввод только неотрицательных чисел!" sqref="H67:W67 H69:W69 H91:W94 H127:W127 H30:W30 H32:W33 H35:W38 H40:W65 H82:W86 H17:W17 H9:W13 H15:W15 H96:W119 H74:W74 H88:W89 H4:W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W130 H81:W81">
      <formula1>900</formula1>
    </dataValidation>
    <dataValidation type="decimal" allowBlank="1" showErrorMessage="1" errorTitle="Ошибка" error="Допускается ввод только действительных чисел!" sqref="H72:W73">
      <formula1>-9.99999999999999E+23</formula1>
      <formula2>9.99999999999999E+23</formula2>
    </dataValidation>
    <dataValidation type="decimal" allowBlank="1" showErrorMessage="1" errorTitle="Ошибка" error="Допускается ввод только действительных чисел!" sqref="H123:W123 H120:W120 H126:W126 H75:W80">
      <formula1>-9.99999999999999E+37</formula1>
      <formula2>9.99999999999999E+37</formula2>
    </dataValidation>
    <dataValidation type="decimal" allowBlank="1" showErrorMessage="1" errorTitle="Ошибка" error="Введите значение от 0 до 100%" sqref="H90:W90 H95:W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W68 H66:W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5DCD79-F1AC-405A-88D5-0.5EECEE9D}" mc:Ignorable="x14ac xr xr2 xr3">
  <sheetPr>
    <tabColor theme="9" tint="-0.25"/>
  </sheetPr>
  <dimension ref="A1:CF155"/>
  <sheetViews>
    <sheetView topLeftCell="C4" showGridLines="0" zoomScale="90" workbookViewId="0">
      <selection activeCell="A140" sqref="A140:CF148"/>
    </sheetView>
  </sheetViews>
  <sheetFormatPr defaultColWidth="9.140625" customHeight="1" defaultRowHeight="11.25"/>
  <cols>
    <col min="1" max="1" style="967" width="14.7109375" hidden="1" customWidth="1"/>
    <col min="2" max="2" style="1656" width="17.00390625" hidden="1" customWidth="1"/>
    <col min="3" max="3" style="1659" width="3.00390625" customWidth="1"/>
    <col min="4" max="4" style="1659" width="1.8515625" hidden="1" customWidth="1"/>
    <col min="5" max="6" style="1659" width="7.00390625" customWidth="1"/>
    <col min="7" max="7" style="1659" width="29.00390625" customWidth="1"/>
    <col min="8" max="8" style="1659" width="3.7109375" customWidth="1"/>
    <col min="9" max="9" style="1659" width="5.00390625" customWidth="1"/>
    <col min="10" max="11" style="1659" width="24.00390625" customWidth="1"/>
    <col min="12" max="12" style="1659" width="3.00390625" customWidth="1"/>
    <col min="13" max="13" style="1659" width="6.00390625" customWidth="1"/>
    <col min="14" max="14" style="1659" width="25.00390625" customWidth="1"/>
    <col min="15" max="18" style="1659" width="18.00390625" customWidth="1"/>
    <col min="19" max="19" style="1659" width="93.00390625" customWidth="1"/>
    <col min="20" max="20" style="1659" width="10.00390625" customWidth="1"/>
    <col min="21" max="21" style="1666" width="10.00390625" customWidth="1"/>
    <col min="22" max="22" style="1666" width="11.00390625" customWidth="1"/>
    <col min="23" max="27" style="1656" width="10.00390625" customWidth="1"/>
    <col min="28" max="83" style="1659" width="8.00390625" customWidth="1"/>
    <col min="84" max="84" style="1659" width="9.140625" hidden="1"/>
  </cols>
  <sheetData>
    <row customHeight="1" ht="22.5" hidden="1">
      <c r="CF1" s="529" t="s">
        <v>14</v>
      </c>
    </row>
    <row customHeight="1" ht="11.25" hidden="1">
      <c r="CF2" s="529">
        <v>0</v>
      </c>
    </row>
    <row customHeight="1" ht="11.25" hidden="1">
      <c r="CF3" s="529">
        <v>0</v>
      </c>
    </row>
    <row customHeight="1" ht="3">
      <c r="C4" s="533"/>
      <c r="D4" s="533"/>
      <c r="E4" s="533"/>
      <c r="F4" s="533"/>
      <c r="G4" s="533"/>
      <c r="H4" s="533"/>
      <c r="I4" s="533"/>
      <c r="J4" s="533"/>
      <c r="K4" s="190"/>
      <c r="L4" s="190"/>
      <c r="M4" s="190"/>
      <c r="CF4" s="529">
        <v>3</v>
      </c>
    </row>
    <row customHeight="1" ht="29.25">
      <c r="C5" s="533"/>
      <c r="D5" s="1081"/>
      <c r="E5" s="2261" t="str">
        <f>FHD20_NAME_FORM</f>
        <v>Форма 11. Информация о расходах на капитальный и текущий ремонт основных средств</v>
      </c>
      <c r="F5" s="2261"/>
      <c r="G5" s="2261"/>
      <c r="H5" s="2261"/>
      <c r="I5" s="2261"/>
      <c r="J5" s="2261"/>
      <c r="K5" s="2261"/>
      <c r="L5" s="637"/>
      <c r="M5" s="637"/>
      <c r="CF5" s="529">
        <v>28</v>
      </c>
    </row>
    <row s="1659" customFormat="1" customHeight="1" ht="16.8">
      <c r="A6" s="634"/>
      <c r="B6" s="783"/>
      <c r="C6" s="533"/>
      <c r="D6" s="1082"/>
      <c r="E6" s="2200" t="str">
        <f>IF(org=0,"Не определено",org)</f>
        <v>АО "ДГК"</v>
      </c>
      <c r="F6" s="2200"/>
      <c r="G6" s="2200"/>
      <c r="H6" s="2200"/>
      <c r="I6" s="2200"/>
      <c r="J6" s="2200"/>
      <c r="K6" s="2200"/>
      <c r="L6" s="637"/>
      <c r="M6" s="637"/>
      <c r="U6" s="635"/>
      <c r="V6" s="635"/>
      <c r="W6" s="636"/>
      <c r="X6" s="783"/>
      <c r="Y6" s="783"/>
      <c r="Z6" s="783"/>
      <c r="AA6" s="783"/>
      <c r="CF6" s="782">
        <v>16</v>
      </c>
    </row>
    <row customHeight="1" ht="11.549999999999999">
      <c r="C7" s="533"/>
      <c r="D7" s="533"/>
      <c r="E7" s="533"/>
      <c r="F7" s="533"/>
      <c r="G7" s="546"/>
      <c r="H7" s="546"/>
      <c r="I7" s="546"/>
      <c r="J7" s="546"/>
      <c r="K7" s="638"/>
      <c r="L7" s="638"/>
      <c r="M7" s="638"/>
      <c r="R7" s="776"/>
      <c r="CF7" s="529">
        <v>11</v>
      </c>
    </row>
    <row s="1665" customFormat="1" customHeight="1" ht="4.2">
      <c r="A8" s="645"/>
      <c r="B8" s="590"/>
      <c r="C8" s="375"/>
      <c r="D8" s="375"/>
      <c r="E8" s="375"/>
      <c r="F8" s="375"/>
      <c r="G8" s="999"/>
      <c r="H8" s="999"/>
      <c r="I8" s="999"/>
      <c r="J8" s="999"/>
      <c r="K8" s="1042"/>
      <c r="L8" s="1042"/>
      <c r="M8" s="1042"/>
      <c r="R8" s="1043"/>
      <c r="U8" s="635"/>
      <c r="V8" s="635"/>
      <c r="W8" s="646"/>
      <c r="X8" s="590"/>
      <c r="Y8" s="590"/>
      <c r="Z8" s="590"/>
      <c r="AA8" s="590"/>
      <c r="CF8" s="520">
        <v>4</v>
      </c>
    </row>
    <row customHeight="1" ht="19.95">
      <c r="D9" s="313"/>
      <c r="E9" s="2125" t="s">
        <v>384</v>
      </c>
      <c r="F9" s="2126"/>
      <c r="G9" s="2126"/>
      <c r="H9" s="2126"/>
      <c r="I9" s="2126"/>
      <c r="J9" s="2126"/>
      <c r="K9" s="2126"/>
      <c r="L9" s="2126"/>
      <c r="M9" s="2126"/>
      <c r="N9" s="2126"/>
      <c r="O9" s="2126"/>
      <c r="P9" s="2126"/>
      <c r="Q9" s="2126"/>
      <c r="R9" s="2127"/>
      <c r="S9" s="2151" t="s">
        <v>385</v>
      </c>
      <c r="T9" s="358"/>
      <c r="CF9" s="529">
        <v>19</v>
      </c>
    </row>
    <row customHeight="1" ht="48.29999999999999">
      <c r="D10" s="575" t="s">
        <v>88</v>
      </c>
      <c r="E10" s="2151" t="s">
        <v>88</v>
      </c>
      <c r="F10" s="2151"/>
      <c r="G10" s="545" t="s">
        <v>386</v>
      </c>
      <c r="H10" s="2151" t="s">
        <v>88</v>
      </c>
      <c r="I10" s="2151"/>
      <c r="J10" s="545" t="s">
        <v>686</v>
      </c>
      <c r="K10" s="545" t="s">
        <v>687</v>
      </c>
      <c r="L10" s="2151" t="s">
        <v>88</v>
      </c>
      <c r="M10" s="2151"/>
      <c r="N10" s="545" t="s">
        <v>688</v>
      </c>
      <c r="O10" s="545" t="s">
        <v>689</v>
      </c>
      <c r="P10" s="545" t="s">
        <v>690</v>
      </c>
      <c r="Q10" s="545" t="s">
        <v>691</v>
      </c>
      <c r="R10" s="545" t="s">
        <v>692</v>
      </c>
      <c r="S10" s="2151"/>
      <c r="T10" s="358"/>
      <c r="CF10" s="529">
        <v>46</v>
      </c>
    </row>
    <row s="1666" customFormat="1" customHeight="1" ht="15" hidden="1">
      <c r="A11" s="1076"/>
      <c r="D11" s="1049" t="s">
        <v>170</v>
      </c>
      <c r="E11" s="1049"/>
      <c r="F11" s="1049" t="s">
        <v>103</v>
      </c>
      <c r="G11" s="1049" t="s">
        <v>90</v>
      </c>
      <c r="H11" s="1049"/>
      <c r="I11" s="1049" t="s">
        <v>91</v>
      </c>
      <c r="J11" s="1049" t="s">
        <v>119</v>
      </c>
      <c r="K11" s="1049" t="s">
        <v>92</v>
      </c>
      <c r="L11" s="1049"/>
      <c r="M11" s="1049" t="s">
        <v>93</v>
      </c>
      <c r="N11" s="1049" t="s">
        <v>143</v>
      </c>
      <c r="O11" s="1049" t="s">
        <v>145</v>
      </c>
      <c r="P11" s="1049" t="s">
        <v>156</v>
      </c>
      <c r="Q11" s="1049" t="s">
        <v>236</v>
      </c>
      <c r="R11" s="1049" t="s">
        <v>237</v>
      </c>
      <c r="S11" s="1049" t="s">
        <v>238</v>
      </c>
      <c r="U11" s="635"/>
      <c r="V11" s="635"/>
      <c r="W11" s="635"/>
      <c r="CF11" s="535">
        <v>0</v>
      </c>
    </row>
    <row s="1659" customFormat="1" customHeight="1" ht="1.05">
      <c r="A12" s="639"/>
      <c r="B12" s="386"/>
      <c r="D12" s="572"/>
      <c r="E12" s="370"/>
      <c r="F12" s="370"/>
      <c r="Q12" s="640"/>
      <c r="R12" s="641"/>
      <c r="T12" s="642"/>
      <c r="U12" s="643"/>
      <c r="V12" s="643"/>
      <c r="W12" s="644"/>
      <c r="X12" s="386"/>
      <c r="Y12" s="386"/>
      <c r="Z12" s="386"/>
      <c r="AA12" s="386"/>
      <c r="CF12" s="533">
        <v>1</v>
      </c>
    </row>
    <row s="1665" customFormat="1" customHeight="1" ht="1.05">
      <c r="A13" s="645"/>
      <c r="B13" s="590"/>
      <c r="D13" s="572" t="s">
        <v>460</v>
      </c>
      <c r="E13" s="584"/>
      <c r="F13" s="584"/>
      <c r="G13" s="584"/>
      <c r="H13" s="584"/>
      <c r="I13" s="584"/>
      <c r="J13" s="584"/>
      <c r="K13" s="584"/>
      <c r="L13" s="584"/>
      <c r="M13" s="584"/>
      <c r="N13" s="584"/>
      <c r="O13" s="584"/>
      <c r="P13" s="584"/>
      <c r="Q13" s="584"/>
      <c r="R13" s="584"/>
      <c r="T13" s="358"/>
      <c r="U13" s="635"/>
      <c r="V13" s="635"/>
      <c r="W13" s="646"/>
      <c r="X13" s="590"/>
      <c r="Y13" s="590"/>
      <c r="Z13" s="590"/>
      <c r="AA13" s="590"/>
      <c r="CF13" s="520">
        <v>1</v>
      </c>
    </row>
    <row s="1874" customFormat="1" customHeight="1" ht="15" hidden="1">
      <c r="A14" s="647" t="s">
        <v>176</v>
      </c>
      <c r="B14" s="648"/>
      <c r="C14" s="648"/>
      <c r="D14" s="2404" t="s">
        <v>170</v>
      </c>
      <c r="E14" s="2401" t="s">
        <v>166</v>
      </c>
      <c r="F14" s="2402"/>
      <c r="G14" s="2403"/>
      <c r="H14" s="2407" t="str">
        <f>IF(A14="","",INDEX(DIFFERENTIATION_UNMERGE_VD,MATCH(A14,DIFFERENTIATION_ID_DIFF,0)))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14" s="2407"/>
      <c r="J14" s="2407"/>
      <c r="K14" s="2407"/>
      <c r="L14" s="2407"/>
      <c r="M14" s="2407"/>
      <c r="N14" s="2407"/>
      <c r="O14" s="2407"/>
      <c r="P14" s="2407"/>
      <c r="Q14" s="2407"/>
      <c r="R14" s="2407"/>
      <c r="S14" s="743"/>
      <c r="T14" s="740"/>
      <c r="U14" s="649"/>
      <c r="V14" s="649"/>
      <c r="W14" s="650"/>
      <c r="X14" s="650"/>
      <c r="Y14" s="650"/>
      <c r="Z14" s="650"/>
      <c r="AA14" s="651"/>
      <c r="AB14" s="652"/>
      <c r="AC14" s="2399"/>
      <c r="AD14" s="653"/>
      <c r="AE14" s="654" t="s">
        <v>22</v>
      </c>
      <c r="AF14" s="654"/>
      <c r="AG14" s="655" t="s">
        <v>693</v>
      </c>
      <c r="AH14" s="656">
        <v>3</v>
      </c>
      <c r="AI14" s="649"/>
      <c r="AJ14" s="649"/>
      <c r="AK14" s="649"/>
      <c r="AL14" s="649"/>
      <c r="AM14" s="649"/>
      <c r="AN14" s="649"/>
      <c r="AO14" s="649"/>
      <c r="AP14" s="649"/>
      <c r="AQ14" s="649"/>
      <c r="AR14" s="649"/>
      <c r="AS14" s="649"/>
      <c r="AT14" s="649"/>
      <c r="AU14" s="649"/>
      <c r="AV14" s="649"/>
      <c r="AW14" s="649"/>
      <c r="AX14" s="649"/>
      <c r="AY14" s="649"/>
      <c r="AZ14" s="649"/>
      <c r="BA14" s="649"/>
      <c r="BB14" s="649"/>
      <c r="BC14" s="649"/>
      <c r="BD14" s="649"/>
      <c r="BE14" s="649"/>
      <c r="BF14" s="649"/>
      <c r="BG14" s="649"/>
      <c r="BH14" s="649"/>
      <c r="BI14" s="649"/>
      <c r="BJ14" s="649"/>
      <c r="BK14" s="649"/>
      <c r="BL14" s="649"/>
      <c r="BM14" s="649"/>
      <c r="BN14" s="649"/>
      <c r="BO14" s="649"/>
      <c r="BP14" s="649"/>
      <c r="BQ14" s="649"/>
      <c r="BR14" s="649"/>
      <c r="BS14" s="649"/>
      <c r="BT14" s="649"/>
      <c r="BU14" s="649"/>
      <c r="BV14" s="650"/>
      <c r="BW14" s="650"/>
      <c r="BX14" s="650"/>
      <c r="BY14" s="650"/>
      <c r="BZ14" s="650"/>
      <c r="CA14" s="650"/>
      <c r="CB14" s="650"/>
      <c r="CC14" s="650"/>
      <c r="CD14" s="650"/>
      <c r="CE14" s="650"/>
      <c r="CF14" s="317">
        <v>0</v>
      </c>
    </row>
    <row s="1874" customFormat="1" customHeight="1" ht="15" hidden="1">
      <c r="A15" s="647"/>
      <c r="B15" s="648"/>
      <c r="C15" s="648"/>
      <c r="D15" s="2405"/>
      <c r="E15" s="2401" t="s">
        <v>648</v>
      </c>
      <c r="F15" s="2402"/>
      <c r="G15" s="2403"/>
      <c r="H15" s="2407" t="str">
        <f>IF(A14="","",INDEX(DIFFERENTIATION_UNMERGE_AREA,MATCH(A14,DIFFERENTIATION_ID_DIFF,0)))</f>
        <v>Территория 1</v>
      </c>
      <c r="I15" s="2407"/>
      <c r="J15" s="2407"/>
      <c r="K15" s="2407"/>
      <c r="L15" s="2407"/>
      <c r="M15" s="2407"/>
      <c r="N15" s="2407"/>
      <c r="O15" s="2407"/>
      <c r="P15" s="2407"/>
      <c r="Q15" s="2407"/>
      <c r="R15" s="2407"/>
      <c r="S15" s="743"/>
      <c r="T15" s="740"/>
      <c r="U15" s="649"/>
      <c r="V15" s="649"/>
      <c r="W15" s="650"/>
      <c r="X15" s="650"/>
      <c r="Y15" s="650"/>
      <c r="Z15" s="650"/>
      <c r="AA15" s="651"/>
      <c r="AB15" s="652"/>
      <c r="AC15" s="2399"/>
      <c r="AD15" s="653"/>
      <c r="AE15" s="654"/>
      <c r="AF15" s="654"/>
      <c r="AG15" s="655"/>
      <c r="AH15" s="656"/>
      <c r="AI15" s="649"/>
      <c r="AJ15" s="649"/>
      <c r="AK15" s="649"/>
      <c r="AL15" s="649"/>
      <c r="AM15" s="649"/>
      <c r="AN15" s="649"/>
      <c r="AO15" s="649"/>
      <c r="AP15" s="649"/>
      <c r="AQ15" s="649"/>
      <c r="AR15" s="649"/>
      <c r="AS15" s="649"/>
      <c r="AT15" s="649"/>
      <c r="AU15" s="649"/>
      <c r="AV15" s="649"/>
      <c r="AW15" s="649"/>
      <c r="AX15" s="649"/>
      <c r="AY15" s="649"/>
      <c r="AZ15" s="649"/>
      <c r="BA15" s="649"/>
      <c r="BB15" s="649"/>
      <c r="BC15" s="649"/>
      <c r="BD15" s="649"/>
      <c r="BE15" s="649"/>
      <c r="BF15" s="649"/>
      <c r="BG15" s="649"/>
      <c r="BH15" s="649"/>
      <c r="BI15" s="649"/>
      <c r="BJ15" s="649"/>
      <c r="BK15" s="649"/>
      <c r="BL15" s="649"/>
      <c r="BM15" s="649"/>
      <c r="BN15" s="649"/>
      <c r="BO15" s="649"/>
      <c r="BP15" s="649"/>
      <c r="BQ15" s="649"/>
      <c r="BR15" s="649"/>
      <c r="BS15" s="649"/>
      <c r="BT15" s="649"/>
      <c r="BU15" s="649"/>
      <c r="BV15" s="650"/>
      <c r="BW15" s="650"/>
      <c r="BX15" s="650"/>
      <c r="BY15" s="650"/>
      <c r="BZ15" s="650"/>
      <c r="CA15" s="650"/>
      <c r="CB15" s="650"/>
      <c r="CC15" s="650"/>
      <c r="CD15" s="650"/>
      <c r="CE15" s="650"/>
      <c r="CF15" s="317">
        <v>0</v>
      </c>
    </row>
    <row s="1874" customFormat="1" customHeight="1" ht="15" hidden="1">
      <c r="A16" s="647"/>
      <c r="B16" s="648"/>
      <c r="C16" s="648"/>
      <c r="D16" s="2405"/>
      <c r="E16" s="2401" t="s">
        <v>649</v>
      </c>
      <c r="F16" s="2402"/>
      <c r="G16" s="2403"/>
      <c r="H16" s="2407" t="str">
        <f>IF(A14="","",INDEX(DIFFERENTIATION_UNMERGE_SYSTEM,MATCH(A14,DIFFERENTIATION_ID_DIFF,0)))</f>
        <v>Амурская ТЭЦ-1 (г. Амурск)</v>
      </c>
      <c r="I16" s="2407"/>
      <c r="J16" s="2407"/>
      <c r="K16" s="2407"/>
      <c r="L16" s="2407"/>
      <c r="M16" s="2407"/>
      <c r="N16" s="2407"/>
      <c r="O16" s="2407"/>
      <c r="P16" s="2407"/>
      <c r="Q16" s="2407"/>
      <c r="R16" s="2407"/>
      <c r="S16" s="743"/>
      <c r="T16" s="740"/>
      <c r="U16" s="649"/>
      <c r="V16" s="649"/>
      <c r="W16" s="650"/>
      <c r="X16" s="650"/>
      <c r="Y16" s="650"/>
      <c r="Z16" s="650"/>
      <c r="AA16" s="651"/>
      <c r="AB16" s="652"/>
      <c r="AC16" s="2399"/>
      <c r="AD16" s="653"/>
      <c r="AE16" s="654"/>
      <c r="AF16" s="654"/>
      <c r="AG16" s="655"/>
      <c r="AH16" s="656"/>
      <c r="AI16" s="649"/>
      <c r="AJ16" s="649"/>
      <c r="AK16" s="649"/>
      <c r="AL16" s="649"/>
      <c r="AM16" s="649"/>
      <c r="AN16" s="649"/>
      <c r="AO16" s="649"/>
      <c r="AP16" s="649"/>
      <c r="AQ16" s="649"/>
      <c r="AR16" s="649"/>
      <c r="AS16" s="649"/>
      <c r="AT16" s="649"/>
      <c r="AU16" s="649"/>
      <c r="AV16" s="649"/>
      <c r="AW16" s="649"/>
      <c r="AX16" s="649"/>
      <c r="AY16" s="649"/>
      <c r="AZ16" s="649"/>
      <c r="BA16" s="649"/>
      <c r="BB16" s="649"/>
      <c r="BC16" s="649"/>
      <c r="BD16" s="649"/>
      <c r="BE16" s="649"/>
      <c r="BF16" s="649"/>
      <c r="BG16" s="649"/>
      <c r="BH16" s="649"/>
      <c r="BI16" s="649"/>
      <c r="BJ16" s="649"/>
      <c r="BK16" s="649"/>
      <c r="BL16" s="649"/>
      <c r="BM16" s="649"/>
      <c r="BN16" s="649"/>
      <c r="BO16" s="649"/>
      <c r="BP16" s="649"/>
      <c r="BQ16" s="649"/>
      <c r="BR16" s="649"/>
      <c r="BS16" s="649"/>
      <c r="BT16" s="649"/>
      <c r="BU16" s="649"/>
      <c r="BV16" s="650"/>
      <c r="BW16" s="650"/>
      <c r="BX16" s="650"/>
      <c r="BY16" s="650"/>
      <c r="BZ16" s="650"/>
      <c r="CA16" s="650"/>
      <c r="CB16" s="650"/>
      <c r="CC16" s="650"/>
      <c r="CD16" s="650"/>
      <c r="CE16" s="650"/>
      <c r="CF16" s="317">
        <v>0</v>
      </c>
    </row>
    <row s="1874" customFormat="1" customHeight="1" ht="22.5" hidden="1">
      <c r="A17" s="657"/>
      <c r="B17" s="441"/>
      <c r="C17" s="436"/>
      <c r="D17" s="2405"/>
      <c r="E17" s="2400" t="s">
        <v>694</v>
      </c>
      <c r="F17" s="2400"/>
      <c r="G17" s="2400"/>
      <c r="H17" s="2400"/>
      <c r="I17" s="2400"/>
      <c r="J17" s="2400"/>
      <c r="K17" s="2400"/>
      <c r="L17" s="2400"/>
      <c r="M17" s="2400"/>
      <c r="N17" s="2400"/>
      <c r="O17" s="2400"/>
      <c r="P17" s="2400"/>
      <c r="Q17" s="582">
        <f>SUMIF(T18:T19,"i",Q18:Q19)</f>
        <v>0</v>
      </c>
      <c r="R17" s="1041"/>
      <c r="S17" s="921" t="s">
        <v>695</v>
      </c>
      <c r="T17" s="741" t="s">
        <v>696</v>
      </c>
      <c r="U17" s="2398">
        <v>1</v>
      </c>
      <c r="V17" s="2398" t="str">
        <f>INDEX(B_FHD_FLAG_INDEX_1,1,MATCH(A14,B_FHD_FLAG_DIFFERENTIATION,0))</f>
        <v>отсутствует</v>
      </c>
      <c r="W17" s="441"/>
      <c r="X17" s="441"/>
      <c r="Y17" s="441"/>
      <c r="Z17" s="441"/>
      <c r="AA17" s="535"/>
      <c r="AB17" s="441"/>
      <c r="AC17" s="2399"/>
      <c r="AD17" s="653"/>
      <c r="AE17" s="441"/>
      <c r="AF17" s="441"/>
      <c r="AG17" s="535"/>
      <c r="AH17" s="535"/>
      <c r="AI17" s="535"/>
      <c r="AJ17" s="535"/>
      <c r="AK17" s="535"/>
      <c r="AL17" s="535"/>
      <c r="AM17" s="535"/>
      <c r="AN17" s="535"/>
      <c r="AO17" s="535"/>
      <c r="AP17" s="535"/>
      <c r="AQ17" s="535"/>
      <c r="AR17" s="535"/>
      <c r="AS17" s="535"/>
      <c r="AT17" s="535"/>
      <c r="AU17" s="535"/>
      <c r="AV17" s="535"/>
      <c r="AW17" s="535"/>
      <c r="AX17" s="535"/>
      <c r="AY17" s="535"/>
      <c r="AZ17" s="535"/>
      <c r="BA17" s="535"/>
      <c r="BB17" s="535"/>
      <c r="BC17" s="535"/>
      <c r="BD17" s="535"/>
      <c r="BE17" s="535"/>
      <c r="BF17" s="535"/>
      <c r="BG17" s="535"/>
      <c r="BH17" s="535"/>
      <c r="BI17" s="535"/>
      <c r="BJ17" s="535"/>
      <c r="BK17" s="535"/>
      <c r="BL17" s="535"/>
      <c r="BM17" s="535"/>
      <c r="BN17" s="535"/>
      <c r="BO17" s="535"/>
      <c r="BP17" s="535"/>
      <c r="BQ17" s="535"/>
      <c r="BR17" s="535"/>
      <c r="BS17" s="535"/>
      <c r="BT17" s="535"/>
      <c r="BU17" s="535"/>
      <c r="BV17" s="441"/>
      <c r="BW17" s="441"/>
      <c r="BX17" s="441"/>
      <c r="BY17" s="441"/>
      <c r="BZ17" s="441"/>
      <c r="CA17" s="441"/>
      <c r="CB17" s="441"/>
      <c r="CC17" s="441"/>
      <c r="CD17" s="441"/>
      <c r="CE17" s="441"/>
      <c r="CF17" s="317">
        <v>0</v>
      </c>
    </row>
    <row s="1874" customFormat="1" customHeight="1" ht="11.25" hidden="1">
      <c r="A18" s="658"/>
      <c r="B18" s="535"/>
      <c r="C18" s="535"/>
      <c r="D18" s="2405"/>
      <c r="E18" s="659"/>
      <c r="F18" s="659">
        <v>0</v>
      </c>
      <c r="G18" s="659"/>
      <c r="H18" s="659"/>
      <c r="I18" s="659"/>
      <c r="J18" s="659"/>
      <c r="K18" s="659"/>
      <c r="L18" s="659"/>
      <c r="M18" s="659"/>
      <c r="N18" s="659"/>
      <c r="O18" s="659"/>
      <c r="P18" s="659"/>
      <c r="Q18" s="659"/>
      <c r="R18" s="659"/>
      <c r="S18" s="660"/>
      <c r="T18" s="742"/>
      <c r="U18" s="2398"/>
      <c r="V18" s="2398"/>
      <c r="W18" s="535"/>
      <c r="X18" s="535"/>
      <c r="Y18" s="535"/>
      <c r="Z18" s="535"/>
      <c r="AA18" s="535"/>
      <c r="AB18" s="441"/>
      <c r="AC18" s="2399"/>
      <c r="AD18" s="653"/>
      <c r="AE18" s="441"/>
      <c r="AF18" s="441"/>
      <c r="AG18" s="535"/>
      <c r="AH18" s="535"/>
      <c r="AI18" s="535"/>
      <c r="AJ18" s="535"/>
      <c r="AK18" s="535"/>
      <c r="AL18" s="535"/>
      <c r="AM18" s="535"/>
      <c r="AN18" s="535"/>
      <c r="AO18" s="535"/>
      <c r="AP18" s="535"/>
      <c r="AQ18" s="535"/>
      <c r="AR18" s="535"/>
      <c r="AS18" s="535"/>
      <c r="AT18" s="535"/>
      <c r="AU18" s="535"/>
      <c r="AV18" s="535"/>
      <c r="AW18" s="535"/>
      <c r="AX18" s="535"/>
      <c r="AY18" s="535"/>
      <c r="AZ18" s="535"/>
      <c r="BA18" s="535"/>
      <c r="BB18" s="535"/>
      <c r="BC18" s="535"/>
      <c r="BD18" s="535"/>
      <c r="BE18" s="535"/>
      <c r="BF18" s="535"/>
      <c r="BG18" s="535"/>
      <c r="BH18" s="535"/>
      <c r="BI18" s="535"/>
      <c r="BJ18" s="535"/>
      <c r="BK18" s="535"/>
      <c r="BL18" s="535"/>
      <c r="BM18" s="535"/>
      <c r="BN18" s="535"/>
      <c r="BO18" s="535"/>
      <c r="BP18" s="535"/>
      <c r="BQ18" s="535"/>
      <c r="BR18" s="535"/>
      <c r="BS18" s="535"/>
      <c r="BT18" s="535"/>
      <c r="BU18" s="535"/>
      <c r="BV18" s="535"/>
      <c r="BW18" s="535"/>
      <c r="BX18" s="535"/>
      <c r="BY18" s="535"/>
      <c r="BZ18" s="535"/>
      <c r="CA18" s="535"/>
      <c r="CB18" s="535"/>
      <c r="CC18" s="535"/>
      <c r="CD18" s="535"/>
      <c r="CE18" s="535"/>
      <c r="CF18" s="317">
        <v>0</v>
      </c>
    </row>
    <row s="1874" customFormat="1" customHeight="1" ht="11.25" hidden="1">
      <c r="A19" s="657"/>
      <c r="B19" s="441"/>
      <c r="C19" s="436"/>
      <c r="D19" s="2405"/>
      <c r="E19" s="673" t="s">
        <v>22</v>
      </c>
      <c r="F19" s="674" t="s">
        <v>22</v>
      </c>
      <c r="G19" s="674" t="s">
        <v>22</v>
      </c>
      <c r="H19" s="675" t="s">
        <v>22</v>
      </c>
      <c r="I19" s="675"/>
      <c r="J19" s="675"/>
      <c r="K19" s="675"/>
      <c r="L19" s="675"/>
      <c r="M19" s="675"/>
      <c r="N19" s="675"/>
      <c r="O19" s="675"/>
      <c r="P19" s="675"/>
      <c r="Q19" s="675"/>
      <c r="R19" s="676"/>
      <c r="S19" s="1044"/>
      <c r="T19" s="742"/>
      <c r="U19" s="2398"/>
      <c r="V19" s="2398"/>
      <c r="W19" s="441"/>
      <c r="X19" s="441"/>
      <c r="Y19" s="441"/>
      <c r="Z19" s="441"/>
      <c r="AA19" s="535"/>
      <c r="AB19" s="441"/>
      <c r="AC19" s="2399"/>
      <c r="AD19" s="653"/>
      <c r="AE19" s="441"/>
      <c r="AF19" s="441"/>
      <c r="AG19" s="535"/>
      <c r="AH19" s="535"/>
      <c r="AI19" s="535"/>
      <c r="AJ19" s="535"/>
      <c r="AK19" s="535"/>
      <c r="AL19" s="535"/>
      <c r="AM19" s="535"/>
      <c r="AN19" s="535"/>
      <c r="AO19" s="535"/>
      <c r="AP19" s="535"/>
      <c r="AQ19" s="535"/>
      <c r="AR19" s="535"/>
      <c r="AS19" s="535"/>
      <c r="AT19" s="535"/>
      <c r="AU19" s="535"/>
      <c r="AV19" s="535"/>
      <c r="AW19" s="535"/>
      <c r="AX19" s="535"/>
      <c r="AY19" s="535"/>
      <c r="AZ19" s="535"/>
      <c r="BA19" s="535"/>
      <c r="BB19" s="535"/>
      <c r="BC19" s="535"/>
      <c r="BD19" s="535"/>
      <c r="BE19" s="535"/>
      <c r="BF19" s="535"/>
      <c r="BG19" s="535"/>
      <c r="BH19" s="535"/>
      <c r="BI19" s="535"/>
      <c r="BJ19" s="535"/>
      <c r="BK19" s="535"/>
      <c r="BL19" s="535"/>
      <c r="BM19" s="535"/>
      <c r="BN19" s="535"/>
      <c r="BO19" s="535"/>
      <c r="BP19" s="535"/>
      <c r="BQ19" s="535"/>
      <c r="BR19" s="535"/>
      <c r="BS19" s="535"/>
      <c r="BT19" s="535"/>
      <c r="BU19" s="535"/>
      <c r="BV19" s="441"/>
      <c r="BW19" s="441"/>
      <c r="BX19" s="441"/>
      <c r="BY19" s="441"/>
      <c r="BZ19" s="441"/>
      <c r="CA19" s="441"/>
      <c r="CB19" s="441"/>
      <c r="CC19" s="441"/>
      <c r="CD19" s="441"/>
      <c r="CE19" s="441"/>
      <c r="CF19" s="317">
        <v>0</v>
      </c>
    </row>
    <row s="1874" customFormat="1" customHeight="1" ht="22.5" hidden="1">
      <c r="A20" s="657"/>
      <c r="B20" s="441"/>
      <c r="C20" s="436"/>
      <c r="D20" s="2405"/>
      <c r="E20" s="2400" t="s">
        <v>697</v>
      </c>
      <c r="F20" s="2400"/>
      <c r="G20" s="2400"/>
      <c r="H20" s="2400"/>
      <c r="I20" s="2400"/>
      <c r="J20" s="2400"/>
      <c r="K20" s="2400"/>
      <c r="L20" s="2400"/>
      <c r="M20" s="2400"/>
      <c r="N20" s="2400"/>
      <c r="O20" s="2400"/>
      <c r="P20" s="2400"/>
      <c r="Q20" s="582">
        <f>SUMIF(T21:T22,"i",Q21:Q22)</f>
        <v>0</v>
      </c>
      <c r="R20" s="1041"/>
      <c r="S20" s="733" t="s">
        <v>698</v>
      </c>
      <c r="T20" s="741" t="s">
        <v>696</v>
      </c>
      <c r="U20" s="2398">
        <v>2</v>
      </c>
      <c r="V20" s="2398" t="str">
        <f>INDEX(B_FHD_FLAG_INDEX_2,1,MATCH(A14,B_FHD_FLAG_DIFFERENTIATION,0))</f>
        <v>отсутствует</v>
      </c>
      <c r="W20" s="441"/>
      <c r="X20" s="441"/>
      <c r="Y20" s="441"/>
      <c r="Z20" s="441"/>
      <c r="AA20" s="535"/>
      <c r="AB20" s="441"/>
      <c r="AC20" s="730"/>
      <c r="AD20" s="653"/>
      <c r="AE20" s="441"/>
      <c r="AF20" s="441"/>
      <c r="AG20" s="535"/>
      <c r="AH20" s="535"/>
      <c r="AI20" s="535"/>
      <c r="AJ20" s="535"/>
      <c r="AK20" s="535"/>
      <c r="AL20" s="535"/>
      <c r="AM20" s="535"/>
      <c r="AN20" s="535"/>
      <c r="AO20" s="535"/>
      <c r="AP20" s="535"/>
      <c r="AQ20" s="535"/>
      <c r="AR20" s="535"/>
      <c r="AS20" s="535"/>
      <c r="AT20" s="535"/>
      <c r="AU20" s="535"/>
      <c r="AV20" s="535"/>
      <c r="AW20" s="535"/>
      <c r="AX20" s="535"/>
      <c r="AY20" s="535"/>
      <c r="AZ20" s="535"/>
      <c r="BA20" s="535"/>
      <c r="BB20" s="535"/>
      <c r="BC20" s="535"/>
      <c r="BD20" s="535"/>
      <c r="BE20" s="535"/>
      <c r="BF20" s="535"/>
      <c r="BG20" s="535"/>
      <c r="BH20" s="535"/>
      <c r="BI20" s="535"/>
      <c r="BJ20" s="535"/>
      <c r="BK20" s="535"/>
      <c r="BL20" s="535"/>
      <c r="BM20" s="535"/>
      <c r="BN20" s="535"/>
      <c r="BO20" s="535"/>
      <c r="BP20" s="535"/>
      <c r="BQ20" s="535"/>
      <c r="BR20" s="535"/>
      <c r="BS20" s="535"/>
      <c r="BT20" s="535"/>
      <c r="BU20" s="535"/>
      <c r="BV20" s="441"/>
      <c r="BW20" s="441"/>
      <c r="BX20" s="441"/>
      <c r="BY20" s="441"/>
      <c r="BZ20" s="441"/>
      <c r="CA20" s="441"/>
      <c r="CB20" s="441"/>
      <c r="CC20" s="441"/>
      <c r="CD20" s="441"/>
      <c r="CE20" s="441"/>
      <c r="CF20" s="317">
        <v>0</v>
      </c>
    </row>
    <row s="1874" customFormat="1" customHeight="1" ht="11.25" hidden="1">
      <c r="A21" s="732"/>
      <c r="B21" s="535"/>
      <c r="C21" s="535"/>
      <c r="D21" s="2405"/>
      <c r="E21" s="659"/>
      <c r="F21" s="659">
        <v>0</v>
      </c>
      <c r="G21" s="659"/>
      <c r="H21" s="659"/>
      <c r="I21" s="659"/>
      <c r="J21" s="659"/>
      <c r="K21" s="659"/>
      <c r="L21" s="659"/>
      <c r="M21" s="659"/>
      <c r="N21" s="659"/>
      <c r="O21" s="659"/>
      <c r="P21" s="659"/>
      <c r="Q21" s="659"/>
      <c r="R21" s="659"/>
      <c r="S21" s="660"/>
      <c r="T21" s="742"/>
      <c r="U21" s="2398"/>
      <c r="V21" s="2398"/>
      <c r="W21" s="535"/>
      <c r="X21" s="535"/>
      <c r="Y21" s="535"/>
      <c r="Z21" s="535"/>
      <c r="AA21" s="535"/>
      <c r="AB21" s="441"/>
      <c r="AC21" s="730"/>
      <c r="AD21" s="653"/>
      <c r="AE21" s="441"/>
      <c r="AF21" s="441"/>
      <c r="AG21" s="535"/>
      <c r="AH21" s="535"/>
      <c r="AI21" s="535"/>
      <c r="AJ21" s="535"/>
      <c r="AK21" s="535"/>
      <c r="AL21" s="535"/>
      <c r="AM21" s="535"/>
      <c r="AN21" s="535"/>
      <c r="AO21" s="535"/>
      <c r="AP21" s="535"/>
      <c r="AQ21" s="535"/>
      <c r="AR21" s="535"/>
      <c r="AS21" s="535"/>
      <c r="AT21" s="535"/>
      <c r="AU21" s="535"/>
      <c r="AV21" s="535"/>
      <c r="AW21" s="535"/>
      <c r="AX21" s="535"/>
      <c r="AY21" s="535"/>
      <c r="AZ21" s="535"/>
      <c r="BA21" s="535"/>
      <c r="BB21" s="535"/>
      <c r="BC21" s="535"/>
      <c r="BD21" s="535"/>
      <c r="BE21" s="535"/>
      <c r="BF21" s="535"/>
      <c r="BG21" s="535"/>
      <c r="BH21" s="535"/>
      <c r="BI21" s="535"/>
      <c r="BJ21" s="535"/>
      <c r="BK21" s="535"/>
      <c r="BL21" s="535"/>
      <c r="BM21" s="535"/>
      <c r="BN21" s="535"/>
      <c r="BO21" s="535"/>
      <c r="BP21" s="535"/>
      <c r="BQ21" s="535"/>
      <c r="BR21" s="535"/>
      <c r="BS21" s="535"/>
      <c r="BT21" s="535"/>
      <c r="BU21" s="535"/>
      <c r="BV21" s="535"/>
      <c r="BW21" s="535"/>
      <c r="BX21" s="535"/>
      <c r="BY21" s="535"/>
      <c r="BZ21" s="535"/>
      <c r="CA21" s="535"/>
      <c r="CB21" s="535"/>
      <c r="CC21" s="535"/>
      <c r="CD21" s="535"/>
      <c r="CE21" s="535"/>
      <c r="CF21" s="317">
        <v>0</v>
      </c>
    </row>
    <row s="1874" customFormat="1" customHeight="1" ht="11.25" hidden="1">
      <c r="A22" s="657"/>
      <c r="B22" s="441"/>
      <c r="C22" s="436"/>
      <c r="D22" s="2406"/>
      <c r="E22" s="673" t="s">
        <v>22</v>
      </c>
      <c r="F22" s="674" t="s">
        <v>22</v>
      </c>
      <c r="G22" s="674" t="s">
        <v>22</v>
      </c>
      <c r="H22" s="675" t="s">
        <v>22</v>
      </c>
      <c r="I22" s="675"/>
      <c r="J22" s="675"/>
      <c r="K22" s="675"/>
      <c r="L22" s="675"/>
      <c r="M22" s="675"/>
      <c r="N22" s="675"/>
      <c r="O22" s="675"/>
      <c r="P22" s="675"/>
      <c r="Q22" s="675"/>
      <c r="R22" s="676"/>
      <c r="S22" s="1044"/>
      <c r="T22" s="742"/>
      <c r="U22" s="2398"/>
      <c r="V22" s="2398"/>
      <c r="W22" s="441"/>
      <c r="X22" s="441"/>
      <c r="Y22" s="441"/>
      <c r="Z22" s="441"/>
      <c r="AA22" s="535"/>
      <c r="AB22" s="441"/>
      <c r="AC22" s="730"/>
      <c r="AD22" s="653"/>
      <c r="AE22" s="441"/>
      <c r="AF22" s="441"/>
      <c r="AG22" s="535"/>
      <c r="AH22" s="535"/>
      <c r="AI22" s="535"/>
      <c r="AJ22" s="535"/>
      <c r="AK22" s="535"/>
      <c r="AL22" s="535"/>
      <c r="AM22" s="535"/>
      <c r="AN22" s="535"/>
      <c r="AO22" s="535"/>
      <c r="AP22" s="535"/>
      <c r="AQ22" s="535"/>
      <c r="AR22" s="535"/>
      <c r="AS22" s="535"/>
      <c r="AT22" s="535"/>
      <c r="AU22" s="535"/>
      <c r="AV22" s="535"/>
      <c r="AW22" s="535"/>
      <c r="AX22" s="535"/>
      <c r="AY22" s="535"/>
      <c r="AZ22" s="535"/>
      <c r="BA22" s="535"/>
      <c r="BB22" s="535"/>
      <c r="BC22" s="535"/>
      <c r="BD22" s="535"/>
      <c r="BE22" s="535"/>
      <c r="BF22" s="535"/>
      <c r="BG22" s="535"/>
      <c r="BH22" s="535"/>
      <c r="BI22" s="535"/>
      <c r="BJ22" s="535"/>
      <c r="BK22" s="535"/>
      <c r="BL22" s="535"/>
      <c r="BM22" s="535"/>
      <c r="BN22" s="535"/>
      <c r="BO22" s="535"/>
      <c r="BP22" s="535"/>
      <c r="BQ22" s="535"/>
      <c r="BR22" s="535"/>
      <c r="BS22" s="535"/>
      <c r="BT22" s="535"/>
      <c r="BU22" s="535"/>
      <c r="BV22" s="441"/>
      <c r="BW22" s="441"/>
      <c r="BX22" s="441"/>
      <c r="BY22" s="441"/>
      <c r="BZ22" s="441"/>
      <c r="CA22" s="441"/>
      <c r="CB22" s="441"/>
      <c r="CC22" s="441"/>
      <c r="CD22" s="441"/>
      <c r="CE22" s="441"/>
      <c r="CF22" s="317">
        <v>0</v>
      </c>
    </row>
    <row customHeight="1" ht="15" hidden="1">
      <c r="A23" s="647" t="s">
        <v>181</v>
      </c>
      <c r="B23" s="648"/>
      <c r="C23" s="648" t="s">
        <v>22</v>
      </c>
      <c r="D23" s="2602" t="s">
        <v>236</v>
      </c>
      <c r="E23" s="2401" t="s">
        <v>166</v>
      </c>
      <c r="F23" s="2402"/>
      <c r="G23" s="2403"/>
      <c r="H23" s="2407" t="str">
        <f>IF(A23="","",INDEX(DIFFERENTIATION_UNMERGE_VD,MATCH(A23,DIFFERENTIATION_ID_DIFF,0)))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23" s="2407"/>
      <c r="J23" s="2407"/>
      <c r="K23" s="2407"/>
      <c r="L23" s="2407"/>
      <c r="M23" s="2407"/>
      <c r="N23" s="2407"/>
      <c r="O23" s="2407"/>
      <c r="P23" s="2407"/>
      <c r="Q23" s="2407"/>
      <c r="R23" s="2407"/>
      <c r="S23" s="743"/>
      <c r="T23" s="740"/>
      <c r="U23" s="649"/>
      <c r="V23" s="649"/>
      <c r="W23" s="650"/>
      <c r="X23" s="650"/>
      <c r="Y23" s="650"/>
      <c r="Z23" s="650"/>
      <c r="AA23" s="651"/>
      <c r="AB23" s="652"/>
      <c r="AC23" s="2399"/>
      <c r="AD23" s="653"/>
      <c r="AE23" s="654" t="s">
        <v>22</v>
      </c>
      <c r="AF23" s="654"/>
      <c r="AG23" s="655" t="s">
        <v>693</v>
      </c>
      <c r="AH23" s="656">
        <v>3</v>
      </c>
      <c r="AI23" s="649"/>
      <c r="AJ23" s="649"/>
      <c r="AK23" s="649"/>
      <c r="AL23" s="649"/>
      <c r="AM23" s="649"/>
      <c r="AN23" s="649"/>
      <c r="AO23" s="649"/>
      <c r="AP23" s="649"/>
      <c r="AQ23" s="649"/>
      <c r="AR23" s="649"/>
      <c r="AS23" s="649"/>
      <c r="AT23" s="649"/>
      <c r="AU23" s="649"/>
      <c r="AV23" s="649"/>
      <c r="AW23" s="649"/>
      <c r="AX23" s="649"/>
      <c r="AY23" s="649"/>
      <c r="AZ23" s="649"/>
      <c r="BA23" s="649"/>
      <c r="BB23" s="649"/>
      <c r="BC23" s="649"/>
      <c r="BD23" s="649"/>
      <c r="BE23" s="649"/>
      <c r="BF23" s="649"/>
      <c r="BG23" s="649"/>
      <c r="BH23" s="649"/>
      <c r="BI23" s="649"/>
      <c r="BJ23" s="649"/>
      <c r="BK23" s="649"/>
      <c r="BL23" s="649"/>
      <c r="BM23" s="649"/>
      <c r="BN23" s="649"/>
      <c r="BO23" s="649"/>
      <c r="BP23" s="649"/>
      <c r="BQ23" s="649"/>
      <c r="BR23" s="649"/>
      <c r="BS23" s="649"/>
      <c r="BT23" s="649"/>
      <c r="BU23" s="649"/>
      <c r="BV23" s="650"/>
      <c r="BW23" s="650"/>
      <c r="BX23" s="650"/>
      <c r="BY23" s="650"/>
      <c r="BZ23" s="650"/>
      <c r="CA23" s="650"/>
      <c r="CB23" s="650"/>
      <c r="CC23" s="650"/>
      <c r="CD23" s="650"/>
      <c r="CE23" s="650"/>
      <c r="CF23" s="1874"/>
    </row>
    <row customHeight="1" ht="15" hidden="1">
      <c r="A24" s="647"/>
      <c r="B24" s="648"/>
      <c r="C24" s="648"/>
      <c r="D24" s="2603"/>
      <c r="E24" s="2401" t="s">
        <v>648</v>
      </c>
      <c r="F24" s="2402"/>
      <c r="G24" s="2403"/>
      <c r="H24" s="2407" t="str">
        <f>IF(A23="","",INDEX(DIFFERENTIATION_UNMERGE_AREA,MATCH(A23,DIFFERENTIATION_ID_DIFF,0)))</f>
        <v>Территория 2</v>
      </c>
      <c r="I24" s="2407"/>
      <c r="J24" s="2407"/>
      <c r="K24" s="2407"/>
      <c r="L24" s="2407"/>
      <c r="M24" s="2407"/>
      <c r="N24" s="2407"/>
      <c r="O24" s="2407"/>
      <c r="P24" s="2407"/>
      <c r="Q24" s="2407"/>
      <c r="R24" s="2407"/>
      <c r="S24" s="743"/>
      <c r="T24" s="740"/>
      <c r="U24" s="649"/>
      <c r="V24" s="649"/>
      <c r="W24" s="650"/>
      <c r="X24" s="650"/>
      <c r="Y24" s="650"/>
      <c r="Z24" s="650"/>
      <c r="AA24" s="651"/>
      <c r="AB24" s="652"/>
      <c r="AC24" s="2399"/>
      <c r="AD24" s="653"/>
      <c r="AE24" s="654"/>
      <c r="AF24" s="654"/>
      <c r="AG24" s="655"/>
      <c r="AH24" s="656"/>
      <c r="AI24" s="649"/>
      <c r="AJ24" s="649"/>
      <c r="AK24" s="649"/>
      <c r="AL24" s="649"/>
      <c r="AM24" s="649"/>
      <c r="AN24" s="649"/>
      <c r="AO24" s="649"/>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50"/>
      <c r="BW24" s="650"/>
      <c r="BX24" s="650"/>
      <c r="BY24" s="650"/>
      <c r="BZ24" s="650"/>
      <c r="CA24" s="650"/>
      <c r="CB24" s="650"/>
      <c r="CC24" s="650"/>
      <c r="CD24" s="650"/>
      <c r="CE24" s="650"/>
      <c r="CF24" s="1874"/>
    </row>
    <row customHeight="1" ht="15" hidden="1">
      <c r="A25" s="647"/>
      <c r="B25" s="648"/>
      <c r="C25" s="648"/>
      <c r="D25" s="2603"/>
      <c r="E25" s="2401" t="s">
        <v>649</v>
      </c>
      <c r="F25" s="2402"/>
      <c r="G25" s="2403"/>
      <c r="H25" s="2407" t="str">
        <f>IF(A23="","",INDEX(DIFFERENTIATION_UNMERGE_SYSTEM,MATCH(A23,DIFFERENTIATION_ID_DIFF,0)))</f>
        <v>Николаевская ТЭЦ (г. Николаевск)</v>
      </c>
      <c r="I25" s="2407"/>
      <c r="J25" s="2407"/>
      <c r="K25" s="2407"/>
      <c r="L25" s="2407"/>
      <c r="M25" s="2407"/>
      <c r="N25" s="2407"/>
      <c r="O25" s="2407"/>
      <c r="P25" s="2407"/>
      <c r="Q25" s="2407"/>
      <c r="R25" s="2407"/>
      <c r="S25" s="743"/>
      <c r="T25" s="740"/>
      <c r="U25" s="649"/>
      <c r="V25" s="649"/>
      <c r="W25" s="650"/>
      <c r="X25" s="650"/>
      <c r="Y25" s="650"/>
      <c r="Z25" s="650"/>
      <c r="AA25" s="651"/>
      <c r="AB25" s="652"/>
      <c r="AC25" s="2399"/>
      <c r="AD25" s="653"/>
      <c r="AE25" s="654"/>
      <c r="AF25" s="654"/>
      <c r="AG25" s="655"/>
      <c r="AH25" s="656"/>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50"/>
      <c r="BW25" s="650"/>
      <c r="BX25" s="650"/>
      <c r="BY25" s="650"/>
      <c r="BZ25" s="650"/>
      <c r="CA25" s="650"/>
      <c r="CB25" s="650"/>
      <c r="CC25" s="650"/>
      <c r="CD25" s="650"/>
      <c r="CE25" s="650"/>
      <c r="CF25" s="1874"/>
    </row>
    <row customHeight="1" ht="24.75" hidden="1">
      <c r="A26" s="1830"/>
      <c r="B26" s="1184"/>
      <c r="C26" s="436"/>
      <c r="D26" s="2603"/>
      <c r="E26" s="2400" t="s">
        <v>694</v>
      </c>
      <c r="F26" s="2400"/>
      <c r="G26" s="2400"/>
      <c r="H26" s="2400"/>
      <c r="I26" s="2400"/>
      <c r="J26" s="2400"/>
      <c r="K26" s="2400"/>
      <c r="L26" s="2400"/>
      <c r="M26" s="2400"/>
      <c r="N26" s="2400"/>
      <c r="O26" s="2400"/>
      <c r="P26" s="2400"/>
      <c r="Q26" s="582">
        <f>SUMIF(T27:T28,"i",Q27:Q28)</f>
        <v>0</v>
      </c>
      <c r="R26" s="1041"/>
      <c r="S26" s="1822" t="s">
        <v>695</v>
      </c>
      <c r="T26" s="741" t="s">
        <v>696</v>
      </c>
      <c r="U26" s="2398">
        <v>1</v>
      </c>
      <c r="V26" s="2398" t="s">
        <v>659</v>
      </c>
      <c r="W26" s="1184"/>
      <c r="X26" s="1184"/>
      <c r="Y26" s="1184"/>
      <c r="Z26" s="1184"/>
      <c r="AA26" s="1660"/>
      <c r="AB26" s="1184"/>
      <c r="AC26" s="2399"/>
      <c r="AD26" s="653"/>
      <c r="AE26" s="1184"/>
      <c r="AF26" s="1184"/>
      <c r="AG26" s="1660"/>
      <c r="AH26" s="1660"/>
      <c r="AI26" s="1660"/>
      <c r="AJ26" s="1660"/>
      <c r="AK26" s="1660"/>
      <c r="AL26" s="1660"/>
      <c r="AM26" s="1660"/>
      <c r="AN26" s="1660"/>
      <c r="AO26" s="1660"/>
      <c r="AP26" s="1660"/>
      <c r="AQ26" s="1660"/>
      <c r="AR26" s="1660"/>
      <c r="AS26" s="1660"/>
      <c r="AT26" s="1660"/>
      <c r="AU26" s="1660"/>
      <c r="AV26" s="1660"/>
      <c r="AW26" s="1660"/>
      <c r="AX26" s="1660"/>
      <c r="AY26" s="1660"/>
      <c r="AZ26" s="1660"/>
      <c r="BA26" s="1660"/>
      <c r="BB26" s="1660"/>
      <c r="BC26" s="1660"/>
      <c r="BD26" s="1660"/>
      <c r="BE26" s="1660"/>
      <c r="BF26" s="1660"/>
      <c r="BG26" s="1660"/>
      <c r="BH26" s="1660"/>
      <c r="BI26" s="1660"/>
      <c r="BJ26" s="1660"/>
      <c r="BK26" s="1660"/>
      <c r="BL26" s="1660"/>
      <c r="BM26" s="1660"/>
      <c r="BN26" s="1660"/>
      <c r="BO26" s="1660"/>
      <c r="BP26" s="1660"/>
      <c r="BQ26" s="1660"/>
      <c r="BR26" s="1660"/>
      <c r="BS26" s="1660"/>
      <c r="BT26" s="1660"/>
      <c r="BU26" s="1660"/>
      <c r="BV26" s="1184"/>
      <c r="BW26" s="1184"/>
      <c r="BX26" s="1184"/>
      <c r="BY26" s="1184"/>
      <c r="BZ26" s="1184"/>
      <c r="CA26" s="1184"/>
      <c r="CB26" s="1184"/>
      <c r="CC26" s="1184"/>
      <c r="CD26" s="1184"/>
      <c r="CE26" s="1184"/>
      <c r="CF26" s="1874"/>
    </row>
    <row customHeight="1" ht="11.25" hidden="1">
      <c r="A27" s="1817"/>
      <c r="B27" s="1660"/>
      <c r="C27" s="1660"/>
      <c r="D27" s="2603"/>
      <c r="E27" s="659"/>
      <c r="F27" s="659">
        <v>0</v>
      </c>
      <c r="G27" s="659"/>
      <c r="H27" s="659"/>
      <c r="I27" s="659"/>
      <c r="J27" s="659"/>
      <c r="K27" s="659"/>
      <c r="L27" s="659"/>
      <c r="M27" s="659"/>
      <c r="N27" s="659"/>
      <c r="O27" s="659"/>
      <c r="P27" s="659"/>
      <c r="Q27" s="659"/>
      <c r="R27" s="659"/>
      <c r="S27" s="660"/>
      <c r="T27" s="742"/>
      <c r="U27" s="2398"/>
      <c r="V27" s="2398"/>
      <c r="W27" s="1660"/>
      <c r="X27" s="1660"/>
      <c r="Y27" s="1660"/>
      <c r="Z27" s="1660"/>
      <c r="AA27" s="1660"/>
      <c r="AB27" s="1184"/>
      <c r="AC27" s="2399"/>
      <c r="AD27" s="653"/>
      <c r="AE27" s="1184"/>
      <c r="AF27" s="1184"/>
      <c r="AG27" s="1660"/>
      <c r="AH27" s="1660"/>
      <c r="AI27" s="1660"/>
      <c r="AJ27" s="1660"/>
      <c r="AK27" s="1660"/>
      <c r="AL27" s="1660"/>
      <c r="AM27" s="1660"/>
      <c r="AN27" s="1660"/>
      <c r="AO27" s="1660"/>
      <c r="AP27" s="1660"/>
      <c r="AQ27" s="1660"/>
      <c r="AR27" s="1660"/>
      <c r="AS27" s="1660"/>
      <c r="AT27" s="1660"/>
      <c r="AU27" s="1660"/>
      <c r="AV27" s="1660"/>
      <c r="AW27" s="1660"/>
      <c r="AX27" s="1660"/>
      <c r="AY27" s="1660"/>
      <c r="AZ27" s="1660"/>
      <c r="BA27" s="1660"/>
      <c r="BB27" s="1660"/>
      <c r="BC27" s="1660"/>
      <c r="BD27" s="1660"/>
      <c r="BE27" s="1660"/>
      <c r="BF27" s="1660"/>
      <c r="BG27" s="1660"/>
      <c r="BH27" s="1660"/>
      <c r="BI27" s="1660"/>
      <c r="BJ27" s="1660"/>
      <c r="BK27" s="1660"/>
      <c r="BL27" s="1660"/>
      <c r="BM27" s="1660"/>
      <c r="BN27" s="1660"/>
      <c r="BO27" s="1660"/>
      <c r="BP27" s="1660"/>
      <c r="BQ27" s="1660"/>
      <c r="BR27" s="1660"/>
      <c r="BS27" s="1660"/>
      <c r="BT27" s="1660"/>
      <c r="BU27" s="1660"/>
      <c r="BV27" s="1660"/>
      <c r="BW27" s="1660"/>
      <c r="BX27" s="1660"/>
      <c r="BY27" s="1660"/>
      <c r="BZ27" s="1660"/>
      <c r="CA27" s="1660"/>
      <c r="CB27" s="1660"/>
      <c r="CC27" s="1660"/>
      <c r="CD27" s="1660"/>
      <c r="CE27" s="1660"/>
      <c r="CF27" s="1874"/>
    </row>
    <row customHeight="1" ht="11.25" hidden="1">
      <c r="A28" s="1830"/>
      <c r="B28" s="1184"/>
      <c r="C28" s="436"/>
      <c r="D28" s="2603"/>
      <c r="E28" s="673" t="s">
        <v>22</v>
      </c>
      <c r="F28" s="1192" t="s">
        <v>22</v>
      </c>
      <c r="G28" s="1192" t="s">
        <v>699</v>
      </c>
      <c r="H28" s="675" t="s">
        <v>22</v>
      </c>
      <c r="I28" s="675"/>
      <c r="J28" s="675"/>
      <c r="K28" s="675"/>
      <c r="L28" s="675"/>
      <c r="M28" s="675"/>
      <c r="N28" s="675"/>
      <c r="O28" s="675"/>
      <c r="P28" s="675"/>
      <c r="Q28" s="675"/>
      <c r="R28" s="676"/>
      <c r="S28" s="677"/>
      <c r="T28" s="742"/>
      <c r="U28" s="2398"/>
      <c r="V28" s="2398"/>
      <c r="W28" s="1184"/>
      <c r="X28" s="1184"/>
      <c r="Y28" s="1184"/>
      <c r="Z28" s="1184"/>
      <c r="AA28" s="1660"/>
      <c r="AB28" s="1184"/>
      <c r="AC28" s="2399"/>
      <c r="AD28" s="653"/>
      <c r="AE28" s="1184"/>
      <c r="AF28" s="1184"/>
      <c r="AG28" s="1660"/>
      <c r="AH28" s="1660"/>
      <c r="AI28" s="1660"/>
      <c r="AJ28" s="1660"/>
      <c r="AK28" s="1660"/>
      <c r="AL28" s="1660"/>
      <c r="AM28" s="1660"/>
      <c r="AN28" s="1660"/>
      <c r="AO28" s="1660"/>
      <c r="AP28" s="1660"/>
      <c r="AQ28" s="1660"/>
      <c r="AR28" s="1660"/>
      <c r="AS28" s="1660"/>
      <c r="AT28" s="1660"/>
      <c r="AU28" s="1660"/>
      <c r="AV28" s="1660"/>
      <c r="AW28" s="1660"/>
      <c r="AX28" s="1660"/>
      <c r="AY28" s="1660"/>
      <c r="AZ28" s="1660"/>
      <c r="BA28" s="1660"/>
      <c r="BB28" s="1660"/>
      <c r="BC28" s="1660"/>
      <c r="BD28" s="1660"/>
      <c r="BE28" s="1660"/>
      <c r="BF28" s="1660"/>
      <c r="BG28" s="1660"/>
      <c r="BH28" s="1660"/>
      <c r="BI28" s="1660"/>
      <c r="BJ28" s="1660"/>
      <c r="BK28" s="1660"/>
      <c r="BL28" s="1660"/>
      <c r="BM28" s="1660"/>
      <c r="BN28" s="1660"/>
      <c r="BO28" s="1660"/>
      <c r="BP28" s="1660"/>
      <c r="BQ28" s="1660"/>
      <c r="BR28" s="1660"/>
      <c r="BS28" s="1660"/>
      <c r="BT28" s="1660"/>
      <c r="BU28" s="1660"/>
      <c r="BV28" s="1184"/>
      <c r="BW28" s="1184"/>
      <c r="BX28" s="1184"/>
      <c r="BY28" s="1184"/>
      <c r="BZ28" s="1184"/>
      <c r="CA28" s="1184"/>
      <c r="CB28" s="1184"/>
      <c r="CC28" s="1184"/>
      <c r="CD28" s="1184"/>
      <c r="CE28" s="1184"/>
      <c r="CF28" s="1874"/>
    </row>
    <row customHeight="1" ht="5.25" hidden="1">
      <c r="A29" s="1817"/>
      <c r="B29" s="1660"/>
      <c r="C29" s="1660"/>
      <c r="D29" s="2603"/>
      <c r="E29" s="1063"/>
      <c r="F29" s="1063"/>
      <c r="G29" s="1063"/>
      <c r="H29" s="1063"/>
      <c r="I29" s="1063"/>
      <c r="J29" s="1063"/>
      <c r="K29" s="1063"/>
      <c r="L29" s="1063"/>
      <c r="M29" s="1063"/>
      <c r="N29" s="1063"/>
      <c r="O29" s="1063"/>
      <c r="P29" s="1063"/>
      <c r="Q29" s="1064"/>
      <c r="R29" s="1065"/>
      <c r="S29" s="1066"/>
      <c r="T29" s="741" t="s">
        <v>696</v>
      </c>
      <c r="U29" s="2398">
        <v>1</v>
      </c>
      <c r="V29" s="2398" t="s">
        <v>659</v>
      </c>
      <c r="W29" s="1660"/>
      <c r="X29" s="1660"/>
      <c r="Y29" s="1660"/>
      <c r="Z29" s="1660"/>
      <c r="AA29" s="1660"/>
      <c r="AB29" s="1660"/>
      <c r="AC29" s="1061"/>
      <c r="AD29" s="1062"/>
      <c r="AE29" s="1660"/>
      <c r="AF29" s="1660"/>
      <c r="AG29" s="1660"/>
      <c r="AH29" s="1660"/>
      <c r="AI29" s="1660"/>
      <c r="AJ29" s="1660"/>
      <c r="AK29" s="1660"/>
      <c r="AL29" s="1660"/>
      <c r="AM29" s="1660"/>
      <c r="AN29" s="1660"/>
      <c r="AO29" s="1660"/>
      <c r="AP29" s="1660"/>
      <c r="AQ29" s="1660"/>
      <c r="AR29" s="1660"/>
      <c r="AS29" s="1660"/>
      <c r="AT29" s="1660"/>
      <c r="AU29" s="1660"/>
      <c r="AV29" s="1660"/>
      <c r="AW29" s="1660"/>
      <c r="AX29" s="1660"/>
      <c r="AY29" s="1660"/>
      <c r="AZ29" s="1660"/>
      <c r="BA29" s="1660"/>
      <c r="BB29" s="1660"/>
      <c r="BC29" s="1660"/>
      <c r="BD29" s="1660"/>
      <c r="BE29" s="1660"/>
      <c r="BF29" s="1660"/>
      <c r="BG29" s="1660"/>
      <c r="BH29" s="1660"/>
      <c r="BI29" s="1660"/>
      <c r="BJ29" s="1660"/>
      <c r="BK29" s="1660"/>
      <c r="BL29" s="1660"/>
      <c r="BM29" s="1660"/>
      <c r="BN29" s="1660"/>
      <c r="BO29" s="1660"/>
      <c r="BP29" s="1660"/>
      <c r="BQ29" s="1660"/>
      <c r="BR29" s="1660"/>
      <c r="BS29" s="1660"/>
      <c r="BT29" s="1660"/>
      <c r="BU29" s="1660"/>
      <c r="BV29" s="1660"/>
      <c r="BW29" s="1660"/>
      <c r="BX29" s="1660"/>
      <c r="BY29" s="1660"/>
      <c r="BZ29" s="1660"/>
      <c r="CA29" s="1660"/>
      <c r="CB29" s="1660"/>
      <c r="CC29" s="1660"/>
      <c r="CD29" s="1660"/>
      <c r="CE29" s="1660"/>
      <c r="CF29" s="1340"/>
    </row>
    <row customHeight="1" ht="5.25" hidden="1">
      <c r="A30" s="1817"/>
      <c r="B30" s="1660"/>
      <c r="C30" s="1660"/>
      <c r="D30" s="2603"/>
      <c r="E30" s="659"/>
      <c r="F30" s="659"/>
      <c r="G30" s="659"/>
      <c r="H30" s="659"/>
      <c r="I30" s="659"/>
      <c r="J30" s="659"/>
      <c r="K30" s="659"/>
      <c r="L30" s="659"/>
      <c r="M30" s="659"/>
      <c r="N30" s="659"/>
      <c r="O30" s="659"/>
      <c r="P30" s="659"/>
      <c r="Q30" s="659"/>
      <c r="R30" s="659"/>
      <c r="S30" s="660"/>
      <c r="T30" s="742"/>
      <c r="U30" s="2398"/>
      <c r="V30" s="2398"/>
      <c r="W30" s="1660"/>
      <c r="X30" s="1660"/>
      <c r="Y30" s="1660"/>
      <c r="Z30" s="1660"/>
      <c r="AA30" s="1660"/>
      <c r="AB30" s="1660"/>
      <c r="AC30" s="1061"/>
      <c r="AD30" s="1062"/>
      <c r="AE30" s="1660"/>
      <c r="AF30" s="1660"/>
      <c r="AG30" s="1660"/>
      <c r="AH30" s="1660"/>
      <c r="AI30" s="1660"/>
      <c r="AJ30" s="1660"/>
      <c r="AK30" s="1660"/>
      <c r="AL30" s="1660"/>
      <c r="AM30" s="1660"/>
      <c r="AN30" s="1660"/>
      <c r="AO30" s="1660"/>
      <c r="AP30" s="1660"/>
      <c r="AQ30" s="1660"/>
      <c r="AR30" s="1660"/>
      <c r="AS30" s="1660"/>
      <c r="AT30" s="1660"/>
      <c r="AU30" s="1660"/>
      <c r="AV30" s="1660"/>
      <c r="AW30" s="1660"/>
      <c r="AX30" s="1660"/>
      <c r="AY30" s="1660"/>
      <c r="AZ30" s="1660"/>
      <c r="BA30" s="1660"/>
      <c r="BB30" s="1660"/>
      <c r="BC30" s="1660"/>
      <c r="BD30" s="1660"/>
      <c r="BE30" s="1660"/>
      <c r="BF30" s="1660"/>
      <c r="BG30" s="1660"/>
      <c r="BH30" s="1660"/>
      <c r="BI30" s="1660"/>
      <c r="BJ30" s="1660"/>
      <c r="BK30" s="1660"/>
      <c r="BL30" s="1660"/>
      <c r="BM30" s="1660"/>
      <c r="BN30" s="1660"/>
      <c r="BO30" s="1660"/>
      <c r="BP30" s="1660"/>
      <c r="BQ30" s="1660"/>
      <c r="BR30" s="1660"/>
      <c r="BS30" s="1660"/>
      <c r="BT30" s="1660"/>
      <c r="BU30" s="1660"/>
      <c r="BV30" s="1660"/>
      <c r="BW30" s="1660"/>
      <c r="BX30" s="1660"/>
      <c r="BY30" s="1660"/>
      <c r="BZ30" s="1660"/>
      <c r="CA30" s="1660"/>
      <c r="CB30" s="1660"/>
      <c r="CC30" s="1660"/>
      <c r="CD30" s="1660"/>
      <c r="CE30" s="1660"/>
      <c r="CF30" s="1340"/>
    </row>
    <row customHeight="1" ht="5.25" hidden="1">
      <c r="A31" s="1817"/>
      <c r="B31" s="1660"/>
      <c r="C31" s="1660"/>
      <c r="D31" s="2604"/>
      <c r="E31" s="1067"/>
      <c r="F31" s="1068"/>
      <c r="G31" s="1068"/>
      <c r="H31" s="1069"/>
      <c r="I31" s="1069"/>
      <c r="J31" s="1069"/>
      <c r="K31" s="1069"/>
      <c r="L31" s="1069"/>
      <c r="M31" s="1069"/>
      <c r="N31" s="1069"/>
      <c r="O31" s="1069"/>
      <c r="P31" s="1069"/>
      <c r="Q31" s="1069"/>
      <c r="R31" s="970"/>
      <c r="S31" s="1070"/>
      <c r="T31" s="742"/>
      <c r="U31" s="2398"/>
      <c r="V31" s="2398"/>
      <c r="W31" s="1660"/>
      <c r="X31" s="1660"/>
      <c r="Y31" s="1660"/>
      <c r="Z31" s="1660"/>
      <c r="AA31" s="1660"/>
      <c r="AB31" s="1660"/>
      <c r="AC31" s="1061"/>
      <c r="AD31" s="1062"/>
      <c r="AE31" s="1660"/>
      <c r="AF31" s="1660"/>
      <c r="AG31" s="1660"/>
      <c r="AH31" s="1660"/>
      <c r="AI31" s="1660"/>
      <c r="AJ31" s="1660"/>
      <c r="AK31" s="1660"/>
      <c r="AL31" s="1660"/>
      <c r="AM31" s="1660"/>
      <c r="AN31" s="1660"/>
      <c r="AO31" s="1660"/>
      <c r="AP31" s="1660"/>
      <c r="AQ31" s="1660"/>
      <c r="AR31" s="1660"/>
      <c r="AS31" s="1660"/>
      <c r="AT31" s="1660"/>
      <c r="AU31" s="1660"/>
      <c r="AV31" s="1660"/>
      <c r="AW31" s="1660"/>
      <c r="AX31" s="1660"/>
      <c r="AY31" s="1660"/>
      <c r="AZ31" s="1660"/>
      <c r="BA31" s="1660"/>
      <c r="BB31" s="1660"/>
      <c r="BC31" s="1660"/>
      <c r="BD31" s="1660"/>
      <c r="BE31" s="1660"/>
      <c r="BF31" s="1660"/>
      <c r="BG31" s="1660"/>
      <c r="BH31" s="1660"/>
      <c r="BI31" s="1660"/>
      <c r="BJ31" s="1660"/>
      <c r="BK31" s="1660"/>
      <c r="BL31" s="1660"/>
      <c r="BM31" s="1660"/>
      <c r="BN31" s="1660"/>
      <c r="BO31" s="1660"/>
      <c r="BP31" s="1660"/>
      <c r="BQ31" s="1660"/>
      <c r="BR31" s="1660"/>
      <c r="BS31" s="1660"/>
      <c r="BT31" s="1660"/>
      <c r="BU31" s="1660"/>
      <c r="BV31" s="1660"/>
      <c r="BW31" s="1660"/>
      <c r="BX31" s="1660"/>
      <c r="BY31" s="1660"/>
      <c r="BZ31" s="1660"/>
      <c r="CA31" s="1660"/>
      <c r="CB31" s="1660"/>
      <c r="CC31" s="1660"/>
      <c r="CD31" s="1660"/>
      <c r="CE31" s="1660"/>
      <c r="CF31" s="1340"/>
    </row>
    <row customHeight="1" ht="15" hidden="1">
      <c r="A32" s="647" t="s">
        <v>183</v>
      </c>
      <c r="B32" s="648"/>
      <c r="C32" s="648" t="s">
        <v>22</v>
      </c>
      <c r="D32" s="2602" t="s">
        <v>700</v>
      </c>
      <c r="E32" s="2401" t="s">
        <v>166</v>
      </c>
      <c r="F32" s="2402"/>
      <c r="G32" s="2403"/>
      <c r="H32" s="2407" t="str">
        <f>IF(A32="","",INDEX(DIFFERENTIATION_UNMERGE_VD,MATCH(A32,DIFFERENTIATION_ID_DIFF,0)))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32" s="2407"/>
      <c r="J32" s="2407"/>
      <c r="K32" s="2407"/>
      <c r="L32" s="2407"/>
      <c r="M32" s="2407"/>
      <c r="N32" s="2407"/>
      <c r="O32" s="2407"/>
      <c r="P32" s="2407"/>
      <c r="Q32" s="2407"/>
      <c r="R32" s="2407"/>
      <c r="S32" s="743"/>
      <c r="T32" s="740"/>
      <c r="U32" s="649"/>
      <c r="V32" s="649"/>
      <c r="W32" s="650"/>
      <c r="X32" s="650"/>
      <c r="Y32" s="650"/>
      <c r="Z32" s="650"/>
      <c r="AA32" s="651"/>
      <c r="AB32" s="652"/>
      <c r="AC32" s="2399"/>
      <c r="AD32" s="653"/>
      <c r="AE32" s="654" t="s">
        <v>22</v>
      </c>
      <c r="AF32" s="654"/>
      <c r="AG32" s="655" t="s">
        <v>693</v>
      </c>
      <c r="AH32" s="656">
        <v>3</v>
      </c>
      <c r="AI32" s="649"/>
      <c r="AJ32" s="649"/>
      <c r="AK32" s="649"/>
      <c r="AL32" s="649"/>
      <c r="AM32" s="649"/>
      <c r="AN32" s="649"/>
      <c r="AO32" s="649"/>
      <c r="AP32" s="649"/>
      <c r="AQ32" s="649"/>
      <c r="AR32" s="649"/>
      <c r="AS32" s="649"/>
      <c r="AT32" s="649"/>
      <c r="AU32" s="649"/>
      <c r="AV32" s="649"/>
      <c r="AW32" s="649"/>
      <c r="AX32" s="649"/>
      <c r="AY32" s="649"/>
      <c r="AZ32" s="649"/>
      <c r="BA32" s="649"/>
      <c r="BB32" s="649"/>
      <c r="BC32" s="649"/>
      <c r="BD32" s="649"/>
      <c r="BE32" s="649"/>
      <c r="BF32" s="649"/>
      <c r="BG32" s="649"/>
      <c r="BH32" s="649"/>
      <c r="BI32" s="649"/>
      <c r="BJ32" s="649"/>
      <c r="BK32" s="649"/>
      <c r="BL32" s="649"/>
      <c r="BM32" s="649"/>
      <c r="BN32" s="649"/>
      <c r="BO32" s="649"/>
      <c r="BP32" s="649"/>
      <c r="BQ32" s="649"/>
      <c r="BR32" s="649"/>
      <c r="BS32" s="649"/>
      <c r="BT32" s="649"/>
      <c r="BU32" s="649"/>
      <c r="BV32" s="650"/>
      <c r="BW32" s="650"/>
      <c r="BX32" s="650"/>
      <c r="BY32" s="650"/>
      <c r="BZ32" s="650"/>
      <c r="CA32" s="650"/>
      <c r="CB32" s="650"/>
      <c r="CC32" s="650"/>
      <c r="CD32" s="650"/>
      <c r="CE32" s="650"/>
      <c r="CF32" s="1874"/>
    </row>
    <row customHeight="1" ht="15" hidden="1">
      <c r="A33" s="647"/>
      <c r="B33" s="648"/>
      <c r="C33" s="648"/>
      <c r="D33" s="2603"/>
      <c r="E33" s="2401" t="s">
        <v>648</v>
      </c>
      <c r="F33" s="2402"/>
      <c r="G33" s="2403"/>
      <c r="H33" s="2407" t="str">
        <f>IF(A32="","",INDEX(DIFFERENTIATION_UNMERGE_AREA,MATCH(A32,DIFFERENTIATION_ID_DIFF,0)))</f>
        <v>Территория 2</v>
      </c>
      <c r="I33" s="2407"/>
      <c r="J33" s="2407"/>
      <c r="K33" s="2407"/>
      <c r="L33" s="2407"/>
      <c r="M33" s="2407"/>
      <c r="N33" s="2407"/>
      <c r="O33" s="2407"/>
      <c r="P33" s="2407"/>
      <c r="Q33" s="2407"/>
      <c r="R33" s="2407"/>
      <c r="S33" s="743"/>
      <c r="T33" s="740"/>
      <c r="U33" s="649"/>
      <c r="V33" s="649"/>
      <c r="W33" s="650"/>
      <c r="X33" s="650"/>
      <c r="Y33" s="650"/>
      <c r="Z33" s="650"/>
      <c r="AA33" s="651"/>
      <c r="AB33" s="652"/>
      <c r="AC33" s="2399"/>
      <c r="AD33" s="653"/>
      <c r="AE33" s="654"/>
      <c r="AF33" s="654"/>
      <c r="AG33" s="655"/>
      <c r="AH33" s="656"/>
      <c r="AI33" s="649"/>
      <c r="AJ33" s="649"/>
      <c r="AK33" s="649"/>
      <c r="AL33" s="649"/>
      <c r="AM33" s="649"/>
      <c r="AN33" s="649"/>
      <c r="AO33" s="649"/>
      <c r="AP33" s="649"/>
      <c r="AQ33" s="649"/>
      <c r="AR33" s="649"/>
      <c r="AS33" s="649"/>
      <c r="AT33" s="649"/>
      <c r="AU33" s="649"/>
      <c r="AV33" s="649"/>
      <c r="AW33" s="649"/>
      <c r="AX33" s="649"/>
      <c r="AY33" s="649"/>
      <c r="AZ33" s="649"/>
      <c r="BA33" s="649"/>
      <c r="BB33" s="649"/>
      <c r="BC33" s="649"/>
      <c r="BD33" s="649"/>
      <c r="BE33" s="649"/>
      <c r="BF33" s="649"/>
      <c r="BG33" s="649"/>
      <c r="BH33" s="649"/>
      <c r="BI33" s="649"/>
      <c r="BJ33" s="649"/>
      <c r="BK33" s="649"/>
      <c r="BL33" s="649"/>
      <c r="BM33" s="649"/>
      <c r="BN33" s="649"/>
      <c r="BO33" s="649"/>
      <c r="BP33" s="649"/>
      <c r="BQ33" s="649"/>
      <c r="BR33" s="649"/>
      <c r="BS33" s="649"/>
      <c r="BT33" s="649"/>
      <c r="BU33" s="649"/>
      <c r="BV33" s="650"/>
      <c r="BW33" s="650"/>
      <c r="BX33" s="650"/>
      <c r="BY33" s="650"/>
      <c r="BZ33" s="650"/>
      <c r="CA33" s="650"/>
      <c r="CB33" s="650"/>
      <c r="CC33" s="650"/>
      <c r="CD33" s="650"/>
      <c r="CE33" s="650"/>
      <c r="CF33" s="1874"/>
    </row>
    <row customHeight="1" ht="15" hidden="1">
      <c r="A34" s="647"/>
      <c r="B34" s="648"/>
      <c r="C34" s="648"/>
      <c r="D34" s="2603"/>
      <c r="E34" s="2401" t="s">
        <v>649</v>
      </c>
      <c r="F34" s="2402"/>
      <c r="G34" s="2403"/>
      <c r="H34" s="2407" t="str">
        <f>IF(A32="","",INDEX(DIFFERENTIATION_UNMERGE_SYSTEM,MATCH(A32,DIFFERENTIATION_ID_DIFF,0)))</f>
        <v>котельная "Аэропорт"</v>
      </c>
      <c r="I34" s="2407"/>
      <c r="J34" s="2407"/>
      <c r="K34" s="2407"/>
      <c r="L34" s="2407"/>
      <c r="M34" s="2407"/>
      <c r="N34" s="2407"/>
      <c r="O34" s="2407"/>
      <c r="P34" s="2407"/>
      <c r="Q34" s="2407"/>
      <c r="R34" s="2407"/>
      <c r="S34" s="743"/>
      <c r="T34" s="740"/>
      <c r="U34" s="649"/>
      <c r="V34" s="649"/>
      <c r="W34" s="650"/>
      <c r="X34" s="650"/>
      <c r="Y34" s="650"/>
      <c r="Z34" s="650"/>
      <c r="AA34" s="651"/>
      <c r="AB34" s="652"/>
      <c r="AC34" s="2399"/>
      <c r="AD34" s="653"/>
      <c r="AE34" s="654"/>
      <c r="AF34" s="654"/>
      <c r="AG34" s="655"/>
      <c r="AH34" s="656"/>
      <c r="AI34" s="649"/>
      <c r="AJ34" s="649"/>
      <c r="AK34" s="649"/>
      <c r="AL34" s="649"/>
      <c r="AM34" s="649"/>
      <c r="AN34" s="649"/>
      <c r="AO34" s="649"/>
      <c r="AP34" s="649"/>
      <c r="AQ34" s="649"/>
      <c r="AR34" s="649"/>
      <c r="AS34" s="649"/>
      <c r="AT34" s="649"/>
      <c r="AU34" s="649"/>
      <c r="AV34" s="649"/>
      <c r="AW34" s="649"/>
      <c r="AX34" s="649"/>
      <c r="AY34" s="649"/>
      <c r="AZ34" s="649"/>
      <c r="BA34" s="649"/>
      <c r="BB34" s="649"/>
      <c r="BC34" s="649"/>
      <c r="BD34" s="649"/>
      <c r="BE34" s="649"/>
      <c r="BF34" s="649"/>
      <c r="BG34" s="649"/>
      <c r="BH34" s="649"/>
      <c r="BI34" s="649"/>
      <c r="BJ34" s="649"/>
      <c r="BK34" s="649"/>
      <c r="BL34" s="649"/>
      <c r="BM34" s="649"/>
      <c r="BN34" s="649"/>
      <c r="BO34" s="649"/>
      <c r="BP34" s="649"/>
      <c r="BQ34" s="649"/>
      <c r="BR34" s="649"/>
      <c r="BS34" s="649"/>
      <c r="BT34" s="649"/>
      <c r="BU34" s="649"/>
      <c r="BV34" s="650"/>
      <c r="BW34" s="650"/>
      <c r="BX34" s="650"/>
      <c r="BY34" s="650"/>
      <c r="BZ34" s="650"/>
      <c r="CA34" s="650"/>
      <c r="CB34" s="650"/>
      <c r="CC34" s="650"/>
      <c r="CD34" s="650"/>
      <c r="CE34" s="650"/>
      <c r="CF34" s="1874"/>
    </row>
    <row customHeight="1" ht="24.75" hidden="1">
      <c r="A35" s="1830"/>
      <c r="B35" s="1184"/>
      <c r="C35" s="436"/>
      <c r="D35" s="2603"/>
      <c r="E35" s="2400" t="s">
        <v>694</v>
      </c>
      <c r="F35" s="2400"/>
      <c r="G35" s="2400"/>
      <c r="H35" s="2400"/>
      <c r="I35" s="2400"/>
      <c r="J35" s="2400"/>
      <c r="K35" s="2400"/>
      <c r="L35" s="2400"/>
      <c r="M35" s="2400"/>
      <c r="N35" s="2400"/>
      <c r="O35" s="2400"/>
      <c r="P35" s="2400"/>
      <c r="Q35" s="582">
        <f>SUMIF(T36:T37,"i",Q36:Q37)</f>
        <v>0</v>
      </c>
      <c r="R35" s="1041"/>
      <c r="S35" s="1822" t="s">
        <v>695</v>
      </c>
      <c r="T35" s="741" t="s">
        <v>696</v>
      </c>
      <c r="U35" s="2398">
        <v>1</v>
      </c>
      <c r="V35" s="2398" t="s">
        <v>659</v>
      </c>
      <c r="W35" s="1184"/>
      <c r="X35" s="1184"/>
      <c r="Y35" s="1184"/>
      <c r="Z35" s="1184"/>
      <c r="AA35" s="1660"/>
      <c r="AB35" s="1184"/>
      <c r="AC35" s="2399"/>
      <c r="AD35" s="653"/>
      <c r="AE35" s="1184"/>
      <c r="AF35" s="1184"/>
      <c r="AG35" s="1660"/>
      <c r="AH35" s="1660"/>
      <c r="AI35" s="1660"/>
      <c r="AJ35" s="1660"/>
      <c r="AK35" s="1660"/>
      <c r="AL35" s="1660"/>
      <c r="AM35" s="1660"/>
      <c r="AN35" s="1660"/>
      <c r="AO35" s="1660"/>
      <c r="AP35" s="1660"/>
      <c r="AQ35" s="1660"/>
      <c r="AR35" s="1660"/>
      <c r="AS35" s="1660"/>
      <c r="AT35" s="1660"/>
      <c r="AU35" s="1660"/>
      <c r="AV35" s="1660"/>
      <c r="AW35" s="1660"/>
      <c r="AX35" s="1660"/>
      <c r="AY35" s="1660"/>
      <c r="AZ35" s="1660"/>
      <c r="BA35" s="1660"/>
      <c r="BB35" s="1660"/>
      <c r="BC35" s="1660"/>
      <c r="BD35" s="1660"/>
      <c r="BE35" s="1660"/>
      <c r="BF35" s="1660"/>
      <c r="BG35" s="1660"/>
      <c r="BH35" s="1660"/>
      <c r="BI35" s="1660"/>
      <c r="BJ35" s="1660"/>
      <c r="BK35" s="1660"/>
      <c r="BL35" s="1660"/>
      <c r="BM35" s="1660"/>
      <c r="BN35" s="1660"/>
      <c r="BO35" s="1660"/>
      <c r="BP35" s="1660"/>
      <c r="BQ35" s="1660"/>
      <c r="BR35" s="1660"/>
      <c r="BS35" s="1660"/>
      <c r="BT35" s="1660"/>
      <c r="BU35" s="1660"/>
      <c r="BV35" s="1184"/>
      <c r="BW35" s="1184"/>
      <c r="BX35" s="1184"/>
      <c r="BY35" s="1184"/>
      <c r="BZ35" s="1184"/>
      <c r="CA35" s="1184"/>
      <c r="CB35" s="1184"/>
      <c r="CC35" s="1184"/>
      <c r="CD35" s="1184"/>
      <c r="CE35" s="1184"/>
      <c r="CF35" s="1874"/>
    </row>
    <row customHeight="1" ht="11.25" hidden="1">
      <c r="A36" s="1817"/>
      <c r="B36" s="1660"/>
      <c r="C36" s="1660"/>
      <c r="D36" s="2603"/>
      <c r="E36" s="659"/>
      <c r="F36" s="659">
        <v>0</v>
      </c>
      <c r="G36" s="659"/>
      <c r="H36" s="659"/>
      <c r="I36" s="659"/>
      <c r="J36" s="659"/>
      <c r="K36" s="659"/>
      <c r="L36" s="659"/>
      <c r="M36" s="659"/>
      <c r="N36" s="659"/>
      <c r="O36" s="659"/>
      <c r="P36" s="659"/>
      <c r="Q36" s="659"/>
      <c r="R36" s="659"/>
      <c r="S36" s="660"/>
      <c r="T36" s="742"/>
      <c r="U36" s="2398"/>
      <c r="V36" s="2398"/>
      <c r="W36" s="1660"/>
      <c r="X36" s="1660"/>
      <c r="Y36" s="1660"/>
      <c r="Z36" s="1660"/>
      <c r="AA36" s="1660"/>
      <c r="AB36" s="1184"/>
      <c r="AC36" s="2399"/>
      <c r="AD36" s="653"/>
      <c r="AE36" s="1184"/>
      <c r="AF36" s="1184"/>
      <c r="AG36" s="1660"/>
      <c r="AH36" s="1660"/>
      <c r="AI36" s="1660"/>
      <c r="AJ36" s="1660"/>
      <c r="AK36" s="1660"/>
      <c r="AL36" s="1660"/>
      <c r="AM36" s="1660"/>
      <c r="AN36" s="1660"/>
      <c r="AO36" s="1660"/>
      <c r="AP36" s="1660"/>
      <c r="AQ36" s="1660"/>
      <c r="AR36" s="1660"/>
      <c r="AS36" s="1660"/>
      <c r="AT36" s="1660"/>
      <c r="AU36" s="1660"/>
      <c r="AV36" s="1660"/>
      <c r="AW36" s="1660"/>
      <c r="AX36" s="1660"/>
      <c r="AY36" s="1660"/>
      <c r="AZ36" s="1660"/>
      <c r="BA36" s="1660"/>
      <c r="BB36" s="1660"/>
      <c r="BC36" s="1660"/>
      <c r="BD36" s="1660"/>
      <c r="BE36" s="1660"/>
      <c r="BF36" s="1660"/>
      <c r="BG36" s="1660"/>
      <c r="BH36" s="1660"/>
      <c r="BI36" s="1660"/>
      <c r="BJ36" s="1660"/>
      <c r="BK36" s="1660"/>
      <c r="BL36" s="1660"/>
      <c r="BM36" s="1660"/>
      <c r="BN36" s="1660"/>
      <c r="BO36" s="1660"/>
      <c r="BP36" s="1660"/>
      <c r="BQ36" s="1660"/>
      <c r="BR36" s="1660"/>
      <c r="BS36" s="1660"/>
      <c r="BT36" s="1660"/>
      <c r="BU36" s="1660"/>
      <c r="BV36" s="1660"/>
      <c r="BW36" s="1660"/>
      <c r="BX36" s="1660"/>
      <c r="BY36" s="1660"/>
      <c r="BZ36" s="1660"/>
      <c r="CA36" s="1660"/>
      <c r="CB36" s="1660"/>
      <c r="CC36" s="1660"/>
      <c r="CD36" s="1660"/>
      <c r="CE36" s="1660"/>
      <c r="CF36" s="1874"/>
    </row>
    <row customHeight="1" ht="11.25" hidden="1">
      <c r="A37" s="1830"/>
      <c r="B37" s="1184"/>
      <c r="C37" s="436"/>
      <c r="D37" s="2603"/>
      <c r="E37" s="673" t="s">
        <v>22</v>
      </c>
      <c r="F37" s="1192" t="s">
        <v>22</v>
      </c>
      <c r="G37" s="1192" t="s">
        <v>699</v>
      </c>
      <c r="H37" s="675" t="s">
        <v>22</v>
      </c>
      <c r="I37" s="675"/>
      <c r="J37" s="675"/>
      <c r="K37" s="675"/>
      <c r="L37" s="675"/>
      <c r="M37" s="675"/>
      <c r="N37" s="675"/>
      <c r="O37" s="675"/>
      <c r="P37" s="675"/>
      <c r="Q37" s="675"/>
      <c r="R37" s="676"/>
      <c r="S37" s="677"/>
      <c r="T37" s="742"/>
      <c r="U37" s="2398"/>
      <c r="V37" s="2398"/>
      <c r="W37" s="1184"/>
      <c r="X37" s="1184"/>
      <c r="Y37" s="1184"/>
      <c r="Z37" s="1184"/>
      <c r="AA37" s="1660"/>
      <c r="AB37" s="1184"/>
      <c r="AC37" s="2399"/>
      <c r="AD37" s="653"/>
      <c r="AE37" s="1184"/>
      <c r="AF37" s="1184"/>
      <c r="AG37" s="1660"/>
      <c r="AH37" s="1660"/>
      <c r="AI37" s="1660"/>
      <c r="AJ37" s="1660"/>
      <c r="AK37" s="1660"/>
      <c r="AL37" s="1660"/>
      <c r="AM37" s="1660"/>
      <c r="AN37" s="1660"/>
      <c r="AO37" s="1660"/>
      <c r="AP37" s="1660"/>
      <c r="AQ37" s="1660"/>
      <c r="AR37" s="1660"/>
      <c r="AS37" s="1660"/>
      <c r="AT37" s="1660"/>
      <c r="AU37" s="1660"/>
      <c r="AV37" s="1660"/>
      <c r="AW37" s="1660"/>
      <c r="AX37" s="1660"/>
      <c r="AY37" s="1660"/>
      <c r="AZ37" s="1660"/>
      <c r="BA37" s="1660"/>
      <c r="BB37" s="1660"/>
      <c r="BC37" s="1660"/>
      <c r="BD37" s="1660"/>
      <c r="BE37" s="1660"/>
      <c r="BF37" s="1660"/>
      <c r="BG37" s="1660"/>
      <c r="BH37" s="1660"/>
      <c r="BI37" s="1660"/>
      <c r="BJ37" s="1660"/>
      <c r="BK37" s="1660"/>
      <c r="BL37" s="1660"/>
      <c r="BM37" s="1660"/>
      <c r="BN37" s="1660"/>
      <c r="BO37" s="1660"/>
      <c r="BP37" s="1660"/>
      <c r="BQ37" s="1660"/>
      <c r="BR37" s="1660"/>
      <c r="BS37" s="1660"/>
      <c r="BT37" s="1660"/>
      <c r="BU37" s="1660"/>
      <c r="BV37" s="1184"/>
      <c r="BW37" s="1184"/>
      <c r="BX37" s="1184"/>
      <c r="BY37" s="1184"/>
      <c r="BZ37" s="1184"/>
      <c r="CA37" s="1184"/>
      <c r="CB37" s="1184"/>
      <c r="CC37" s="1184"/>
      <c r="CD37" s="1184"/>
      <c r="CE37" s="1184"/>
      <c r="CF37" s="1874"/>
    </row>
    <row customHeight="1" ht="5.25" hidden="1">
      <c r="A38" s="1817"/>
      <c r="B38" s="1660"/>
      <c r="C38" s="1660"/>
      <c r="D38" s="2603"/>
      <c r="E38" s="1063"/>
      <c r="F38" s="1063"/>
      <c r="G38" s="1063"/>
      <c r="H38" s="1063"/>
      <c r="I38" s="1063"/>
      <c r="J38" s="1063"/>
      <c r="K38" s="1063"/>
      <c r="L38" s="1063"/>
      <c r="M38" s="1063"/>
      <c r="N38" s="1063"/>
      <c r="O38" s="1063"/>
      <c r="P38" s="1063"/>
      <c r="Q38" s="1064"/>
      <c r="R38" s="1065"/>
      <c r="S38" s="1066"/>
      <c r="T38" s="741" t="s">
        <v>696</v>
      </c>
      <c r="U38" s="2398">
        <v>1</v>
      </c>
      <c r="V38" s="2398" t="s">
        <v>659</v>
      </c>
      <c r="W38" s="1660"/>
      <c r="X38" s="1660"/>
      <c r="Y38" s="1660"/>
      <c r="Z38" s="1660"/>
      <c r="AA38" s="1660"/>
      <c r="AB38" s="1660"/>
      <c r="AC38" s="1061"/>
      <c r="AD38" s="1062"/>
      <c r="AE38" s="1660"/>
      <c r="AF38" s="1660"/>
      <c r="AG38" s="1660"/>
      <c r="AH38" s="1660"/>
      <c r="AI38" s="1660"/>
      <c r="AJ38" s="1660"/>
      <c r="AK38" s="1660"/>
      <c r="AL38" s="1660"/>
      <c r="AM38" s="1660"/>
      <c r="AN38" s="1660"/>
      <c r="AO38" s="1660"/>
      <c r="AP38" s="1660"/>
      <c r="AQ38" s="1660"/>
      <c r="AR38" s="1660"/>
      <c r="AS38" s="1660"/>
      <c r="AT38" s="1660"/>
      <c r="AU38" s="1660"/>
      <c r="AV38" s="1660"/>
      <c r="AW38" s="1660"/>
      <c r="AX38" s="1660"/>
      <c r="AY38" s="1660"/>
      <c r="AZ38" s="1660"/>
      <c r="BA38" s="1660"/>
      <c r="BB38" s="1660"/>
      <c r="BC38" s="1660"/>
      <c r="BD38" s="1660"/>
      <c r="BE38" s="1660"/>
      <c r="BF38" s="1660"/>
      <c r="BG38" s="1660"/>
      <c r="BH38" s="1660"/>
      <c r="BI38" s="1660"/>
      <c r="BJ38" s="1660"/>
      <c r="BK38" s="1660"/>
      <c r="BL38" s="1660"/>
      <c r="BM38" s="1660"/>
      <c r="BN38" s="1660"/>
      <c r="BO38" s="1660"/>
      <c r="BP38" s="1660"/>
      <c r="BQ38" s="1660"/>
      <c r="BR38" s="1660"/>
      <c r="BS38" s="1660"/>
      <c r="BT38" s="1660"/>
      <c r="BU38" s="1660"/>
      <c r="BV38" s="1660"/>
      <c r="BW38" s="1660"/>
      <c r="BX38" s="1660"/>
      <c r="BY38" s="1660"/>
      <c r="BZ38" s="1660"/>
      <c r="CA38" s="1660"/>
      <c r="CB38" s="1660"/>
      <c r="CC38" s="1660"/>
      <c r="CD38" s="1660"/>
      <c r="CE38" s="1660"/>
      <c r="CF38" s="1340"/>
    </row>
    <row customHeight="1" ht="5.25" hidden="1">
      <c r="A39" s="1817"/>
      <c r="B39" s="1660"/>
      <c r="C39" s="1660"/>
      <c r="D39" s="2603"/>
      <c r="E39" s="659"/>
      <c r="F39" s="659"/>
      <c r="G39" s="659"/>
      <c r="H39" s="659"/>
      <c r="I39" s="659"/>
      <c r="J39" s="659"/>
      <c r="K39" s="659"/>
      <c r="L39" s="659"/>
      <c r="M39" s="659"/>
      <c r="N39" s="659"/>
      <c r="O39" s="659"/>
      <c r="P39" s="659"/>
      <c r="Q39" s="659"/>
      <c r="R39" s="659"/>
      <c r="S39" s="660"/>
      <c r="T39" s="742"/>
      <c r="U39" s="2398"/>
      <c r="V39" s="2398"/>
      <c r="W39" s="1660"/>
      <c r="X39" s="1660"/>
      <c r="Y39" s="1660"/>
      <c r="Z39" s="1660"/>
      <c r="AA39" s="1660"/>
      <c r="AB39" s="1660"/>
      <c r="AC39" s="1061"/>
      <c r="AD39" s="1062"/>
      <c r="AE39" s="1660"/>
      <c r="AF39" s="1660"/>
      <c r="AG39" s="1660"/>
      <c r="AH39" s="1660"/>
      <c r="AI39" s="1660"/>
      <c r="AJ39" s="1660"/>
      <c r="AK39" s="1660"/>
      <c r="AL39" s="1660"/>
      <c r="AM39" s="1660"/>
      <c r="AN39" s="1660"/>
      <c r="AO39" s="1660"/>
      <c r="AP39" s="1660"/>
      <c r="AQ39" s="1660"/>
      <c r="AR39" s="1660"/>
      <c r="AS39" s="1660"/>
      <c r="AT39" s="1660"/>
      <c r="AU39" s="1660"/>
      <c r="AV39" s="1660"/>
      <c r="AW39" s="1660"/>
      <c r="AX39" s="1660"/>
      <c r="AY39" s="1660"/>
      <c r="AZ39" s="1660"/>
      <c r="BA39" s="1660"/>
      <c r="BB39" s="1660"/>
      <c r="BC39" s="1660"/>
      <c r="BD39" s="1660"/>
      <c r="BE39" s="1660"/>
      <c r="BF39" s="1660"/>
      <c r="BG39" s="1660"/>
      <c r="BH39" s="1660"/>
      <c r="BI39" s="1660"/>
      <c r="BJ39" s="1660"/>
      <c r="BK39" s="1660"/>
      <c r="BL39" s="1660"/>
      <c r="BM39" s="1660"/>
      <c r="BN39" s="1660"/>
      <c r="BO39" s="1660"/>
      <c r="BP39" s="1660"/>
      <c r="BQ39" s="1660"/>
      <c r="BR39" s="1660"/>
      <c r="BS39" s="1660"/>
      <c r="BT39" s="1660"/>
      <c r="BU39" s="1660"/>
      <c r="BV39" s="1660"/>
      <c r="BW39" s="1660"/>
      <c r="BX39" s="1660"/>
      <c r="BY39" s="1660"/>
      <c r="BZ39" s="1660"/>
      <c r="CA39" s="1660"/>
      <c r="CB39" s="1660"/>
      <c r="CC39" s="1660"/>
      <c r="CD39" s="1660"/>
      <c r="CE39" s="1660"/>
      <c r="CF39" s="1340"/>
    </row>
    <row customHeight="1" ht="5.25" hidden="1">
      <c r="A40" s="1817"/>
      <c r="B40" s="1660"/>
      <c r="C40" s="1660"/>
      <c r="D40" s="2604"/>
      <c r="E40" s="1067"/>
      <c r="F40" s="1068"/>
      <c r="G40" s="1068"/>
      <c r="H40" s="1069"/>
      <c r="I40" s="1069"/>
      <c r="J40" s="1069"/>
      <c r="K40" s="1069"/>
      <c r="L40" s="1069"/>
      <c r="M40" s="1069"/>
      <c r="N40" s="1069"/>
      <c r="O40" s="1069"/>
      <c r="P40" s="1069"/>
      <c r="Q40" s="1069"/>
      <c r="R40" s="970"/>
      <c r="S40" s="1070"/>
      <c r="T40" s="742"/>
      <c r="U40" s="2398"/>
      <c r="V40" s="2398"/>
      <c r="W40" s="1660"/>
      <c r="X40" s="1660"/>
      <c r="Y40" s="1660"/>
      <c r="Z40" s="1660"/>
      <c r="AA40" s="1660"/>
      <c r="AB40" s="1660"/>
      <c r="AC40" s="1061"/>
      <c r="AD40" s="1062"/>
      <c r="AE40" s="1660"/>
      <c r="AF40" s="1660"/>
      <c r="AG40" s="1660"/>
      <c r="AH40" s="1660"/>
      <c r="AI40" s="1660"/>
      <c r="AJ40" s="1660"/>
      <c r="AK40" s="1660"/>
      <c r="AL40" s="1660"/>
      <c r="AM40" s="1660"/>
      <c r="AN40" s="1660"/>
      <c r="AO40" s="1660"/>
      <c r="AP40" s="1660"/>
      <c r="AQ40" s="1660"/>
      <c r="AR40" s="1660"/>
      <c r="AS40" s="1660"/>
      <c r="AT40" s="1660"/>
      <c r="AU40" s="1660"/>
      <c r="AV40" s="1660"/>
      <c r="AW40" s="1660"/>
      <c r="AX40" s="1660"/>
      <c r="AY40" s="1660"/>
      <c r="AZ40" s="1660"/>
      <c r="BA40" s="1660"/>
      <c r="BB40" s="1660"/>
      <c r="BC40" s="1660"/>
      <c r="BD40" s="1660"/>
      <c r="BE40" s="1660"/>
      <c r="BF40" s="1660"/>
      <c r="BG40" s="1660"/>
      <c r="BH40" s="1660"/>
      <c r="BI40" s="1660"/>
      <c r="BJ40" s="1660"/>
      <c r="BK40" s="1660"/>
      <c r="BL40" s="1660"/>
      <c r="BM40" s="1660"/>
      <c r="BN40" s="1660"/>
      <c r="BO40" s="1660"/>
      <c r="BP40" s="1660"/>
      <c r="BQ40" s="1660"/>
      <c r="BR40" s="1660"/>
      <c r="BS40" s="1660"/>
      <c r="BT40" s="1660"/>
      <c r="BU40" s="1660"/>
      <c r="BV40" s="1660"/>
      <c r="BW40" s="1660"/>
      <c r="BX40" s="1660"/>
      <c r="BY40" s="1660"/>
      <c r="BZ40" s="1660"/>
      <c r="CA40" s="1660"/>
      <c r="CB40" s="1660"/>
      <c r="CC40" s="1660"/>
      <c r="CD40" s="1660"/>
      <c r="CE40" s="1660"/>
      <c r="CF40" s="1340"/>
    </row>
    <row customHeight="1" ht="15" hidden="1">
      <c r="A41" s="647" t="s">
        <v>185</v>
      </c>
      <c r="B41" s="648"/>
      <c r="C41" s="648" t="s">
        <v>22</v>
      </c>
      <c r="D41" s="2602" t="s">
        <v>701</v>
      </c>
      <c r="E41" s="2401" t="s">
        <v>166</v>
      </c>
      <c r="F41" s="2402"/>
      <c r="G41" s="2403"/>
      <c r="H41" s="2407" t="str">
        <f>IF(A41="","",INDEX(DIFFERENTIATION_UNMERGE_VD,MATCH(A41,DIFFERENTIATION_ID_DIFF,0)))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41" s="2407"/>
      <c r="J41" s="2407"/>
      <c r="K41" s="2407"/>
      <c r="L41" s="2407"/>
      <c r="M41" s="2407"/>
      <c r="N41" s="2407"/>
      <c r="O41" s="2407"/>
      <c r="P41" s="2407"/>
      <c r="Q41" s="2407"/>
      <c r="R41" s="2407"/>
      <c r="S41" s="743"/>
      <c r="T41" s="740"/>
      <c r="U41" s="649"/>
      <c r="V41" s="649"/>
      <c r="W41" s="650"/>
      <c r="X41" s="650"/>
      <c r="Y41" s="650"/>
      <c r="Z41" s="650"/>
      <c r="AA41" s="651"/>
      <c r="AB41" s="652"/>
      <c r="AC41" s="2399"/>
      <c r="AD41" s="653"/>
      <c r="AE41" s="654" t="s">
        <v>22</v>
      </c>
      <c r="AF41" s="654"/>
      <c r="AG41" s="655" t="s">
        <v>693</v>
      </c>
      <c r="AH41" s="656">
        <v>3</v>
      </c>
      <c r="AI41" s="649"/>
      <c r="AJ41" s="649"/>
      <c r="AK41" s="649"/>
      <c r="AL41" s="649"/>
      <c r="AM41" s="649"/>
      <c r="AN41" s="649"/>
      <c r="AO41" s="649"/>
      <c r="AP41" s="649"/>
      <c r="AQ41" s="649"/>
      <c r="AR41" s="649"/>
      <c r="AS41" s="649"/>
      <c r="AT41" s="649"/>
      <c r="AU41" s="649"/>
      <c r="AV41" s="649"/>
      <c r="AW41" s="649"/>
      <c r="AX41" s="649"/>
      <c r="AY41" s="649"/>
      <c r="AZ41" s="649"/>
      <c r="BA41" s="649"/>
      <c r="BB41" s="649"/>
      <c r="BC41" s="649"/>
      <c r="BD41" s="649"/>
      <c r="BE41" s="649"/>
      <c r="BF41" s="649"/>
      <c r="BG41" s="649"/>
      <c r="BH41" s="649"/>
      <c r="BI41" s="649"/>
      <c r="BJ41" s="649"/>
      <c r="BK41" s="649"/>
      <c r="BL41" s="649"/>
      <c r="BM41" s="649"/>
      <c r="BN41" s="649"/>
      <c r="BO41" s="649"/>
      <c r="BP41" s="649"/>
      <c r="BQ41" s="649"/>
      <c r="BR41" s="649"/>
      <c r="BS41" s="649"/>
      <c r="BT41" s="649"/>
      <c r="BU41" s="649"/>
      <c r="BV41" s="650"/>
      <c r="BW41" s="650"/>
      <c r="BX41" s="650"/>
      <c r="BY41" s="650"/>
      <c r="BZ41" s="650"/>
      <c r="CA41" s="650"/>
      <c r="CB41" s="650"/>
      <c r="CC41" s="650"/>
      <c r="CD41" s="650"/>
      <c r="CE41" s="650"/>
      <c r="CF41" s="1874"/>
    </row>
    <row customHeight="1" ht="15" hidden="1">
      <c r="A42" s="647"/>
      <c r="B42" s="648"/>
      <c r="C42" s="648"/>
      <c r="D42" s="2603"/>
      <c r="E42" s="2401" t="s">
        <v>648</v>
      </c>
      <c r="F42" s="2402"/>
      <c r="G42" s="2403"/>
      <c r="H42" s="2407" t="str">
        <f>IF(A41="","",INDEX(DIFFERENTIATION_UNMERGE_AREA,MATCH(A41,DIFFERENTIATION_ID_DIFF,0)))</f>
        <v>Территория 3</v>
      </c>
      <c r="I42" s="2407"/>
      <c r="J42" s="2407"/>
      <c r="K42" s="2407"/>
      <c r="L42" s="2407"/>
      <c r="M42" s="2407"/>
      <c r="N42" s="2407"/>
      <c r="O42" s="2407"/>
      <c r="P42" s="2407"/>
      <c r="Q42" s="2407"/>
      <c r="R42" s="2407"/>
      <c r="S42" s="743"/>
      <c r="T42" s="740"/>
      <c r="U42" s="649"/>
      <c r="V42" s="649"/>
      <c r="W42" s="650"/>
      <c r="X42" s="650"/>
      <c r="Y42" s="650"/>
      <c r="Z42" s="650"/>
      <c r="AA42" s="651"/>
      <c r="AB42" s="652"/>
      <c r="AC42" s="2399"/>
      <c r="AD42" s="653"/>
      <c r="AE42" s="654"/>
      <c r="AF42" s="654"/>
      <c r="AG42" s="655"/>
      <c r="AH42" s="656"/>
      <c r="AI42" s="649"/>
      <c r="AJ42" s="649"/>
      <c r="AK42" s="649"/>
      <c r="AL42" s="649"/>
      <c r="AM42" s="649"/>
      <c r="AN42" s="649"/>
      <c r="AO42" s="649"/>
      <c r="AP42" s="649"/>
      <c r="AQ42" s="649"/>
      <c r="AR42" s="649"/>
      <c r="AS42" s="649"/>
      <c r="AT42" s="649"/>
      <c r="AU42" s="649"/>
      <c r="AV42" s="649"/>
      <c r="AW42" s="649"/>
      <c r="AX42" s="649"/>
      <c r="AY42" s="649"/>
      <c r="AZ42" s="649"/>
      <c r="BA42" s="649"/>
      <c r="BB42" s="649"/>
      <c r="BC42" s="649"/>
      <c r="BD42" s="649"/>
      <c r="BE42" s="649"/>
      <c r="BF42" s="649"/>
      <c r="BG42" s="649"/>
      <c r="BH42" s="649"/>
      <c r="BI42" s="649"/>
      <c r="BJ42" s="649"/>
      <c r="BK42" s="649"/>
      <c r="BL42" s="649"/>
      <c r="BM42" s="649"/>
      <c r="BN42" s="649"/>
      <c r="BO42" s="649"/>
      <c r="BP42" s="649"/>
      <c r="BQ42" s="649"/>
      <c r="BR42" s="649"/>
      <c r="BS42" s="649"/>
      <c r="BT42" s="649"/>
      <c r="BU42" s="649"/>
      <c r="BV42" s="650"/>
      <c r="BW42" s="650"/>
      <c r="BX42" s="650"/>
      <c r="BY42" s="650"/>
      <c r="BZ42" s="650"/>
      <c r="CA42" s="650"/>
      <c r="CB42" s="650"/>
      <c r="CC42" s="650"/>
      <c r="CD42" s="650"/>
      <c r="CE42" s="650"/>
      <c r="CF42" s="1874"/>
    </row>
    <row customHeight="1" ht="15" hidden="1">
      <c r="A43" s="647"/>
      <c r="B43" s="648"/>
      <c r="C43" s="648"/>
      <c r="D43" s="2603"/>
      <c r="E43" s="2401" t="s">
        <v>649</v>
      </c>
      <c r="F43" s="2402"/>
      <c r="G43" s="2403"/>
      <c r="H43" s="2407" t="str">
        <f>IF(A41="","",INDEX(DIFFERENTIATION_UNMERGE_SYSTEM,MATCH(A41,DIFFERENTIATION_ID_DIFF,0)))</f>
        <v>Комсомольская ТЭЦ-1 (г. Комсомольск)</v>
      </c>
      <c r="I43" s="2407"/>
      <c r="J43" s="2407"/>
      <c r="K43" s="2407"/>
      <c r="L43" s="2407"/>
      <c r="M43" s="2407"/>
      <c r="N43" s="2407"/>
      <c r="O43" s="2407"/>
      <c r="P43" s="2407"/>
      <c r="Q43" s="2407"/>
      <c r="R43" s="2407"/>
      <c r="S43" s="743"/>
      <c r="T43" s="740"/>
      <c r="U43" s="649"/>
      <c r="V43" s="649"/>
      <c r="W43" s="650"/>
      <c r="X43" s="650"/>
      <c r="Y43" s="650"/>
      <c r="Z43" s="650"/>
      <c r="AA43" s="651"/>
      <c r="AB43" s="652"/>
      <c r="AC43" s="2399"/>
      <c r="AD43" s="653"/>
      <c r="AE43" s="654"/>
      <c r="AF43" s="654"/>
      <c r="AG43" s="655"/>
      <c r="AH43" s="656"/>
      <c r="AI43" s="649"/>
      <c r="AJ43" s="649"/>
      <c r="AK43" s="649"/>
      <c r="AL43" s="649"/>
      <c r="AM43" s="649"/>
      <c r="AN43" s="649"/>
      <c r="AO43" s="649"/>
      <c r="AP43" s="649"/>
      <c r="AQ43" s="649"/>
      <c r="AR43" s="649"/>
      <c r="AS43" s="649"/>
      <c r="AT43" s="649"/>
      <c r="AU43" s="649"/>
      <c r="AV43" s="649"/>
      <c r="AW43" s="649"/>
      <c r="AX43" s="649"/>
      <c r="AY43" s="649"/>
      <c r="AZ43" s="649"/>
      <c r="BA43" s="649"/>
      <c r="BB43" s="649"/>
      <c r="BC43" s="649"/>
      <c r="BD43" s="649"/>
      <c r="BE43" s="649"/>
      <c r="BF43" s="649"/>
      <c r="BG43" s="649"/>
      <c r="BH43" s="649"/>
      <c r="BI43" s="649"/>
      <c r="BJ43" s="649"/>
      <c r="BK43" s="649"/>
      <c r="BL43" s="649"/>
      <c r="BM43" s="649"/>
      <c r="BN43" s="649"/>
      <c r="BO43" s="649"/>
      <c r="BP43" s="649"/>
      <c r="BQ43" s="649"/>
      <c r="BR43" s="649"/>
      <c r="BS43" s="649"/>
      <c r="BT43" s="649"/>
      <c r="BU43" s="649"/>
      <c r="BV43" s="650"/>
      <c r="BW43" s="650"/>
      <c r="BX43" s="650"/>
      <c r="BY43" s="650"/>
      <c r="BZ43" s="650"/>
      <c r="CA43" s="650"/>
      <c r="CB43" s="650"/>
      <c r="CC43" s="650"/>
      <c r="CD43" s="650"/>
      <c r="CE43" s="650"/>
      <c r="CF43" s="1874"/>
    </row>
    <row customHeight="1" ht="24.75" hidden="1">
      <c r="A44" s="1830"/>
      <c r="B44" s="1184"/>
      <c r="C44" s="436"/>
      <c r="D44" s="2603"/>
      <c r="E44" s="2400" t="s">
        <v>694</v>
      </c>
      <c r="F44" s="2400"/>
      <c r="G44" s="2400"/>
      <c r="H44" s="2400"/>
      <c r="I44" s="2400"/>
      <c r="J44" s="2400"/>
      <c r="K44" s="2400"/>
      <c r="L44" s="2400"/>
      <c r="M44" s="2400"/>
      <c r="N44" s="2400"/>
      <c r="O44" s="2400"/>
      <c r="P44" s="2400"/>
      <c r="Q44" s="582">
        <f>SUMIF(T45:T46,"i",Q45:Q46)</f>
        <v>0</v>
      </c>
      <c r="R44" s="1041"/>
      <c r="S44" s="1822" t="s">
        <v>695</v>
      </c>
      <c r="T44" s="741" t="s">
        <v>696</v>
      </c>
      <c r="U44" s="2398">
        <v>1</v>
      </c>
      <c r="V44" s="2398" t="s">
        <v>659</v>
      </c>
      <c r="W44" s="1184"/>
      <c r="X44" s="1184"/>
      <c r="Y44" s="1184"/>
      <c r="Z44" s="1184"/>
      <c r="AA44" s="1660"/>
      <c r="AB44" s="1184"/>
      <c r="AC44" s="2399"/>
      <c r="AD44" s="653"/>
      <c r="AE44" s="1184"/>
      <c r="AF44" s="1184"/>
      <c r="AG44" s="1660"/>
      <c r="AH44" s="1660"/>
      <c r="AI44" s="1660"/>
      <c r="AJ44" s="1660"/>
      <c r="AK44" s="1660"/>
      <c r="AL44" s="1660"/>
      <c r="AM44" s="1660"/>
      <c r="AN44" s="1660"/>
      <c r="AO44" s="1660"/>
      <c r="AP44" s="1660"/>
      <c r="AQ44" s="1660"/>
      <c r="AR44" s="1660"/>
      <c r="AS44" s="1660"/>
      <c r="AT44" s="1660"/>
      <c r="AU44" s="1660"/>
      <c r="AV44" s="1660"/>
      <c r="AW44" s="1660"/>
      <c r="AX44" s="1660"/>
      <c r="AY44" s="1660"/>
      <c r="AZ44" s="1660"/>
      <c r="BA44" s="1660"/>
      <c r="BB44" s="1660"/>
      <c r="BC44" s="1660"/>
      <c r="BD44" s="1660"/>
      <c r="BE44" s="1660"/>
      <c r="BF44" s="1660"/>
      <c r="BG44" s="1660"/>
      <c r="BH44" s="1660"/>
      <c r="BI44" s="1660"/>
      <c r="BJ44" s="1660"/>
      <c r="BK44" s="1660"/>
      <c r="BL44" s="1660"/>
      <c r="BM44" s="1660"/>
      <c r="BN44" s="1660"/>
      <c r="BO44" s="1660"/>
      <c r="BP44" s="1660"/>
      <c r="BQ44" s="1660"/>
      <c r="BR44" s="1660"/>
      <c r="BS44" s="1660"/>
      <c r="BT44" s="1660"/>
      <c r="BU44" s="1660"/>
      <c r="BV44" s="1184"/>
      <c r="BW44" s="1184"/>
      <c r="BX44" s="1184"/>
      <c r="BY44" s="1184"/>
      <c r="BZ44" s="1184"/>
      <c r="CA44" s="1184"/>
      <c r="CB44" s="1184"/>
      <c r="CC44" s="1184"/>
      <c r="CD44" s="1184"/>
      <c r="CE44" s="1184"/>
      <c r="CF44" s="1874"/>
    </row>
    <row customHeight="1" ht="11.25" hidden="1">
      <c r="A45" s="1817"/>
      <c r="B45" s="1660"/>
      <c r="C45" s="1660"/>
      <c r="D45" s="2603"/>
      <c r="E45" s="659"/>
      <c r="F45" s="659">
        <v>0</v>
      </c>
      <c r="G45" s="659"/>
      <c r="H45" s="659"/>
      <c r="I45" s="659"/>
      <c r="J45" s="659"/>
      <c r="K45" s="659"/>
      <c r="L45" s="659"/>
      <c r="M45" s="659"/>
      <c r="N45" s="659"/>
      <c r="O45" s="659"/>
      <c r="P45" s="659"/>
      <c r="Q45" s="659"/>
      <c r="R45" s="659"/>
      <c r="S45" s="660"/>
      <c r="T45" s="742"/>
      <c r="U45" s="2398"/>
      <c r="V45" s="2398"/>
      <c r="W45" s="1660"/>
      <c r="X45" s="1660"/>
      <c r="Y45" s="1660"/>
      <c r="Z45" s="1660"/>
      <c r="AA45" s="1660"/>
      <c r="AB45" s="1184"/>
      <c r="AC45" s="2399"/>
      <c r="AD45" s="653"/>
      <c r="AE45" s="1184"/>
      <c r="AF45" s="1184"/>
      <c r="AG45" s="1660"/>
      <c r="AH45" s="1660"/>
      <c r="AI45" s="1660"/>
      <c r="AJ45" s="1660"/>
      <c r="AK45" s="1660"/>
      <c r="AL45" s="1660"/>
      <c r="AM45" s="1660"/>
      <c r="AN45" s="1660"/>
      <c r="AO45" s="1660"/>
      <c r="AP45" s="1660"/>
      <c r="AQ45" s="1660"/>
      <c r="AR45" s="1660"/>
      <c r="AS45" s="1660"/>
      <c r="AT45" s="1660"/>
      <c r="AU45" s="1660"/>
      <c r="AV45" s="1660"/>
      <c r="AW45" s="1660"/>
      <c r="AX45" s="1660"/>
      <c r="AY45" s="1660"/>
      <c r="AZ45" s="1660"/>
      <c r="BA45" s="1660"/>
      <c r="BB45" s="1660"/>
      <c r="BC45" s="1660"/>
      <c r="BD45" s="1660"/>
      <c r="BE45" s="1660"/>
      <c r="BF45" s="1660"/>
      <c r="BG45" s="1660"/>
      <c r="BH45" s="1660"/>
      <c r="BI45" s="1660"/>
      <c r="BJ45" s="1660"/>
      <c r="BK45" s="1660"/>
      <c r="BL45" s="1660"/>
      <c r="BM45" s="1660"/>
      <c r="BN45" s="1660"/>
      <c r="BO45" s="1660"/>
      <c r="BP45" s="1660"/>
      <c r="BQ45" s="1660"/>
      <c r="BR45" s="1660"/>
      <c r="BS45" s="1660"/>
      <c r="BT45" s="1660"/>
      <c r="BU45" s="1660"/>
      <c r="BV45" s="1660"/>
      <c r="BW45" s="1660"/>
      <c r="BX45" s="1660"/>
      <c r="BY45" s="1660"/>
      <c r="BZ45" s="1660"/>
      <c r="CA45" s="1660"/>
      <c r="CB45" s="1660"/>
      <c r="CC45" s="1660"/>
      <c r="CD45" s="1660"/>
      <c r="CE45" s="1660"/>
      <c r="CF45" s="1874"/>
    </row>
    <row customHeight="1" ht="11.25" hidden="1">
      <c r="A46" s="1830"/>
      <c r="B46" s="1184"/>
      <c r="C46" s="436"/>
      <c r="D46" s="2603"/>
      <c r="E46" s="673" t="s">
        <v>22</v>
      </c>
      <c r="F46" s="1192" t="s">
        <v>22</v>
      </c>
      <c r="G46" s="1192" t="s">
        <v>699</v>
      </c>
      <c r="H46" s="675" t="s">
        <v>22</v>
      </c>
      <c r="I46" s="675"/>
      <c r="J46" s="675"/>
      <c r="K46" s="675"/>
      <c r="L46" s="675"/>
      <c r="M46" s="675"/>
      <c r="N46" s="675"/>
      <c r="O46" s="675"/>
      <c r="P46" s="675"/>
      <c r="Q46" s="675"/>
      <c r="R46" s="676"/>
      <c r="S46" s="677"/>
      <c r="T46" s="742"/>
      <c r="U46" s="2398"/>
      <c r="V46" s="2398"/>
      <c r="W46" s="1184"/>
      <c r="X46" s="1184"/>
      <c r="Y46" s="1184"/>
      <c r="Z46" s="1184"/>
      <c r="AA46" s="1660"/>
      <c r="AB46" s="1184"/>
      <c r="AC46" s="2399"/>
      <c r="AD46" s="653"/>
      <c r="AE46" s="1184"/>
      <c r="AF46" s="1184"/>
      <c r="AG46" s="1660"/>
      <c r="AH46" s="1660"/>
      <c r="AI46" s="1660"/>
      <c r="AJ46" s="1660"/>
      <c r="AK46" s="1660"/>
      <c r="AL46" s="1660"/>
      <c r="AM46" s="1660"/>
      <c r="AN46" s="1660"/>
      <c r="AO46" s="1660"/>
      <c r="AP46" s="1660"/>
      <c r="AQ46" s="1660"/>
      <c r="AR46" s="1660"/>
      <c r="AS46" s="1660"/>
      <c r="AT46" s="1660"/>
      <c r="AU46" s="1660"/>
      <c r="AV46" s="1660"/>
      <c r="AW46" s="1660"/>
      <c r="AX46" s="1660"/>
      <c r="AY46" s="1660"/>
      <c r="AZ46" s="1660"/>
      <c r="BA46" s="1660"/>
      <c r="BB46" s="1660"/>
      <c r="BC46" s="1660"/>
      <c r="BD46" s="1660"/>
      <c r="BE46" s="1660"/>
      <c r="BF46" s="1660"/>
      <c r="BG46" s="1660"/>
      <c r="BH46" s="1660"/>
      <c r="BI46" s="1660"/>
      <c r="BJ46" s="1660"/>
      <c r="BK46" s="1660"/>
      <c r="BL46" s="1660"/>
      <c r="BM46" s="1660"/>
      <c r="BN46" s="1660"/>
      <c r="BO46" s="1660"/>
      <c r="BP46" s="1660"/>
      <c r="BQ46" s="1660"/>
      <c r="BR46" s="1660"/>
      <c r="BS46" s="1660"/>
      <c r="BT46" s="1660"/>
      <c r="BU46" s="1660"/>
      <c r="BV46" s="1184"/>
      <c r="BW46" s="1184"/>
      <c r="BX46" s="1184"/>
      <c r="BY46" s="1184"/>
      <c r="BZ46" s="1184"/>
      <c r="CA46" s="1184"/>
      <c r="CB46" s="1184"/>
      <c r="CC46" s="1184"/>
      <c r="CD46" s="1184"/>
      <c r="CE46" s="1184"/>
      <c r="CF46" s="1874"/>
    </row>
    <row customHeight="1" ht="5.25" hidden="1">
      <c r="A47" s="1817"/>
      <c r="B47" s="1660"/>
      <c r="C47" s="1660"/>
      <c r="D47" s="2603"/>
      <c r="E47" s="1063"/>
      <c r="F47" s="1063"/>
      <c r="G47" s="1063"/>
      <c r="H47" s="1063"/>
      <c r="I47" s="1063"/>
      <c r="J47" s="1063"/>
      <c r="K47" s="1063"/>
      <c r="L47" s="1063"/>
      <c r="M47" s="1063"/>
      <c r="N47" s="1063"/>
      <c r="O47" s="1063"/>
      <c r="P47" s="1063"/>
      <c r="Q47" s="1064"/>
      <c r="R47" s="1065"/>
      <c r="S47" s="1066"/>
      <c r="T47" s="741" t="s">
        <v>696</v>
      </c>
      <c r="U47" s="2398">
        <v>1</v>
      </c>
      <c r="V47" s="2398" t="s">
        <v>659</v>
      </c>
      <c r="W47" s="1660"/>
      <c r="X47" s="1660"/>
      <c r="Y47" s="1660"/>
      <c r="Z47" s="1660"/>
      <c r="AA47" s="1660"/>
      <c r="AB47" s="1660"/>
      <c r="AC47" s="1061"/>
      <c r="AD47" s="1062"/>
      <c r="AE47" s="1660"/>
      <c r="AF47" s="1660"/>
      <c r="AG47" s="1660"/>
      <c r="AH47" s="1660"/>
      <c r="AI47" s="1660"/>
      <c r="AJ47" s="1660"/>
      <c r="AK47" s="1660"/>
      <c r="AL47" s="1660"/>
      <c r="AM47" s="1660"/>
      <c r="AN47" s="1660"/>
      <c r="AO47" s="1660"/>
      <c r="AP47" s="1660"/>
      <c r="AQ47" s="1660"/>
      <c r="AR47" s="1660"/>
      <c r="AS47" s="1660"/>
      <c r="AT47" s="1660"/>
      <c r="AU47" s="1660"/>
      <c r="AV47" s="1660"/>
      <c r="AW47" s="1660"/>
      <c r="AX47" s="1660"/>
      <c r="AY47" s="1660"/>
      <c r="AZ47" s="1660"/>
      <c r="BA47" s="1660"/>
      <c r="BB47" s="1660"/>
      <c r="BC47" s="1660"/>
      <c r="BD47" s="1660"/>
      <c r="BE47" s="1660"/>
      <c r="BF47" s="1660"/>
      <c r="BG47" s="1660"/>
      <c r="BH47" s="1660"/>
      <c r="BI47" s="1660"/>
      <c r="BJ47" s="1660"/>
      <c r="BK47" s="1660"/>
      <c r="BL47" s="1660"/>
      <c r="BM47" s="1660"/>
      <c r="BN47" s="1660"/>
      <c r="BO47" s="1660"/>
      <c r="BP47" s="1660"/>
      <c r="BQ47" s="1660"/>
      <c r="BR47" s="1660"/>
      <c r="BS47" s="1660"/>
      <c r="BT47" s="1660"/>
      <c r="BU47" s="1660"/>
      <c r="BV47" s="1660"/>
      <c r="BW47" s="1660"/>
      <c r="BX47" s="1660"/>
      <c r="BY47" s="1660"/>
      <c r="BZ47" s="1660"/>
      <c r="CA47" s="1660"/>
      <c r="CB47" s="1660"/>
      <c r="CC47" s="1660"/>
      <c r="CD47" s="1660"/>
      <c r="CE47" s="1660"/>
      <c r="CF47" s="1340"/>
    </row>
    <row customHeight="1" ht="5.25" hidden="1">
      <c r="A48" s="1817"/>
      <c r="B48" s="1660"/>
      <c r="C48" s="1660"/>
      <c r="D48" s="2603"/>
      <c r="E48" s="659"/>
      <c r="F48" s="659"/>
      <c r="G48" s="659"/>
      <c r="H48" s="659"/>
      <c r="I48" s="659"/>
      <c r="J48" s="659"/>
      <c r="K48" s="659"/>
      <c r="L48" s="659"/>
      <c r="M48" s="659"/>
      <c r="N48" s="659"/>
      <c r="O48" s="659"/>
      <c r="P48" s="659"/>
      <c r="Q48" s="659"/>
      <c r="R48" s="659"/>
      <c r="S48" s="660"/>
      <c r="T48" s="742"/>
      <c r="U48" s="2398"/>
      <c r="V48" s="2398"/>
      <c r="W48" s="1660"/>
      <c r="X48" s="1660"/>
      <c r="Y48" s="1660"/>
      <c r="Z48" s="1660"/>
      <c r="AA48" s="1660"/>
      <c r="AB48" s="1660"/>
      <c r="AC48" s="1061"/>
      <c r="AD48" s="1062"/>
      <c r="AE48" s="1660"/>
      <c r="AF48" s="1660"/>
      <c r="AG48" s="1660"/>
      <c r="AH48" s="1660"/>
      <c r="AI48" s="1660"/>
      <c r="AJ48" s="1660"/>
      <c r="AK48" s="1660"/>
      <c r="AL48" s="1660"/>
      <c r="AM48" s="1660"/>
      <c r="AN48" s="1660"/>
      <c r="AO48" s="1660"/>
      <c r="AP48" s="1660"/>
      <c r="AQ48" s="1660"/>
      <c r="AR48" s="1660"/>
      <c r="AS48" s="1660"/>
      <c r="AT48" s="1660"/>
      <c r="AU48" s="1660"/>
      <c r="AV48" s="1660"/>
      <c r="AW48" s="1660"/>
      <c r="AX48" s="1660"/>
      <c r="AY48" s="1660"/>
      <c r="AZ48" s="1660"/>
      <c r="BA48" s="1660"/>
      <c r="BB48" s="1660"/>
      <c r="BC48" s="1660"/>
      <c r="BD48" s="1660"/>
      <c r="BE48" s="1660"/>
      <c r="BF48" s="1660"/>
      <c r="BG48" s="1660"/>
      <c r="BH48" s="1660"/>
      <c r="BI48" s="1660"/>
      <c r="BJ48" s="1660"/>
      <c r="BK48" s="1660"/>
      <c r="BL48" s="1660"/>
      <c r="BM48" s="1660"/>
      <c r="BN48" s="1660"/>
      <c r="BO48" s="1660"/>
      <c r="BP48" s="1660"/>
      <c r="BQ48" s="1660"/>
      <c r="BR48" s="1660"/>
      <c r="BS48" s="1660"/>
      <c r="BT48" s="1660"/>
      <c r="BU48" s="1660"/>
      <c r="BV48" s="1660"/>
      <c r="BW48" s="1660"/>
      <c r="BX48" s="1660"/>
      <c r="BY48" s="1660"/>
      <c r="BZ48" s="1660"/>
      <c r="CA48" s="1660"/>
      <c r="CB48" s="1660"/>
      <c r="CC48" s="1660"/>
      <c r="CD48" s="1660"/>
      <c r="CE48" s="1660"/>
      <c r="CF48" s="1340"/>
    </row>
    <row customHeight="1" ht="5.25" hidden="1">
      <c r="A49" s="1817"/>
      <c r="B49" s="1660"/>
      <c r="C49" s="1660"/>
      <c r="D49" s="2604"/>
      <c r="E49" s="1067"/>
      <c r="F49" s="1068"/>
      <c r="G49" s="1068"/>
      <c r="H49" s="1069"/>
      <c r="I49" s="1069"/>
      <c r="J49" s="1069"/>
      <c r="K49" s="1069"/>
      <c r="L49" s="1069"/>
      <c r="M49" s="1069"/>
      <c r="N49" s="1069"/>
      <c r="O49" s="1069"/>
      <c r="P49" s="1069"/>
      <c r="Q49" s="1069"/>
      <c r="R49" s="970"/>
      <c r="S49" s="1070"/>
      <c r="T49" s="742"/>
      <c r="U49" s="2398"/>
      <c r="V49" s="2398"/>
      <c r="W49" s="1660"/>
      <c r="X49" s="1660"/>
      <c r="Y49" s="1660"/>
      <c r="Z49" s="1660"/>
      <c r="AA49" s="1660"/>
      <c r="AB49" s="1660"/>
      <c r="AC49" s="1061"/>
      <c r="AD49" s="1062"/>
      <c r="AE49" s="1660"/>
      <c r="AF49" s="1660"/>
      <c r="AG49" s="1660"/>
      <c r="AH49" s="1660"/>
      <c r="AI49" s="1660"/>
      <c r="AJ49" s="1660"/>
      <c r="AK49" s="1660"/>
      <c r="AL49" s="1660"/>
      <c r="AM49" s="1660"/>
      <c r="AN49" s="1660"/>
      <c r="AO49" s="1660"/>
      <c r="AP49" s="1660"/>
      <c r="AQ49" s="1660"/>
      <c r="AR49" s="1660"/>
      <c r="AS49" s="1660"/>
      <c r="AT49" s="1660"/>
      <c r="AU49" s="1660"/>
      <c r="AV49" s="1660"/>
      <c r="AW49" s="1660"/>
      <c r="AX49" s="1660"/>
      <c r="AY49" s="1660"/>
      <c r="AZ49" s="1660"/>
      <c r="BA49" s="1660"/>
      <c r="BB49" s="1660"/>
      <c r="BC49" s="1660"/>
      <c r="BD49" s="1660"/>
      <c r="BE49" s="1660"/>
      <c r="BF49" s="1660"/>
      <c r="BG49" s="1660"/>
      <c r="BH49" s="1660"/>
      <c r="BI49" s="1660"/>
      <c r="BJ49" s="1660"/>
      <c r="BK49" s="1660"/>
      <c r="BL49" s="1660"/>
      <c r="BM49" s="1660"/>
      <c r="BN49" s="1660"/>
      <c r="BO49" s="1660"/>
      <c r="BP49" s="1660"/>
      <c r="BQ49" s="1660"/>
      <c r="BR49" s="1660"/>
      <c r="BS49" s="1660"/>
      <c r="BT49" s="1660"/>
      <c r="BU49" s="1660"/>
      <c r="BV49" s="1660"/>
      <c r="BW49" s="1660"/>
      <c r="BX49" s="1660"/>
      <c r="BY49" s="1660"/>
      <c r="BZ49" s="1660"/>
      <c r="CA49" s="1660"/>
      <c r="CB49" s="1660"/>
      <c r="CC49" s="1660"/>
      <c r="CD49" s="1660"/>
      <c r="CE49" s="1660"/>
      <c r="CF49" s="1340"/>
    </row>
    <row customHeight="1" ht="15" hidden="1">
      <c r="A50" s="647" t="s">
        <v>187</v>
      </c>
      <c r="B50" s="648"/>
      <c r="C50" s="648" t="s">
        <v>22</v>
      </c>
      <c r="D50" s="2602" t="s">
        <v>702</v>
      </c>
      <c r="E50" s="2401" t="s">
        <v>166</v>
      </c>
      <c r="F50" s="2402"/>
      <c r="G50" s="2403"/>
      <c r="H50" s="2407" t="str">
        <f>IF(A50="","",INDEX(DIFFERENTIATION_UNMERGE_VD,MATCH(A50,DIFFERENTIATION_ID_DIFF,0)))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50" s="2407"/>
      <c r="J50" s="2407"/>
      <c r="K50" s="2407"/>
      <c r="L50" s="2407"/>
      <c r="M50" s="2407"/>
      <c r="N50" s="2407"/>
      <c r="O50" s="2407"/>
      <c r="P50" s="2407"/>
      <c r="Q50" s="2407"/>
      <c r="R50" s="2407"/>
      <c r="S50" s="743"/>
      <c r="T50" s="740"/>
      <c r="U50" s="649"/>
      <c r="V50" s="649"/>
      <c r="W50" s="650"/>
      <c r="X50" s="650"/>
      <c r="Y50" s="650"/>
      <c r="Z50" s="650"/>
      <c r="AA50" s="651"/>
      <c r="AB50" s="652"/>
      <c r="AC50" s="2399"/>
      <c r="AD50" s="653"/>
      <c r="AE50" s="654" t="s">
        <v>22</v>
      </c>
      <c r="AF50" s="654"/>
      <c r="AG50" s="655" t="s">
        <v>693</v>
      </c>
      <c r="AH50" s="656">
        <v>3</v>
      </c>
      <c r="AI50" s="649"/>
      <c r="AJ50" s="649"/>
      <c r="AK50" s="649"/>
      <c r="AL50" s="649"/>
      <c r="AM50" s="649"/>
      <c r="AN50" s="649"/>
      <c r="AO50" s="649"/>
      <c r="AP50" s="649"/>
      <c r="AQ50" s="649"/>
      <c r="AR50" s="649"/>
      <c r="AS50" s="649"/>
      <c r="AT50" s="649"/>
      <c r="AU50" s="649"/>
      <c r="AV50" s="649"/>
      <c r="AW50" s="649"/>
      <c r="AX50" s="649"/>
      <c r="AY50" s="649"/>
      <c r="AZ50" s="649"/>
      <c r="BA50" s="649"/>
      <c r="BB50" s="649"/>
      <c r="BC50" s="649"/>
      <c r="BD50" s="649"/>
      <c r="BE50" s="649"/>
      <c r="BF50" s="649"/>
      <c r="BG50" s="649"/>
      <c r="BH50" s="649"/>
      <c r="BI50" s="649"/>
      <c r="BJ50" s="649"/>
      <c r="BK50" s="649"/>
      <c r="BL50" s="649"/>
      <c r="BM50" s="649"/>
      <c r="BN50" s="649"/>
      <c r="BO50" s="649"/>
      <c r="BP50" s="649"/>
      <c r="BQ50" s="649"/>
      <c r="BR50" s="649"/>
      <c r="BS50" s="649"/>
      <c r="BT50" s="649"/>
      <c r="BU50" s="649"/>
      <c r="BV50" s="650"/>
      <c r="BW50" s="650"/>
      <c r="BX50" s="650"/>
      <c r="BY50" s="650"/>
      <c r="BZ50" s="650"/>
      <c r="CA50" s="650"/>
      <c r="CB50" s="650"/>
      <c r="CC50" s="650"/>
      <c r="CD50" s="650"/>
      <c r="CE50" s="650"/>
      <c r="CF50" s="1874"/>
    </row>
    <row customHeight="1" ht="15" hidden="1">
      <c r="A51" s="647"/>
      <c r="B51" s="648"/>
      <c r="C51" s="648"/>
      <c r="D51" s="2603"/>
      <c r="E51" s="2401" t="s">
        <v>648</v>
      </c>
      <c r="F51" s="2402"/>
      <c r="G51" s="2403"/>
      <c r="H51" s="2407" t="str">
        <f>IF(A50="","",INDEX(DIFFERENTIATION_UNMERGE_AREA,MATCH(A50,DIFFERENTIATION_ID_DIFF,0)))</f>
        <v>Территория 3</v>
      </c>
      <c r="I51" s="2407"/>
      <c r="J51" s="2407"/>
      <c r="K51" s="2407"/>
      <c r="L51" s="2407"/>
      <c r="M51" s="2407"/>
      <c r="N51" s="2407"/>
      <c r="O51" s="2407"/>
      <c r="P51" s="2407"/>
      <c r="Q51" s="2407"/>
      <c r="R51" s="2407"/>
      <c r="S51" s="743"/>
      <c r="T51" s="740"/>
      <c r="U51" s="649"/>
      <c r="V51" s="649"/>
      <c r="W51" s="650"/>
      <c r="X51" s="650"/>
      <c r="Y51" s="650"/>
      <c r="Z51" s="650"/>
      <c r="AA51" s="651"/>
      <c r="AB51" s="652"/>
      <c r="AC51" s="2399"/>
      <c r="AD51" s="653"/>
      <c r="AE51" s="654"/>
      <c r="AF51" s="654"/>
      <c r="AG51" s="655"/>
      <c r="AH51" s="656"/>
      <c r="AI51" s="649"/>
      <c r="AJ51" s="649"/>
      <c r="AK51" s="649"/>
      <c r="AL51" s="649"/>
      <c r="AM51" s="649"/>
      <c r="AN51" s="649"/>
      <c r="AO51" s="649"/>
      <c r="AP51" s="649"/>
      <c r="AQ51" s="649"/>
      <c r="AR51" s="649"/>
      <c r="AS51" s="649"/>
      <c r="AT51" s="649"/>
      <c r="AU51" s="649"/>
      <c r="AV51" s="649"/>
      <c r="AW51" s="649"/>
      <c r="AX51" s="649"/>
      <c r="AY51" s="649"/>
      <c r="AZ51" s="649"/>
      <c r="BA51" s="649"/>
      <c r="BB51" s="649"/>
      <c r="BC51" s="649"/>
      <c r="BD51" s="649"/>
      <c r="BE51" s="649"/>
      <c r="BF51" s="649"/>
      <c r="BG51" s="649"/>
      <c r="BH51" s="649"/>
      <c r="BI51" s="649"/>
      <c r="BJ51" s="649"/>
      <c r="BK51" s="649"/>
      <c r="BL51" s="649"/>
      <c r="BM51" s="649"/>
      <c r="BN51" s="649"/>
      <c r="BO51" s="649"/>
      <c r="BP51" s="649"/>
      <c r="BQ51" s="649"/>
      <c r="BR51" s="649"/>
      <c r="BS51" s="649"/>
      <c r="BT51" s="649"/>
      <c r="BU51" s="649"/>
      <c r="BV51" s="650"/>
      <c r="BW51" s="650"/>
      <c r="BX51" s="650"/>
      <c r="BY51" s="650"/>
      <c r="BZ51" s="650"/>
      <c r="CA51" s="650"/>
      <c r="CB51" s="650"/>
      <c r="CC51" s="650"/>
      <c r="CD51" s="650"/>
      <c r="CE51" s="650"/>
      <c r="CF51" s="1874"/>
    </row>
    <row customHeight="1" ht="15" hidden="1">
      <c r="A52" s="647"/>
      <c r="B52" s="648"/>
      <c r="C52" s="648"/>
      <c r="D52" s="2603"/>
      <c r="E52" s="2401" t="s">
        <v>649</v>
      </c>
      <c r="F52" s="2402"/>
      <c r="G52" s="2403"/>
      <c r="H52" s="2407" t="str">
        <f>IF(A50="","",INDEX(DIFFERENTIATION_UNMERGE_SYSTEM,MATCH(A50,DIFFERENTIATION_ID_DIFF,0)))</f>
        <v>Комсомольская ТЭЦ-2 (г. Комсомольск)</v>
      </c>
      <c r="I52" s="2407"/>
      <c r="J52" s="2407"/>
      <c r="K52" s="2407"/>
      <c r="L52" s="2407"/>
      <c r="M52" s="2407"/>
      <c r="N52" s="2407"/>
      <c r="O52" s="2407"/>
      <c r="P52" s="2407"/>
      <c r="Q52" s="2407"/>
      <c r="R52" s="2407"/>
      <c r="S52" s="743"/>
      <c r="T52" s="740"/>
      <c r="U52" s="649"/>
      <c r="V52" s="649"/>
      <c r="W52" s="650"/>
      <c r="X52" s="650"/>
      <c r="Y52" s="650"/>
      <c r="Z52" s="650"/>
      <c r="AA52" s="651"/>
      <c r="AB52" s="652"/>
      <c r="AC52" s="2399"/>
      <c r="AD52" s="653"/>
      <c r="AE52" s="654"/>
      <c r="AF52" s="654"/>
      <c r="AG52" s="655"/>
      <c r="AH52" s="656"/>
      <c r="AI52" s="649"/>
      <c r="AJ52" s="649"/>
      <c r="AK52" s="649"/>
      <c r="AL52" s="649"/>
      <c r="AM52" s="649"/>
      <c r="AN52" s="649"/>
      <c r="AO52" s="649"/>
      <c r="AP52" s="649"/>
      <c r="AQ52" s="649"/>
      <c r="AR52" s="649"/>
      <c r="AS52" s="649"/>
      <c r="AT52" s="649"/>
      <c r="AU52" s="649"/>
      <c r="AV52" s="649"/>
      <c r="AW52" s="649"/>
      <c r="AX52" s="649"/>
      <c r="AY52" s="649"/>
      <c r="AZ52" s="649"/>
      <c r="BA52" s="649"/>
      <c r="BB52" s="649"/>
      <c r="BC52" s="649"/>
      <c r="BD52" s="649"/>
      <c r="BE52" s="649"/>
      <c r="BF52" s="649"/>
      <c r="BG52" s="649"/>
      <c r="BH52" s="649"/>
      <c r="BI52" s="649"/>
      <c r="BJ52" s="649"/>
      <c r="BK52" s="649"/>
      <c r="BL52" s="649"/>
      <c r="BM52" s="649"/>
      <c r="BN52" s="649"/>
      <c r="BO52" s="649"/>
      <c r="BP52" s="649"/>
      <c r="BQ52" s="649"/>
      <c r="BR52" s="649"/>
      <c r="BS52" s="649"/>
      <c r="BT52" s="649"/>
      <c r="BU52" s="649"/>
      <c r="BV52" s="650"/>
      <c r="BW52" s="650"/>
      <c r="BX52" s="650"/>
      <c r="BY52" s="650"/>
      <c r="BZ52" s="650"/>
      <c r="CA52" s="650"/>
      <c r="CB52" s="650"/>
      <c r="CC52" s="650"/>
      <c r="CD52" s="650"/>
      <c r="CE52" s="650"/>
      <c r="CF52" s="1874"/>
    </row>
    <row customHeight="1" ht="24.75" hidden="1">
      <c r="A53" s="1830"/>
      <c r="B53" s="1184"/>
      <c r="C53" s="436"/>
      <c r="D53" s="2603"/>
      <c r="E53" s="2400" t="s">
        <v>694</v>
      </c>
      <c r="F53" s="2400"/>
      <c r="G53" s="2400"/>
      <c r="H53" s="2400"/>
      <c r="I53" s="2400"/>
      <c r="J53" s="2400"/>
      <c r="K53" s="2400"/>
      <c r="L53" s="2400"/>
      <c r="M53" s="2400"/>
      <c r="N53" s="2400"/>
      <c r="O53" s="2400"/>
      <c r="P53" s="2400"/>
      <c r="Q53" s="582">
        <f>SUMIF(T54:T55,"i",Q54:Q55)</f>
        <v>0</v>
      </c>
      <c r="R53" s="1041"/>
      <c r="S53" s="1822" t="s">
        <v>695</v>
      </c>
      <c r="T53" s="741" t="s">
        <v>696</v>
      </c>
      <c r="U53" s="2398">
        <v>1</v>
      </c>
      <c r="V53" s="2398" t="s">
        <v>659</v>
      </c>
      <c r="W53" s="1184"/>
      <c r="X53" s="1184"/>
      <c r="Y53" s="1184"/>
      <c r="Z53" s="1184"/>
      <c r="AA53" s="1660"/>
      <c r="AB53" s="1184"/>
      <c r="AC53" s="2399"/>
      <c r="AD53" s="653"/>
      <c r="AE53" s="1184"/>
      <c r="AF53" s="1184"/>
      <c r="AG53" s="1660"/>
      <c r="AH53" s="1660"/>
      <c r="AI53" s="1660"/>
      <c r="AJ53" s="1660"/>
      <c r="AK53" s="1660"/>
      <c r="AL53" s="1660"/>
      <c r="AM53" s="1660"/>
      <c r="AN53" s="1660"/>
      <c r="AO53" s="1660"/>
      <c r="AP53" s="1660"/>
      <c r="AQ53" s="1660"/>
      <c r="AR53" s="1660"/>
      <c r="AS53" s="1660"/>
      <c r="AT53" s="1660"/>
      <c r="AU53" s="1660"/>
      <c r="AV53" s="1660"/>
      <c r="AW53" s="1660"/>
      <c r="AX53" s="1660"/>
      <c r="AY53" s="1660"/>
      <c r="AZ53" s="1660"/>
      <c r="BA53" s="1660"/>
      <c r="BB53" s="1660"/>
      <c r="BC53" s="1660"/>
      <c r="BD53" s="1660"/>
      <c r="BE53" s="1660"/>
      <c r="BF53" s="1660"/>
      <c r="BG53" s="1660"/>
      <c r="BH53" s="1660"/>
      <c r="BI53" s="1660"/>
      <c r="BJ53" s="1660"/>
      <c r="BK53" s="1660"/>
      <c r="BL53" s="1660"/>
      <c r="BM53" s="1660"/>
      <c r="BN53" s="1660"/>
      <c r="BO53" s="1660"/>
      <c r="BP53" s="1660"/>
      <c r="BQ53" s="1660"/>
      <c r="BR53" s="1660"/>
      <c r="BS53" s="1660"/>
      <c r="BT53" s="1660"/>
      <c r="BU53" s="1660"/>
      <c r="BV53" s="1184"/>
      <c r="BW53" s="1184"/>
      <c r="BX53" s="1184"/>
      <c r="BY53" s="1184"/>
      <c r="BZ53" s="1184"/>
      <c r="CA53" s="1184"/>
      <c r="CB53" s="1184"/>
      <c r="CC53" s="1184"/>
      <c r="CD53" s="1184"/>
      <c r="CE53" s="1184"/>
      <c r="CF53" s="1874"/>
    </row>
    <row customHeight="1" ht="11.25" hidden="1">
      <c r="A54" s="1817"/>
      <c r="B54" s="1660"/>
      <c r="C54" s="1660"/>
      <c r="D54" s="2603"/>
      <c r="E54" s="659"/>
      <c r="F54" s="659">
        <v>0</v>
      </c>
      <c r="G54" s="659"/>
      <c r="H54" s="659"/>
      <c r="I54" s="659"/>
      <c r="J54" s="659"/>
      <c r="K54" s="659"/>
      <c r="L54" s="659"/>
      <c r="M54" s="659"/>
      <c r="N54" s="659"/>
      <c r="O54" s="659"/>
      <c r="P54" s="659"/>
      <c r="Q54" s="659"/>
      <c r="R54" s="659"/>
      <c r="S54" s="660"/>
      <c r="T54" s="742"/>
      <c r="U54" s="2398"/>
      <c r="V54" s="2398"/>
      <c r="W54" s="1660"/>
      <c r="X54" s="1660"/>
      <c r="Y54" s="1660"/>
      <c r="Z54" s="1660"/>
      <c r="AA54" s="1660"/>
      <c r="AB54" s="1184"/>
      <c r="AC54" s="2399"/>
      <c r="AD54" s="653"/>
      <c r="AE54" s="1184"/>
      <c r="AF54" s="1184"/>
      <c r="AG54" s="1660"/>
      <c r="AH54" s="1660"/>
      <c r="AI54" s="1660"/>
      <c r="AJ54" s="1660"/>
      <c r="AK54" s="1660"/>
      <c r="AL54" s="1660"/>
      <c r="AM54" s="1660"/>
      <c r="AN54" s="1660"/>
      <c r="AO54" s="1660"/>
      <c r="AP54" s="1660"/>
      <c r="AQ54" s="1660"/>
      <c r="AR54" s="1660"/>
      <c r="AS54" s="1660"/>
      <c r="AT54" s="1660"/>
      <c r="AU54" s="1660"/>
      <c r="AV54" s="1660"/>
      <c r="AW54" s="1660"/>
      <c r="AX54" s="1660"/>
      <c r="AY54" s="1660"/>
      <c r="AZ54" s="1660"/>
      <c r="BA54" s="1660"/>
      <c r="BB54" s="1660"/>
      <c r="BC54" s="1660"/>
      <c r="BD54" s="1660"/>
      <c r="BE54" s="1660"/>
      <c r="BF54" s="1660"/>
      <c r="BG54" s="1660"/>
      <c r="BH54" s="1660"/>
      <c r="BI54" s="1660"/>
      <c r="BJ54" s="1660"/>
      <c r="BK54" s="1660"/>
      <c r="BL54" s="1660"/>
      <c r="BM54" s="1660"/>
      <c r="BN54" s="1660"/>
      <c r="BO54" s="1660"/>
      <c r="BP54" s="1660"/>
      <c r="BQ54" s="1660"/>
      <c r="BR54" s="1660"/>
      <c r="BS54" s="1660"/>
      <c r="BT54" s="1660"/>
      <c r="BU54" s="1660"/>
      <c r="BV54" s="1660"/>
      <c r="BW54" s="1660"/>
      <c r="BX54" s="1660"/>
      <c r="BY54" s="1660"/>
      <c r="BZ54" s="1660"/>
      <c r="CA54" s="1660"/>
      <c r="CB54" s="1660"/>
      <c r="CC54" s="1660"/>
      <c r="CD54" s="1660"/>
      <c r="CE54" s="1660"/>
      <c r="CF54" s="1874"/>
    </row>
    <row customHeight="1" ht="11.25" hidden="1">
      <c r="A55" s="1830"/>
      <c r="B55" s="1184"/>
      <c r="C55" s="436"/>
      <c r="D55" s="2603"/>
      <c r="E55" s="673" t="s">
        <v>22</v>
      </c>
      <c r="F55" s="1192" t="s">
        <v>22</v>
      </c>
      <c r="G55" s="1192" t="s">
        <v>699</v>
      </c>
      <c r="H55" s="675" t="s">
        <v>22</v>
      </c>
      <c r="I55" s="675"/>
      <c r="J55" s="675"/>
      <c r="K55" s="675"/>
      <c r="L55" s="675"/>
      <c r="M55" s="675"/>
      <c r="N55" s="675"/>
      <c r="O55" s="675"/>
      <c r="P55" s="675"/>
      <c r="Q55" s="675"/>
      <c r="R55" s="676"/>
      <c r="S55" s="677"/>
      <c r="T55" s="742"/>
      <c r="U55" s="2398"/>
      <c r="V55" s="2398"/>
      <c r="W55" s="1184"/>
      <c r="X55" s="1184"/>
      <c r="Y55" s="1184"/>
      <c r="Z55" s="1184"/>
      <c r="AA55" s="1660"/>
      <c r="AB55" s="1184"/>
      <c r="AC55" s="2399"/>
      <c r="AD55" s="653"/>
      <c r="AE55" s="1184"/>
      <c r="AF55" s="1184"/>
      <c r="AG55" s="1660"/>
      <c r="AH55" s="1660"/>
      <c r="AI55" s="1660"/>
      <c r="AJ55" s="1660"/>
      <c r="AK55" s="1660"/>
      <c r="AL55" s="1660"/>
      <c r="AM55" s="1660"/>
      <c r="AN55" s="1660"/>
      <c r="AO55" s="1660"/>
      <c r="AP55" s="1660"/>
      <c r="AQ55" s="1660"/>
      <c r="AR55" s="1660"/>
      <c r="AS55" s="1660"/>
      <c r="AT55" s="1660"/>
      <c r="AU55" s="1660"/>
      <c r="AV55" s="1660"/>
      <c r="AW55" s="1660"/>
      <c r="AX55" s="1660"/>
      <c r="AY55" s="1660"/>
      <c r="AZ55" s="1660"/>
      <c r="BA55" s="1660"/>
      <c r="BB55" s="1660"/>
      <c r="BC55" s="1660"/>
      <c r="BD55" s="1660"/>
      <c r="BE55" s="1660"/>
      <c r="BF55" s="1660"/>
      <c r="BG55" s="1660"/>
      <c r="BH55" s="1660"/>
      <c r="BI55" s="1660"/>
      <c r="BJ55" s="1660"/>
      <c r="BK55" s="1660"/>
      <c r="BL55" s="1660"/>
      <c r="BM55" s="1660"/>
      <c r="BN55" s="1660"/>
      <c r="BO55" s="1660"/>
      <c r="BP55" s="1660"/>
      <c r="BQ55" s="1660"/>
      <c r="BR55" s="1660"/>
      <c r="BS55" s="1660"/>
      <c r="BT55" s="1660"/>
      <c r="BU55" s="1660"/>
      <c r="BV55" s="1184"/>
      <c r="BW55" s="1184"/>
      <c r="BX55" s="1184"/>
      <c r="BY55" s="1184"/>
      <c r="BZ55" s="1184"/>
      <c r="CA55" s="1184"/>
      <c r="CB55" s="1184"/>
      <c r="CC55" s="1184"/>
      <c r="CD55" s="1184"/>
      <c r="CE55" s="1184"/>
      <c r="CF55" s="1874"/>
    </row>
    <row customHeight="1" ht="5.25" hidden="1">
      <c r="A56" s="1817"/>
      <c r="B56" s="1660"/>
      <c r="C56" s="1660"/>
      <c r="D56" s="2603"/>
      <c r="E56" s="1063"/>
      <c r="F56" s="1063"/>
      <c r="G56" s="1063"/>
      <c r="H56" s="1063"/>
      <c r="I56" s="1063"/>
      <c r="J56" s="1063"/>
      <c r="K56" s="1063"/>
      <c r="L56" s="1063"/>
      <c r="M56" s="1063"/>
      <c r="N56" s="1063"/>
      <c r="O56" s="1063"/>
      <c r="P56" s="1063"/>
      <c r="Q56" s="1064"/>
      <c r="R56" s="1065"/>
      <c r="S56" s="1066"/>
      <c r="T56" s="741" t="s">
        <v>696</v>
      </c>
      <c r="U56" s="2398">
        <v>1</v>
      </c>
      <c r="V56" s="2398" t="s">
        <v>659</v>
      </c>
      <c r="W56" s="1660"/>
      <c r="X56" s="1660"/>
      <c r="Y56" s="1660"/>
      <c r="Z56" s="1660"/>
      <c r="AA56" s="1660"/>
      <c r="AB56" s="1660"/>
      <c r="AC56" s="1061"/>
      <c r="AD56" s="1062"/>
      <c r="AE56" s="1660"/>
      <c r="AF56" s="1660"/>
      <c r="AG56" s="1660"/>
      <c r="AH56" s="1660"/>
      <c r="AI56" s="1660"/>
      <c r="AJ56" s="1660"/>
      <c r="AK56" s="1660"/>
      <c r="AL56" s="1660"/>
      <c r="AM56" s="1660"/>
      <c r="AN56" s="1660"/>
      <c r="AO56" s="1660"/>
      <c r="AP56" s="1660"/>
      <c r="AQ56" s="1660"/>
      <c r="AR56" s="1660"/>
      <c r="AS56" s="1660"/>
      <c r="AT56" s="1660"/>
      <c r="AU56" s="1660"/>
      <c r="AV56" s="1660"/>
      <c r="AW56" s="1660"/>
      <c r="AX56" s="1660"/>
      <c r="AY56" s="1660"/>
      <c r="AZ56" s="1660"/>
      <c r="BA56" s="1660"/>
      <c r="BB56" s="1660"/>
      <c r="BC56" s="1660"/>
      <c r="BD56" s="1660"/>
      <c r="BE56" s="1660"/>
      <c r="BF56" s="1660"/>
      <c r="BG56" s="1660"/>
      <c r="BH56" s="1660"/>
      <c r="BI56" s="1660"/>
      <c r="BJ56" s="1660"/>
      <c r="BK56" s="1660"/>
      <c r="BL56" s="1660"/>
      <c r="BM56" s="1660"/>
      <c r="BN56" s="1660"/>
      <c r="BO56" s="1660"/>
      <c r="BP56" s="1660"/>
      <c r="BQ56" s="1660"/>
      <c r="BR56" s="1660"/>
      <c r="BS56" s="1660"/>
      <c r="BT56" s="1660"/>
      <c r="BU56" s="1660"/>
      <c r="BV56" s="1660"/>
      <c r="BW56" s="1660"/>
      <c r="BX56" s="1660"/>
      <c r="BY56" s="1660"/>
      <c r="BZ56" s="1660"/>
      <c r="CA56" s="1660"/>
      <c r="CB56" s="1660"/>
      <c r="CC56" s="1660"/>
      <c r="CD56" s="1660"/>
      <c r="CE56" s="1660"/>
      <c r="CF56" s="1340"/>
    </row>
    <row customHeight="1" ht="5.25" hidden="1">
      <c r="A57" s="1817"/>
      <c r="B57" s="1660"/>
      <c r="C57" s="1660"/>
      <c r="D57" s="2603"/>
      <c r="E57" s="659"/>
      <c r="F57" s="659"/>
      <c r="G57" s="659"/>
      <c r="H57" s="659"/>
      <c r="I57" s="659"/>
      <c r="J57" s="659"/>
      <c r="K57" s="659"/>
      <c r="L57" s="659"/>
      <c r="M57" s="659"/>
      <c r="N57" s="659"/>
      <c r="O57" s="659"/>
      <c r="P57" s="659"/>
      <c r="Q57" s="659"/>
      <c r="R57" s="659"/>
      <c r="S57" s="660"/>
      <c r="T57" s="742"/>
      <c r="U57" s="2398"/>
      <c r="V57" s="2398"/>
      <c r="W57" s="1660"/>
      <c r="X57" s="1660"/>
      <c r="Y57" s="1660"/>
      <c r="Z57" s="1660"/>
      <c r="AA57" s="1660"/>
      <c r="AB57" s="1660"/>
      <c r="AC57" s="1061"/>
      <c r="AD57" s="1062"/>
      <c r="AE57" s="1660"/>
      <c r="AF57" s="1660"/>
      <c r="AG57" s="1660"/>
      <c r="AH57" s="1660"/>
      <c r="AI57" s="1660"/>
      <c r="AJ57" s="1660"/>
      <c r="AK57" s="1660"/>
      <c r="AL57" s="1660"/>
      <c r="AM57" s="1660"/>
      <c r="AN57" s="1660"/>
      <c r="AO57" s="1660"/>
      <c r="AP57" s="1660"/>
      <c r="AQ57" s="1660"/>
      <c r="AR57" s="1660"/>
      <c r="AS57" s="1660"/>
      <c r="AT57" s="1660"/>
      <c r="AU57" s="1660"/>
      <c r="AV57" s="1660"/>
      <c r="AW57" s="1660"/>
      <c r="AX57" s="1660"/>
      <c r="AY57" s="1660"/>
      <c r="AZ57" s="1660"/>
      <c r="BA57" s="1660"/>
      <c r="BB57" s="1660"/>
      <c r="BC57" s="1660"/>
      <c r="BD57" s="1660"/>
      <c r="BE57" s="1660"/>
      <c r="BF57" s="1660"/>
      <c r="BG57" s="1660"/>
      <c r="BH57" s="1660"/>
      <c r="BI57" s="1660"/>
      <c r="BJ57" s="1660"/>
      <c r="BK57" s="1660"/>
      <c r="BL57" s="1660"/>
      <c r="BM57" s="1660"/>
      <c r="BN57" s="1660"/>
      <c r="BO57" s="1660"/>
      <c r="BP57" s="1660"/>
      <c r="BQ57" s="1660"/>
      <c r="BR57" s="1660"/>
      <c r="BS57" s="1660"/>
      <c r="BT57" s="1660"/>
      <c r="BU57" s="1660"/>
      <c r="BV57" s="1660"/>
      <c r="BW57" s="1660"/>
      <c r="BX57" s="1660"/>
      <c r="BY57" s="1660"/>
      <c r="BZ57" s="1660"/>
      <c r="CA57" s="1660"/>
      <c r="CB57" s="1660"/>
      <c r="CC57" s="1660"/>
      <c r="CD57" s="1660"/>
      <c r="CE57" s="1660"/>
      <c r="CF57" s="1340"/>
    </row>
    <row customHeight="1" ht="5.25" hidden="1">
      <c r="A58" s="1817"/>
      <c r="B58" s="1660"/>
      <c r="C58" s="1660"/>
      <c r="D58" s="2604"/>
      <c r="E58" s="1067"/>
      <c r="F58" s="1068"/>
      <c r="G58" s="1068"/>
      <c r="H58" s="1069"/>
      <c r="I58" s="1069"/>
      <c r="J58" s="1069"/>
      <c r="K58" s="1069"/>
      <c r="L58" s="1069"/>
      <c r="M58" s="1069"/>
      <c r="N58" s="1069"/>
      <c r="O58" s="1069"/>
      <c r="P58" s="1069"/>
      <c r="Q58" s="1069"/>
      <c r="R58" s="970"/>
      <c r="S58" s="1070"/>
      <c r="T58" s="742"/>
      <c r="U58" s="2398"/>
      <c r="V58" s="2398"/>
      <c r="W58" s="1660"/>
      <c r="X58" s="1660"/>
      <c r="Y58" s="1660"/>
      <c r="Z58" s="1660"/>
      <c r="AA58" s="1660"/>
      <c r="AB58" s="1660"/>
      <c r="AC58" s="1061"/>
      <c r="AD58" s="1062"/>
      <c r="AE58" s="1660"/>
      <c r="AF58" s="1660"/>
      <c r="AG58" s="1660"/>
      <c r="AH58" s="1660"/>
      <c r="AI58" s="1660"/>
      <c r="AJ58" s="1660"/>
      <c r="AK58" s="1660"/>
      <c r="AL58" s="1660"/>
      <c r="AM58" s="1660"/>
      <c r="AN58" s="1660"/>
      <c r="AO58" s="1660"/>
      <c r="AP58" s="1660"/>
      <c r="AQ58" s="1660"/>
      <c r="AR58" s="1660"/>
      <c r="AS58" s="1660"/>
      <c r="AT58" s="1660"/>
      <c r="AU58" s="1660"/>
      <c r="AV58" s="1660"/>
      <c r="AW58" s="1660"/>
      <c r="AX58" s="1660"/>
      <c r="AY58" s="1660"/>
      <c r="AZ58" s="1660"/>
      <c r="BA58" s="1660"/>
      <c r="BB58" s="1660"/>
      <c r="BC58" s="1660"/>
      <c r="BD58" s="1660"/>
      <c r="BE58" s="1660"/>
      <c r="BF58" s="1660"/>
      <c r="BG58" s="1660"/>
      <c r="BH58" s="1660"/>
      <c r="BI58" s="1660"/>
      <c r="BJ58" s="1660"/>
      <c r="BK58" s="1660"/>
      <c r="BL58" s="1660"/>
      <c r="BM58" s="1660"/>
      <c r="BN58" s="1660"/>
      <c r="BO58" s="1660"/>
      <c r="BP58" s="1660"/>
      <c r="BQ58" s="1660"/>
      <c r="BR58" s="1660"/>
      <c r="BS58" s="1660"/>
      <c r="BT58" s="1660"/>
      <c r="BU58" s="1660"/>
      <c r="BV58" s="1660"/>
      <c r="BW58" s="1660"/>
      <c r="BX58" s="1660"/>
      <c r="BY58" s="1660"/>
      <c r="BZ58" s="1660"/>
      <c r="CA58" s="1660"/>
      <c r="CB58" s="1660"/>
      <c r="CC58" s="1660"/>
      <c r="CD58" s="1660"/>
      <c r="CE58" s="1660"/>
      <c r="CF58" s="1340"/>
    </row>
    <row customHeight="1" ht="15" hidden="1">
      <c r="A59" s="647" t="s">
        <v>189</v>
      </c>
      <c r="B59" s="648"/>
      <c r="C59" s="648" t="s">
        <v>22</v>
      </c>
      <c r="D59" s="2602" t="s">
        <v>703</v>
      </c>
      <c r="E59" s="2401" t="s">
        <v>166</v>
      </c>
      <c r="F59" s="2402"/>
      <c r="G59" s="2403"/>
      <c r="H59" s="2407" t="str">
        <f>IF(A59="","",INDEX(DIFFERENTIATION_UNMERGE_VD,MATCH(A59,DIFFERENTIATION_ID_DIFF,0)))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59" s="2407"/>
      <c r="J59" s="2407"/>
      <c r="K59" s="2407"/>
      <c r="L59" s="2407"/>
      <c r="M59" s="2407"/>
      <c r="N59" s="2407"/>
      <c r="O59" s="2407"/>
      <c r="P59" s="2407"/>
      <c r="Q59" s="2407"/>
      <c r="R59" s="2407"/>
      <c r="S59" s="743"/>
      <c r="T59" s="740"/>
      <c r="U59" s="649"/>
      <c r="V59" s="649"/>
      <c r="W59" s="650"/>
      <c r="X59" s="650"/>
      <c r="Y59" s="650"/>
      <c r="Z59" s="650"/>
      <c r="AA59" s="651"/>
      <c r="AB59" s="652"/>
      <c r="AC59" s="2399"/>
      <c r="AD59" s="653"/>
      <c r="AE59" s="654" t="s">
        <v>22</v>
      </c>
      <c r="AF59" s="654"/>
      <c r="AG59" s="655" t="s">
        <v>693</v>
      </c>
      <c r="AH59" s="656">
        <v>3</v>
      </c>
      <c r="AI59" s="649"/>
      <c r="AJ59" s="649"/>
      <c r="AK59" s="649"/>
      <c r="AL59" s="649"/>
      <c r="AM59" s="649"/>
      <c r="AN59" s="649"/>
      <c r="AO59" s="649"/>
      <c r="AP59" s="649"/>
      <c r="AQ59" s="649"/>
      <c r="AR59" s="649"/>
      <c r="AS59" s="649"/>
      <c r="AT59" s="649"/>
      <c r="AU59" s="649"/>
      <c r="AV59" s="649"/>
      <c r="AW59" s="649"/>
      <c r="AX59" s="649"/>
      <c r="AY59" s="649"/>
      <c r="AZ59" s="649"/>
      <c r="BA59" s="649"/>
      <c r="BB59" s="649"/>
      <c r="BC59" s="649"/>
      <c r="BD59" s="649"/>
      <c r="BE59" s="649"/>
      <c r="BF59" s="649"/>
      <c r="BG59" s="649"/>
      <c r="BH59" s="649"/>
      <c r="BI59" s="649"/>
      <c r="BJ59" s="649"/>
      <c r="BK59" s="649"/>
      <c r="BL59" s="649"/>
      <c r="BM59" s="649"/>
      <c r="BN59" s="649"/>
      <c r="BO59" s="649"/>
      <c r="BP59" s="649"/>
      <c r="BQ59" s="649"/>
      <c r="BR59" s="649"/>
      <c r="BS59" s="649"/>
      <c r="BT59" s="649"/>
      <c r="BU59" s="649"/>
      <c r="BV59" s="650"/>
      <c r="BW59" s="650"/>
      <c r="BX59" s="650"/>
      <c r="BY59" s="650"/>
      <c r="BZ59" s="650"/>
      <c r="CA59" s="650"/>
      <c r="CB59" s="650"/>
      <c r="CC59" s="650"/>
      <c r="CD59" s="650"/>
      <c r="CE59" s="650"/>
      <c r="CF59" s="1874"/>
    </row>
    <row customHeight="1" ht="15" hidden="1">
      <c r="A60" s="647"/>
      <c r="B60" s="648"/>
      <c r="C60" s="648"/>
      <c r="D60" s="2603"/>
      <c r="E60" s="2401" t="s">
        <v>648</v>
      </c>
      <c r="F60" s="2402"/>
      <c r="G60" s="2403"/>
      <c r="H60" s="2407" t="str">
        <f>IF(A59="","",INDEX(DIFFERENTIATION_UNMERGE_AREA,MATCH(A59,DIFFERENTIATION_ID_DIFF,0)))</f>
        <v>Территория 3</v>
      </c>
      <c r="I60" s="2407"/>
      <c r="J60" s="2407"/>
      <c r="K60" s="2407"/>
      <c r="L60" s="2407"/>
      <c r="M60" s="2407"/>
      <c r="N60" s="2407"/>
      <c r="O60" s="2407"/>
      <c r="P60" s="2407"/>
      <c r="Q60" s="2407"/>
      <c r="R60" s="2407"/>
      <c r="S60" s="743"/>
      <c r="T60" s="740"/>
      <c r="U60" s="649"/>
      <c r="V60" s="649"/>
      <c r="W60" s="650"/>
      <c r="X60" s="650"/>
      <c r="Y60" s="650"/>
      <c r="Z60" s="650"/>
      <c r="AA60" s="651"/>
      <c r="AB60" s="652"/>
      <c r="AC60" s="2399"/>
      <c r="AD60" s="653"/>
      <c r="AE60" s="654"/>
      <c r="AF60" s="654"/>
      <c r="AG60" s="655"/>
      <c r="AH60" s="656"/>
      <c r="AI60" s="649"/>
      <c r="AJ60" s="649"/>
      <c r="AK60" s="649"/>
      <c r="AL60" s="649"/>
      <c r="AM60" s="649"/>
      <c r="AN60" s="649"/>
      <c r="AO60" s="649"/>
      <c r="AP60" s="649"/>
      <c r="AQ60" s="649"/>
      <c r="AR60" s="649"/>
      <c r="AS60" s="649"/>
      <c r="AT60" s="649"/>
      <c r="AU60" s="649"/>
      <c r="AV60" s="649"/>
      <c r="AW60" s="649"/>
      <c r="AX60" s="649"/>
      <c r="AY60" s="649"/>
      <c r="AZ60" s="649"/>
      <c r="BA60" s="649"/>
      <c r="BB60" s="649"/>
      <c r="BC60" s="649"/>
      <c r="BD60" s="649"/>
      <c r="BE60" s="649"/>
      <c r="BF60" s="649"/>
      <c r="BG60" s="649"/>
      <c r="BH60" s="649"/>
      <c r="BI60" s="649"/>
      <c r="BJ60" s="649"/>
      <c r="BK60" s="649"/>
      <c r="BL60" s="649"/>
      <c r="BM60" s="649"/>
      <c r="BN60" s="649"/>
      <c r="BO60" s="649"/>
      <c r="BP60" s="649"/>
      <c r="BQ60" s="649"/>
      <c r="BR60" s="649"/>
      <c r="BS60" s="649"/>
      <c r="BT60" s="649"/>
      <c r="BU60" s="649"/>
      <c r="BV60" s="650"/>
      <c r="BW60" s="650"/>
      <c r="BX60" s="650"/>
      <c r="BY60" s="650"/>
      <c r="BZ60" s="650"/>
      <c r="CA60" s="650"/>
      <c r="CB60" s="650"/>
      <c r="CC60" s="650"/>
      <c r="CD60" s="650"/>
      <c r="CE60" s="650"/>
      <c r="CF60" s="1874"/>
    </row>
    <row customHeight="1" ht="15" hidden="1">
      <c r="A61" s="647"/>
      <c r="B61" s="648"/>
      <c r="C61" s="648"/>
      <c r="D61" s="2603"/>
      <c r="E61" s="2401" t="s">
        <v>649</v>
      </c>
      <c r="F61" s="2402"/>
      <c r="G61" s="2403"/>
      <c r="H61" s="2407" t="str">
        <f>IF(A59="","",INDEX(DIFFERENTIATION_UNMERGE_SYSTEM,MATCH(A59,DIFFERENTIATION_ID_DIFF,0)))</f>
        <v>Комсомольская ТЭЦ-3 (г. Комсомольск)</v>
      </c>
      <c r="I61" s="2407"/>
      <c r="J61" s="2407"/>
      <c r="K61" s="2407"/>
      <c r="L61" s="2407"/>
      <c r="M61" s="2407"/>
      <c r="N61" s="2407"/>
      <c r="O61" s="2407"/>
      <c r="P61" s="2407"/>
      <c r="Q61" s="2407"/>
      <c r="R61" s="2407"/>
      <c r="S61" s="743"/>
      <c r="T61" s="740"/>
      <c r="U61" s="649"/>
      <c r="V61" s="649"/>
      <c r="W61" s="650"/>
      <c r="X61" s="650"/>
      <c r="Y61" s="650"/>
      <c r="Z61" s="650"/>
      <c r="AA61" s="651"/>
      <c r="AB61" s="652"/>
      <c r="AC61" s="2399"/>
      <c r="AD61" s="653"/>
      <c r="AE61" s="654"/>
      <c r="AF61" s="654"/>
      <c r="AG61" s="655"/>
      <c r="AH61" s="656"/>
      <c r="AI61" s="649"/>
      <c r="AJ61" s="649"/>
      <c r="AK61" s="649"/>
      <c r="AL61" s="649"/>
      <c r="AM61" s="649"/>
      <c r="AN61" s="649"/>
      <c r="AO61" s="649"/>
      <c r="AP61" s="649"/>
      <c r="AQ61" s="649"/>
      <c r="AR61" s="649"/>
      <c r="AS61" s="649"/>
      <c r="AT61" s="649"/>
      <c r="AU61" s="649"/>
      <c r="AV61" s="649"/>
      <c r="AW61" s="649"/>
      <c r="AX61" s="649"/>
      <c r="AY61" s="649"/>
      <c r="AZ61" s="649"/>
      <c r="BA61" s="649"/>
      <c r="BB61" s="649"/>
      <c r="BC61" s="649"/>
      <c r="BD61" s="649"/>
      <c r="BE61" s="649"/>
      <c r="BF61" s="649"/>
      <c r="BG61" s="649"/>
      <c r="BH61" s="649"/>
      <c r="BI61" s="649"/>
      <c r="BJ61" s="649"/>
      <c r="BK61" s="649"/>
      <c r="BL61" s="649"/>
      <c r="BM61" s="649"/>
      <c r="BN61" s="649"/>
      <c r="BO61" s="649"/>
      <c r="BP61" s="649"/>
      <c r="BQ61" s="649"/>
      <c r="BR61" s="649"/>
      <c r="BS61" s="649"/>
      <c r="BT61" s="649"/>
      <c r="BU61" s="649"/>
      <c r="BV61" s="650"/>
      <c r="BW61" s="650"/>
      <c r="BX61" s="650"/>
      <c r="BY61" s="650"/>
      <c r="BZ61" s="650"/>
      <c r="CA61" s="650"/>
      <c r="CB61" s="650"/>
      <c r="CC61" s="650"/>
      <c r="CD61" s="650"/>
      <c r="CE61" s="650"/>
      <c r="CF61" s="1874"/>
    </row>
    <row customHeight="1" ht="24.75" hidden="1">
      <c r="A62" s="1830"/>
      <c r="B62" s="1184"/>
      <c r="C62" s="436"/>
      <c r="D62" s="2603"/>
      <c r="E62" s="2400" t="s">
        <v>694</v>
      </c>
      <c r="F62" s="2400"/>
      <c r="G62" s="2400"/>
      <c r="H62" s="2400"/>
      <c r="I62" s="2400"/>
      <c r="J62" s="2400"/>
      <c r="K62" s="2400"/>
      <c r="L62" s="2400"/>
      <c r="M62" s="2400"/>
      <c r="N62" s="2400"/>
      <c r="O62" s="2400"/>
      <c r="P62" s="2400"/>
      <c r="Q62" s="582">
        <f>SUMIF(T63:T64,"i",Q63:Q64)</f>
        <v>0</v>
      </c>
      <c r="R62" s="1041"/>
      <c r="S62" s="1822" t="s">
        <v>695</v>
      </c>
      <c r="T62" s="741" t="s">
        <v>696</v>
      </c>
      <c r="U62" s="2398">
        <v>1</v>
      </c>
      <c r="V62" s="2398" t="s">
        <v>659</v>
      </c>
      <c r="W62" s="1184"/>
      <c r="X62" s="1184"/>
      <c r="Y62" s="1184"/>
      <c r="Z62" s="1184"/>
      <c r="AA62" s="1660"/>
      <c r="AB62" s="1184"/>
      <c r="AC62" s="2399"/>
      <c r="AD62" s="653"/>
      <c r="AE62" s="1184"/>
      <c r="AF62" s="1184"/>
      <c r="AG62" s="1660"/>
      <c r="AH62" s="1660"/>
      <c r="AI62" s="1660"/>
      <c r="AJ62" s="1660"/>
      <c r="AK62" s="1660"/>
      <c r="AL62" s="1660"/>
      <c r="AM62" s="1660"/>
      <c r="AN62" s="1660"/>
      <c r="AO62" s="1660"/>
      <c r="AP62" s="1660"/>
      <c r="AQ62" s="1660"/>
      <c r="AR62" s="1660"/>
      <c r="AS62" s="1660"/>
      <c r="AT62" s="1660"/>
      <c r="AU62" s="1660"/>
      <c r="AV62" s="1660"/>
      <c r="AW62" s="1660"/>
      <c r="AX62" s="1660"/>
      <c r="AY62" s="1660"/>
      <c r="AZ62" s="1660"/>
      <c r="BA62" s="1660"/>
      <c r="BB62" s="1660"/>
      <c r="BC62" s="1660"/>
      <c r="BD62" s="1660"/>
      <c r="BE62" s="1660"/>
      <c r="BF62" s="1660"/>
      <c r="BG62" s="1660"/>
      <c r="BH62" s="1660"/>
      <c r="BI62" s="1660"/>
      <c r="BJ62" s="1660"/>
      <c r="BK62" s="1660"/>
      <c r="BL62" s="1660"/>
      <c r="BM62" s="1660"/>
      <c r="BN62" s="1660"/>
      <c r="BO62" s="1660"/>
      <c r="BP62" s="1660"/>
      <c r="BQ62" s="1660"/>
      <c r="BR62" s="1660"/>
      <c r="BS62" s="1660"/>
      <c r="BT62" s="1660"/>
      <c r="BU62" s="1660"/>
      <c r="BV62" s="1184"/>
      <c r="BW62" s="1184"/>
      <c r="BX62" s="1184"/>
      <c r="BY62" s="1184"/>
      <c r="BZ62" s="1184"/>
      <c r="CA62" s="1184"/>
      <c r="CB62" s="1184"/>
      <c r="CC62" s="1184"/>
      <c r="CD62" s="1184"/>
      <c r="CE62" s="1184"/>
      <c r="CF62" s="1874"/>
    </row>
    <row customHeight="1" ht="11.25" hidden="1">
      <c r="A63" s="1817"/>
      <c r="B63" s="1660"/>
      <c r="C63" s="1660"/>
      <c r="D63" s="2603"/>
      <c r="E63" s="659"/>
      <c r="F63" s="659">
        <v>0</v>
      </c>
      <c r="G63" s="659"/>
      <c r="H63" s="659"/>
      <c r="I63" s="659"/>
      <c r="J63" s="659"/>
      <c r="K63" s="659"/>
      <c r="L63" s="659"/>
      <c r="M63" s="659"/>
      <c r="N63" s="659"/>
      <c r="O63" s="659"/>
      <c r="P63" s="659"/>
      <c r="Q63" s="659"/>
      <c r="R63" s="659"/>
      <c r="S63" s="660"/>
      <c r="T63" s="742"/>
      <c r="U63" s="2398"/>
      <c r="V63" s="2398"/>
      <c r="W63" s="1660"/>
      <c r="X63" s="1660"/>
      <c r="Y63" s="1660"/>
      <c r="Z63" s="1660"/>
      <c r="AA63" s="1660"/>
      <c r="AB63" s="1184"/>
      <c r="AC63" s="2399"/>
      <c r="AD63" s="653"/>
      <c r="AE63" s="1184"/>
      <c r="AF63" s="1184"/>
      <c r="AG63" s="1660"/>
      <c r="AH63" s="1660"/>
      <c r="AI63" s="1660"/>
      <c r="AJ63" s="1660"/>
      <c r="AK63" s="1660"/>
      <c r="AL63" s="1660"/>
      <c r="AM63" s="1660"/>
      <c r="AN63" s="1660"/>
      <c r="AO63" s="1660"/>
      <c r="AP63" s="1660"/>
      <c r="AQ63" s="1660"/>
      <c r="AR63" s="1660"/>
      <c r="AS63" s="1660"/>
      <c r="AT63" s="1660"/>
      <c r="AU63" s="1660"/>
      <c r="AV63" s="1660"/>
      <c r="AW63" s="1660"/>
      <c r="AX63" s="1660"/>
      <c r="AY63" s="1660"/>
      <c r="AZ63" s="1660"/>
      <c r="BA63" s="1660"/>
      <c r="BB63" s="1660"/>
      <c r="BC63" s="1660"/>
      <c r="BD63" s="1660"/>
      <c r="BE63" s="1660"/>
      <c r="BF63" s="1660"/>
      <c r="BG63" s="1660"/>
      <c r="BH63" s="1660"/>
      <c r="BI63" s="1660"/>
      <c r="BJ63" s="1660"/>
      <c r="BK63" s="1660"/>
      <c r="BL63" s="1660"/>
      <c r="BM63" s="1660"/>
      <c r="BN63" s="1660"/>
      <c r="BO63" s="1660"/>
      <c r="BP63" s="1660"/>
      <c r="BQ63" s="1660"/>
      <c r="BR63" s="1660"/>
      <c r="BS63" s="1660"/>
      <c r="BT63" s="1660"/>
      <c r="BU63" s="1660"/>
      <c r="BV63" s="1660"/>
      <c r="BW63" s="1660"/>
      <c r="BX63" s="1660"/>
      <c r="BY63" s="1660"/>
      <c r="BZ63" s="1660"/>
      <c r="CA63" s="1660"/>
      <c r="CB63" s="1660"/>
      <c r="CC63" s="1660"/>
      <c r="CD63" s="1660"/>
      <c r="CE63" s="1660"/>
      <c r="CF63" s="1874"/>
    </row>
    <row customHeight="1" ht="11.25" hidden="1">
      <c r="A64" s="1830"/>
      <c r="B64" s="1184"/>
      <c r="C64" s="436"/>
      <c r="D64" s="2603"/>
      <c r="E64" s="673" t="s">
        <v>22</v>
      </c>
      <c r="F64" s="1192" t="s">
        <v>22</v>
      </c>
      <c r="G64" s="1192" t="s">
        <v>699</v>
      </c>
      <c r="H64" s="675" t="s">
        <v>22</v>
      </c>
      <c r="I64" s="675"/>
      <c r="J64" s="675"/>
      <c r="K64" s="675"/>
      <c r="L64" s="675"/>
      <c r="M64" s="675"/>
      <c r="N64" s="675"/>
      <c r="O64" s="675"/>
      <c r="P64" s="675"/>
      <c r="Q64" s="675"/>
      <c r="R64" s="676"/>
      <c r="S64" s="677"/>
      <c r="T64" s="742"/>
      <c r="U64" s="2398"/>
      <c r="V64" s="2398"/>
      <c r="W64" s="1184"/>
      <c r="X64" s="1184"/>
      <c r="Y64" s="1184"/>
      <c r="Z64" s="1184"/>
      <c r="AA64" s="1660"/>
      <c r="AB64" s="1184"/>
      <c r="AC64" s="2399"/>
      <c r="AD64" s="653"/>
      <c r="AE64" s="1184"/>
      <c r="AF64" s="1184"/>
      <c r="AG64" s="1660"/>
      <c r="AH64" s="1660"/>
      <c r="AI64" s="1660"/>
      <c r="AJ64" s="1660"/>
      <c r="AK64" s="1660"/>
      <c r="AL64" s="1660"/>
      <c r="AM64" s="1660"/>
      <c r="AN64" s="1660"/>
      <c r="AO64" s="1660"/>
      <c r="AP64" s="1660"/>
      <c r="AQ64" s="1660"/>
      <c r="AR64" s="1660"/>
      <c r="AS64" s="1660"/>
      <c r="AT64" s="1660"/>
      <c r="AU64" s="1660"/>
      <c r="AV64" s="1660"/>
      <c r="AW64" s="1660"/>
      <c r="AX64" s="1660"/>
      <c r="AY64" s="1660"/>
      <c r="AZ64" s="1660"/>
      <c r="BA64" s="1660"/>
      <c r="BB64" s="1660"/>
      <c r="BC64" s="1660"/>
      <c r="BD64" s="1660"/>
      <c r="BE64" s="1660"/>
      <c r="BF64" s="1660"/>
      <c r="BG64" s="1660"/>
      <c r="BH64" s="1660"/>
      <c r="BI64" s="1660"/>
      <c r="BJ64" s="1660"/>
      <c r="BK64" s="1660"/>
      <c r="BL64" s="1660"/>
      <c r="BM64" s="1660"/>
      <c r="BN64" s="1660"/>
      <c r="BO64" s="1660"/>
      <c r="BP64" s="1660"/>
      <c r="BQ64" s="1660"/>
      <c r="BR64" s="1660"/>
      <c r="BS64" s="1660"/>
      <c r="BT64" s="1660"/>
      <c r="BU64" s="1660"/>
      <c r="BV64" s="1184"/>
      <c r="BW64" s="1184"/>
      <c r="BX64" s="1184"/>
      <c r="BY64" s="1184"/>
      <c r="BZ64" s="1184"/>
      <c r="CA64" s="1184"/>
      <c r="CB64" s="1184"/>
      <c r="CC64" s="1184"/>
      <c r="CD64" s="1184"/>
      <c r="CE64" s="1184"/>
      <c r="CF64" s="1874"/>
    </row>
    <row customHeight="1" ht="5.25" hidden="1">
      <c r="A65" s="1817"/>
      <c r="B65" s="1660"/>
      <c r="C65" s="1660"/>
      <c r="D65" s="2603"/>
      <c r="E65" s="1063"/>
      <c r="F65" s="1063"/>
      <c r="G65" s="1063"/>
      <c r="H65" s="1063"/>
      <c r="I65" s="1063"/>
      <c r="J65" s="1063"/>
      <c r="K65" s="1063"/>
      <c r="L65" s="1063"/>
      <c r="M65" s="1063"/>
      <c r="N65" s="1063"/>
      <c r="O65" s="1063"/>
      <c r="P65" s="1063"/>
      <c r="Q65" s="1064"/>
      <c r="R65" s="1065"/>
      <c r="S65" s="1066"/>
      <c r="T65" s="741" t="s">
        <v>696</v>
      </c>
      <c r="U65" s="2398">
        <v>1</v>
      </c>
      <c r="V65" s="2398" t="s">
        <v>659</v>
      </c>
      <c r="W65" s="1660"/>
      <c r="X65" s="1660"/>
      <c r="Y65" s="1660"/>
      <c r="Z65" s="1660"/>
      <c r="AA65" s="1660"/>
      <c r="AB65" s="1660"/>
      <c r="AC65" s="1061"/>
      <c r="AD65" s="1062"/>
      <c r="AE65" s="1660"/>
      <c r="AF65" s="1660"/>
      <c r="AG65" s="1660"/>
      <c r="AH65" s="1660"/>
      <c r="AI65" s="1660"/>
      <c r="AJ65" s="1660"/>
      <c r="AK65" s="1660"/>
      <c r="AL65" s="1660"/>
      <c r="AM65" s="1660"/>
      <c r="AN65" s="1660"/>
      <c r="AO65" s="1660"/>
      <c r="AP65" s="1660"/>
      <c r="AQ65" s="1660"/>
      <c r="AR65" s="1660"/>
      <c r="AS65" s="1660"/>
      <c r="AT65" s="1660"/>
      <c r="AU65" s="1660"/>
      <c r="AV65" s="1660"/>
      <c r="AW65" s="1660"/>
      <c r="AX65" s="1660"/>
      <c r="AY65" s="1660"/>
      <c r="AZ65" s="1660"/>
      <c r="BA65" s="1660"/>
      <c r="BB65" s="1660"/>
      <c r="BC65" s="1660"/>
      <c r="BD65" s="1660"/>
      <c r="BE65" s="1660"/>
      <c r="BF65" s="1660"/>
      <c r="BG65" s="1660"/>
      <c r="BH65" s="1660"/>
      <c r="BI65" s="1660"/>
      <c r="BJ65" s="1660"/>
      <c r="BK65" s="1660"/>
      <c r="BL65" s="1660"/>
      <c r="BM65" s="1660"/>
      <c r="BN65" s="1660"/>
      <c r="BO65" s="1660"/>
      <c r="BP65" s="1660"/>
      <c r="BQ65" s="1660"/>
      <c r="BR65" s="1660"/>
      <c r="BS65" s="1660"/>
      <c r="BT65" s="1660"/>
      <c r="BU65" s="1660"/>
      <c r="BV65" s="1660"/>
      <c r="BW65" s="1660"/>
      <c r="BX65" s="1660"/>
      <c r="BY65" s="1660"/>
      <c r="BZ65" s="1660"/>
      <c r="CA65" s="1660"/>
      <c r="CB65" s="1660"/>
      <c r="CC65" s="1660"/>
      <c r="CD65" s="1660"/>
      <c r="CE65" s="1660"/>
      <c r="CF65" s="1340"/>
    </row>
    <row customHeight="1" ht="5.25" hidden="1">
      <c r="A66" s="1817"/>
      <c r="B66" s="1660"/>
      <c r="C66" s="1660"/>
      <c r="D66" s="2603"/>
      <c r="E66" s="659"/>
      <c r="F66" s="659"/>
      <c r="G66" s="659"/>
      <c r="H66" s="659"/>
      <c r="I66" s="659"/>
      <c r="J66" s="659"/>
      <c r="K66" s="659"/>
      <c r="L66" s="659"/>
      <c r="M66" s="659"/>
      <c r="N66" s="659"/>
      <c r="O66" s="659"/>
      <c r="P66" s="659"/>
      <c r="Q66" s="659"/>
      <c r="R66" s="659"/>
      <c r="S66" s="660"/>
      <c r="T66" s="742"/>
      <c r="U66" s="2398"/>
      <c r="V66" s="2398"/>
      <c r="W66" s="1660"/>
      <c r="X66" s="1660"/>
      <c r="Y66" s="1660"/>
      <c r="Z66" s="1660"/>
      <c r="AA66" s="1660"/>
      <c r="AB66" s="1660"/>
      <c r="AC66" s="1061"/>
      <c r="AD66" s="1062"/>
      <c r="AE66" s="1660"/>
      <c r="AF66" s="1660"/>
      <c r="AG66" s="1660"/>
      <c r="AH66" s="1660"/>
      <c r="AI66" s="1660"/>
      <c r="AJ66" s="1660"/>
      <c r="AK66" s="1660"/>
      <c r="AL66" s="1660"/>
      <c r="AM66" s="1660"/>
      <c r="AN66" s="1660"/>
      <c r="AO66" s="1660"/>
      <c r="AP66" s="1660"/>
      <c r="AQ66" s="1660"/>
      <c r="AR66" s="1660"/>
      <c r="AS66" s="1660"/>
      <c r="AT66" s="1660"/>
      <c r="AU66" s="1660"/>
      <c r="AV66" s="1660"/>
      <c r="AW66" s="1660"/>
      <c r="AX66" s="1660"/>
      <c r="AY66" s="1660"/>
      <c r="AZ66" s="1660"/>
      <c r="BA66" s="1660"/>
      <c r="BB66" s="1660"/>
      <c r="BC66" s="1660"/>
      <c r="BD66" s="1660"/>
      <c r="BE66" s="1660"/>
      <c r="BF66" s="1660"/>
      <c r="BG66" s="1660"/>
      <c r="BH66" s="1660"/>
      <c r="BI66" s="1660"/>
      <c r="BJ66" s="1660"/>
      <c r="BK66" s="1660"/>
      <c r="BL66" s="1660"/>
      <c r="BM66" s="1660"/>
      <c r="BN66" s="1660"/>
      <c r="BO66" s="1660"/>
      <c r="BP66" s="1660"/>
      <c r="BQ66" s="1660"/>
      <c r="BR66" s="1660"/>
      <c r="BS66" s="1660"/>
      <c r="BT66" s="1660"/>
      <c r="BU66" s="1660"/>
      <c r="BV66" s="1660"/>
      <c r="BW66" s="1660"/>
      <c r="BX66" s="1660"/>
      <c r="BY66" s="1660"/>
      <c r="BZ66" s="1660"/>
      <c r="CA66" s="1660"/>
      <c r="CB66" s="1660"/>
      <c r="CC66" s="1660"/>
      <c r="CD66" s="1660"/>
      <c r="CE66" s="1660"/>
      <c r="CF66" s="1340"/>
    </row>
    <row customHeight="1" ht="5.25" hidden="1">
      <c r="A67" s="1817"/>
      <c r="B67" s="1660"/>
      <c r="C67" s="1660"/>
      <c r="D67" s="2604"/>
      <c r="E67" s="1067"/>
      <c r="F67" s="1068"/>
      <c r="G67" s="1068"/>
      <c r="H67" s="1069"/>
      <c r="I67" s="1069"/>
      <c r="J67" s="1069"/>
      <c r="K67" s="1069"/>
      <c r="L67" s="1069"/>
      <c r="M67" s="1069"/>
      <c r="N67" s="1069"/>
      <c r="O67" s="1069"/>
      <c r="P67" s="1069"/>
      <c r="Q67" s="1069"/>
      <c r="R67" s="970"/>
      <c r="S67" s="1070"/>
      <c r="T67" s="742"/>
      <c r="U67" s="2398"/>
      <c r="V67" s="2398"/>
      <c r="W67" s="1660"/>
      <c r="X67" s="1660"/>
      <c r="Y67" s="1660"/>
      <c r="Z67" s="1660"/>
      <c r="AA67" s="1660"/>
      <c r="AB67" s="1660"/>
      <c r="AC67" s="1061"/>
      <c r="AD67" s="1062"/>
      <c r="AE67" s="1660"/>
      <c r="AF67" s="1660"/>
      <c r="AG67" s="1660"/>
      <c r="AH67" s="1660"/>
      <c r="AI67" s="1660"/>
      <c r="AJ67" s="1660"/>
      <c r="AK67" s="1660"/>
      <c r="AL67" s="1660"/>
      <c r="AM67" s="1660"/>
      <c r="AN67" s="1660"/>
      <c r="AO67" s="1660"/>
      <c r="AP67" s="1660"/>
      <c r="AQ67" s="1660"/>
      <c r="AR67" s="1660"/>
      <c r="AS67" s="1660"/>
      <c r="AT67" s="1660"/>
      <c r="AU67" s="1660"/>
      <c r="AV67" s="1660"/>
      <c r="AW67" s="1660"/>
      <c r="AX67" s="1660"/>
      <c r="AY67" s="1660"/>
      <c r="AZ67" s="1660"/>
      <c r="BA67" s="1660"/>
      <c r="BB67" s="1660"/>
      <c r="BC67" s="1660"/>
      <c r="BD67" s="1660"/>
      <c r="BE67" s="1660"/>
      <c r="BF67" s="1660"/>
      <c r="BG67" s="1660"/>
      <c r="BH67" s="1660"/>
      <c r="BI67" s="1660"/>
      <c r="BJ67" s="1660"/>
      <c r="BK67" s="1660"/>
      <c r="BL67" s="1660"/>
      <c r="BM67" s="1660"/>
      <c r="BN67" s="1660"/>
      <c r="BO67" s="1660"/>
      <c r="BP67" s="1660"/>
      <c r="BQ67" s="1660"/>
      <c r="BR67" s="1660"/>
      <c r="BS67" s="1660"/>
      <c r="BT67" s="1660"/>
      <c r="BU67" s="1660"/>
      <c r="BV67" s="1660"/>
      <c r="BW67" s="1660"/>
      <c r="BX67" s="1660"/>
      <c r="BY67" s="1660"/>
      <c r="BZ67" s="1660"/>
      <c r="CA67" s="1660"/>
      <c r="CB67" s="1660"/>
      <c r="CC67" s="1660"/>
      <c r="CD67" s="1660"/>
      <c r="CE67" s="1660"/>
      <c r="CF67" s="1340"/>
    </row>
    <row customHeight="1" ht="15" hidden="1">
      <c r="A68" s="647" t="s">
        <v>191</v>
      </c>
      <c r="B68" s="648"/>
      <c r="C68" s="648" t="s">
        <v>22</v>
      </c>
      <c r="D68" s="2602" t="s">
        <v>704</v>
      </c>
      <c r="E68" s="2401" t="s">
        <v>166</v>
      </c>
      <c r="F68" s="2402"/>
      <c r="G68" s="2403"/>
      <c r="H68" s="2407" t="str">
        <f>IF(A68="","",INDEX(DIFFERENTIATION_UNMERGE_VD,MATCH(A68,DIFFERENTIATION_ID_DIFF,0)))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68" s="2407"/>
      <c r="J68" s="2407"/>
      <c r="K68" s="2407"/>
      <c r="L68" s="2407"/>
      <c r="M68" s="2407"/>
      <c r="N68" s="2407"/>
      <c r="O68" s="2407"/>
      <c r="P68" s="2407"/>
      <c r="Q68" s="2407"/>
      <c r="R68" s="2407"/>
      <c r="S68" s="743"/>
      <c r="T68" s="740"/>
      <c r="U68" s="649"/>
      <c r="V68" s="649"/>
      <c r="W68" s="650"/>
      <c r="X68" s="650"/>
      <c r="Y68" s="650"/>
      <c r="Z68" s="650"/>
      <c r="AA68" s="651"/>
      <c r="AB68" s="652"/>
      <c r="AC68" s="2399"/>
      <c r="AD68" s="653"/>
      <c r="AE68" s="654" t="s">
        <v>22</v>
      </c>
      <c r="AF68" s="654"/>
      <c r="AG68" s="655" t="s">
        <v>693</v>
      </c>
      <c r="AH68" s="656">
        <v>3</v>
      </c>
      <c r="AI68" s="649"/>
      <c r="AJ68" s="649"/>
      <c r="AK68" s="649"/>
      <c r="AL68" s="649"/>
      <c r="AM68" s="649"/>
      <c r="AN68" s="649"/>
      <c r="AO68" s="649"/>
      <c r="AP68" s="649"/>
      <c r="AQ68" s="649"/>
      <c r="AR68" s="649"/>
      <c r="AS68" s="649"/>
      <c r="AT68" s="649"/>
      <c r="AU68" s="649"/>
      <c r="AV68" s="649"/>
      <c r="AW68" s="649"/>
      <c r="AX68" s="649"/>
      <c r="AY68" s="649"/>
      <c r="AZ68" s="649"/>
      <c r="BA68" s="649"/>
      <c r="BB68" s="649"/>
      <c r="BC68" s="649"/>
      <c r="BD68" s="649"/>
      <c r="BE68" s="649"/>
      <c r="BF68" s="649"/>
      <c r="BG68" s="649"/>
      <c r="BH68" s="649"/>
      <c r="BI68" s="649"/>
      <c r="BJ68" s="649"/>
      <c r="BK68" s="649"/>
      <c r="BL68" s="649"/>
      <c r="BM68" s="649"/>
      <c r="BN68" s="649"/>
      <c r="BO68" s="649"/>
      <c r="BP68" s="649"/>
      <c r="BQ68" s="649"/>
      <c r="BR68" s="649"/>
      <c r="BS68" s="649"/>
      <c r="BT68" s="649"/>
      <c r="BU68" s="649"/>
      <c r="BV68" s="650"/>
      <c r="BW68" s="650"/>
      <c r="BX68" s="650"/>
      <c r="BY68" s="650"/>
      <c r="BZ68" s="650"/>
      <c r="CA68" s="650"/>
      <c r="CB68" s="650"/>
      <c r="CC68" s="650"/>
      <c r="CD68" s="650"/>
      <c r="CE68" s="650"/>
      <c r="CF68" s="1874"/>
    </row>
    <row customHeight="1" ht="15" hidden="1">
      <c r="A69" s="647"/>
      <c r="B69" s="648"/>
      <c r="C69" s="648"/>
      <c r="D69" s="2603"/>
      <c r="E69" s="2401" t="s">
        <v>648</v>
      </c>
      <c r="F69" s="2402"/>
      <c r="G69" s="2403"/>
      <c r="H69" s="2407" t="str">
        <f>IF(A68="","",INDEX(DIFFERENTIATION_UNMERGE_AREA,MATCH(A68,DIFFERENTIATION_ID_DIFF,0)))</f>
        <v>Территория 3</v>
      </c>
      <c r="I69" s="2407"/>
      <c r="J69" s="2407"/>
      <c r="K69" s="2407"/>
      <c r="L69" s="2407"/>
      <c r="M69" s="2407"/>
      <c r="N69" s="2407"/>
      <c r="O69" s="2407"/>
      <c r="P69" s="2407"/>
      <c r="Q69" s="2407"/>
      <c r="R69" s="2407"/>
      <c r="S69" s="743"/>
      <c r="T69" s="740"/>
      <c r="U69" s="649"/>
      <c r="V69" s="649"/>
      <c r="W69" s="650"/>
      <c r="X69" s="650"/>
      <c r="Y69" s="650"/>
      <c r="Z69" s="650"/>
      <c r="AA69" s="651"/>
      <c r="AB69" s="652"/>
      <c r="AC69" s="2399"/>
      <c r="AD69" s="653"/>
      <c r="AE69" s="654"/>
      <c r="AF69" s="654"/>
      <c r="AG69" s="655"/>
      <c r="AH69" s="656"/>
      <c r="AI69" s="649"/>
      <c r="AJ69" s="649"/>
      <c r="AK69" s="649"/>
      <c r="AL69" s="649"/>
      <c r="AM69" s="649"/>
      <c r="AN69" s="649"/>
      <c r="AO69" s="649"/>
      <c r="AP69" s="649"/>
      <c r="AQ69" s="649"/>
      <c r="AR69" s="649"/>
      <c r="AS69" s="649"/>
      <c r="AT69" s="649"/>
      <c r="AU69" s="649"/>
      <c r="AV69" s="649"/>
      <c r="AW69" s="649"/>
      <c r="AX69" s="649"/>
      <c r="AY69" s="649"/>
      <c r="AZ69" s="649"/>
      <c r="BA69" s="649"/>
      <c r="BB69" s="649"/>
      <c r="BC69" s="649"/>
      <c r="BD69" s="649"/>
      <c r="BE69" s="649"/>
      <c r="BF69" s="649"/>
      <c r="BG69" s="649"/>
      <c r="BH69" s="649"/>
      <c r="BI69" s="649"/>
      <c r="BJ69" s="649"/>
      <c r="BK69" s="649"/>
      <c r="BL69" s="649"/>
      <c r="BM69" s="649"/>
      <c r="BN69" s="649"/>
      <c r="BO69" s="649"/>
      <c r="BP69" s="649"/>
      <c r="BQ69" s="649"/>
      <c r="BR69" s="649"/>
      <c r="BS69" s="649"/>
      <c r="BT69" s="649"/>
      <c r="BU69" s="649"/>
      <c r="BV69" s="650"/>
      <c r="BW69" s="650"/>
      <c r="BX69" s="650"/>
      <c r="BY69" s="650"/>
      <c r="BZ69" s="650"/>
      <c r="CA69" s="650"/>
      <c r="CB69" s="650"/>
      <c r="CC69" s="650"/>
      <c r="CD69" s="650"/>
      <c r="CE69" s="650"/>
      <c r="CF69" s="1874"/>
    </row>
    <row customHeight="1" ht="15" hidden="1">
      <c r="A70" s="647"/>
      <c r="B70" s="648"/>
      <c r="C70" s="648"/>
      <c r="D70" s="2603"/>
      <c r="E70" s="2401" t="s">
        <v>649</v>
      </c>
      <c r="F70" s="2402"/>
      <c r="G70" s="2403"/>
      <c r="H70" s="2407" t="str">
        <f>IF(A68="","",INDEX(DIFFERENTIATION_UNMERGE_SYSTEM,MATCH(A68,DIFFERENTIATION_ID_DIFF,0)))</f>
        <v>ВК "Дземги" (г. Комсомольск)</v>
      </c>
      <c r="I70" s="2407"/>
      <c r="J70" s="2407"/>
      <c r="K70" s="2407"/>
      <c r="L70" s="2407"/>
      <c r="M70" s="2407"/>
      <c r="N70" s="2407"/>
      <c r="O70" s="2407"/>
      <c r="P70" s="2407"/>
      <c r="Q70" s="2407"/>
      <c r="R70" s="2407"/>
      <c r="S70" s="743"/>
      <c r="T70" s="740"/>
      <c r="U70" s="649"/>
      <c r="V70" s="649"/>
      <c r="W70" s="650"/>
      <c r="X70" s="650"/>
      <c r="Y70" s="650"/>
      <c r="Z70" s="650"/>
      <c r="AA70" s="651"/>
      <c r="AB70" s="652"/>
      <c r="AC70" s="2399"/>
      <c r="AD70" s="653"/>
      <c r="AE70" s="654"/>
      <c r="AF70" s="654"/>
      <c r="AG70" s="655"/>
      <c r="AH70" s="656"/>
      <c r="AI70" s="649"/>
      <c r="AJ70" s="649"/>
      <c r="AK70" s="649"/>
      <c r="AL70" s="649"/>
      <c r="AM70" s="649"/>
      <c r="AN70" s="649"/>
      <c r="AO70" s="649"/>
      <c r="AP70" s="649"/>
      <c r="AQ70" s="649"/>
      <c r="AR70" s="649"/>
      <c r="AS70" s="649"/>
      <c r="AT70" s="649"/>
      <c r="AU70" s="649"/>
      <c r="AV70" s="649"/>
      <c r="AW70" s="649"/>
      <c r="AX70" s="649"/>
      <c r="AY70" s="649"/>
      <c r="AZ70" s="649"/>
      <c r="BA70" s="649"/>
      <c r="BB70" s="649"/>
      <c r="BC70" s="649"/>
      <c r="BD70" s="649"/>
      <c r="BE70" s="649"/>
      <c r="BF70" s="649"/>
      <c r="BG70" s="649"/>
      <c r="BH70" s="649"/>
      <c r="BI70" s="649"/>
      <c r="BJ70" s="649"/>
      <c r="BK70" s="649"/>
      <c r="BL70" s="649"/>
      <c r="BM70" s="649"/>
      <c r="BN70" s="649"/>
      <c r="BO70" s="649"/>
      <c r="BP70" s="649"/>
      <c r="BQ70" s="649"/>
      <c r="BR70" s="649"/>
      <c r="BS70" s="649"/>
      <c r="BT70" s="649"/>
      <c r="BU70" s="649"/>
      <c r="BV70" s="650"/>
      <c r="BW70" s="650"/>
      <c r="BX70" s="650"/>
      <c r="BY70" s="650"/>
      <c r="BZ70" s="650"/>
      <c r="CA70" s="650"/>
      <c r="CB70" s="650"/>
      <c r="CC70" s="650"/>
      <c r="CD70" s="650"/>
      <c r="CE70" s="650"/>
      <c r="CF70" s="1874"/>
    </row>
    <row customHeight="1" ht="24.75" hidden="1">
      <c r="A71" s="1830"/>
      <c r="B71" s="1184"/>
      <c r="C71" s="436"/>
      <c r="D71" s="2603"/>
      <c r="E71" s="2400" t="s">
        <v>694</v>
      </c>
      <c r="F71" s="2400"/>
      <c r="G71" s="2400"/>
      <c r="H71" s="2400"/>
      <c r="I71" s="2400"/>
      <c r="J71" s="2400"/>
      <c r="K71" s="2400"/>
      <c r="L71" s="2400"/>
      <c r="M71" s="2400"/>
      <c r="N71" s="2400"/>
      <c r="O71" s="2400"/>
      <c r="P71" s="2400"/>
      <c r="Q71" s="582">
        <f>SUMIF(T72:T73,"i",Q72:Q73)</f>
        <v>0</v>
      </c>
      <c r="R71" s="1041"/>
      <c r="S71" s="1822" t="s">
        <v>695</v>
      </c>
      <c r="T71" s="741" t="s">
        <v>696</v>
      </c>
      <c r="U71" s="2398">
        <v>1</v>
      </c>
      <c r="V71" s="2398" t="s">
        <v>659</v>
      </c>
      <c r="W71" s="1184"/>
      <c r="X71" s="1184"/>
      <c r="Y71" s="1184"/>
      <c r="Z71" s="1184"/>
      <c r="AA71" s="1660"/>
      <c r="AB71" s="1184"/>
      <c r="AC71" s="2399"/>
      <c r="AD71" s="653"/>
      <c r="AE71" s="1184"/>
      <c r="AF71" s="1184"/>
      <c r="AG71" s="1660"/>
      <c r="AH71" s="1660"/>
      <c r="AI71" s="1660"/>
      <c r="AJ71" s="1660"/>
      <c r="AK71" s="1660"/>
      <c r="AL71" s="1660"/>
      <c r="AM71" s="1660"/>
      <c r="AN71" s="1660"/>
      <c r="AO71" s="1660"/>
      <c r="AP71" s="1660"/>
      <c r="AQ71" s="1660"/>
      <c r="AR71" s="1660"/>
      <c r="AS71" s="1660"/>
      <c r="AT71" s="1660"/>
      <c r="AU71" s="1660"/>
      <c r="AV71" s="1660"/>
      <c r="AW71" s="1660"/>
      <c r="AX71" s="1660"/>
      <c r="AY71" s="1660"/>
      <c r="AZ71" s="1660"/>
      <c r="BA71" s="1660"/>
      <c r="BB71" s="1660"/>
      <c r="BC71" s="1660"/>
      <c r="BD71" s="1660"/>
      <c r="BE71" s="1660"/>
      <c r="BF71" s="1660"/>
      <c r="BG71" s="1660"/>
      <c r="BH71" s="1660"/>
      <c r="BI71" s="1660"/>
      <c r="BJ71" s="1660"/>
      <c r="BK71" s="1660"/>
      <c r="BL71" s="1660"/>
      <c r="BM71" s="1660"/>
      <c r="BN71" s="1660"/>
      <c r="BO71" s="1660"/>
      <c r="BP71" s="1660"/>
      <c r="BQ71" s="1660"/>
      <c r="BR71" s="1660"/>
      <c r="BS71" s="1660"/>
      <c r="BT71" s="1660"/>
      <c r="BU71" s="1660"/>
      <c r="BV71" s="1184"/>
      <c r="BW71" s="1184"/>
      <c r="BX71" s="1184"/>
      <c r="BY71" s="1184"/>
      <c r="BZ71" s="1184"/>
      <c r="CA71" s="1184"/>
      <c r="CB71" s="1184"/>
      <c r="CC71" s="1184"/>
      <c r="CD71" s="1184"/>
      <c r="CE71" s="1184"/>
      <c r="CF71" s="1874"/>
    </row>
    <row customHeight="1" ht="11.25" hidden="1">
      <c r="A72" s="1817"/>
      <c r="B72" s="1660"/>
      <c r="C72" s="1660"/>
      <c r="D72" s="2603"/>
      <c r="E72" s="659"/>
      <c r="F72" s="659">
        <v>0</v>
      </c>
      <c r="G72" s="659"/>
      <c r="H72" s="659"/>
      <c r="I72" s="659"/>
      <c r="J72" s="659"/>
      <c r="K72" s="659"/>
      <c r="L72" s="659"/>
      <c r="M72" s="659"/>
      <c r="N72" s="659"/>
      <c r="O72" s="659"/>
      <c r="P72" s="659"/>
      <c r="Q72" s="659"/>
      <c r="R72" s="659"/>
      <c r="S72" s="660"/>
      <c r="T72" s="742"/>
      <c r="U72" s="2398"/>
      <c r="V72" s="2398"/>
      <c r="W72" s="1660"/>
      <c r="X72" s="1660"/>
      <c r="Y72" s="1660"/>
      <c r="Z72" s="1660"/>
      <c r="AA72" s="1660"/>
      <c r="AB72" s="1184"/>
      <c r="AC72" s="2399"/>
      <c r="AD72" s="653"/>
      <c r="AE72" s="1184"/>
      <c r="AF72" s="1184"/>
      <c r="AG72" s="1660"/>
      <c r="AH72" s="1660"/>
      <c r="AI72" s="1660"/>
      <c r="AJ72" s="1660"/>
      <c r="AK72" s="1660"/>
      <c r="AL72" s="1660"/>
      <c r="AM72" s="1660"/>
      <c r="AN72" s="1660"/>
      <c r="AO72" s="1660"/>
      <c r="AP72" s="1660"/>
      <c r="AQ72" s="1660"/>
      <c r="AR72" s="1660"/>
      <c r="AS72" s="1660"/>
      <c r="AT72" s="1660"/>
      <c r="AU72" s="1660"/>
      <c r="AV72" s="1660"/>
      <c r="AW72" s="1660"/>
      <c r="AX72" s="1660"/>
      <c r="AY72" s="1660"/>
      <c r="AZ72" s="1660"/>
      <c r="BA72" s="1660"/>
      <c r="BB72" s="1660"/>
      <c r="BC72" s="1660"/>
      <c r="BD72" s="1660"/>
      <c r="BE72" s="1660"/>
      <c r="BF72" s="1660"/>
      <c r="BG72" s="1660"/>
      <c r="BH72" s="1660"/>
      <c r="BI72" s="1660"/>
      <c r="BJ72" s="1660"/>
      <c r="BK72" s="1660"/>
      <c r="BL72" s="1660"/>
      <c r="BM72" s="1660"/>
      <c r="BN72" s="1660"/>
      <c r="BO72" s="1660"/>
      <c r="BP72" s="1660"/>
      <c r="BQ72" s="1660"/>
      <c r="BR72" s="1660"/>
      <c r="BS72" s="1660"/>
      <c r="BT72" s="1660"/>
      <c r="BU72" s="1660"/>
      <c r="BV72" s="1660"/>
      <c r="BW72" s="1660"/>
      <c r="BX72" s="1660"/>
      <c r="BY72" s="1660"/>
      <c r="BZ72" s="1660"/>
      <c r="CA72" s="1660"/>
      <c r="CB72" s="1660"/>
      <c r="CC72" s="1660"/>
      <c r="CD72" s="1660"/>
      <c r="CE72" s="1660"/>
      <c r="CF72" s="1874"/>
    </row>
    <row customHeight="1" ht="11.25" hidden="1">
      <c r="A73" s="1830"/>
      <c r="B73" s="1184"/>
      <c r="C73" s="436"/>
      <c r="D73" s="2603"/>
      <c r="E73" s="673" t="s">
        <v>22</v>
      </c>
      <c r="F73" s="1192" t="s">
        <v>22</v>
      </c>
      <c r="G73" s="1192" t="s">
        <v>699</v>
      </c>
      <c r="H73" s="675" t="s">
        <v>22</v>
      </c>
      <c r="I73" s="675"/>
      <c r="J73" s="675"/>
      <c r="K73" s="675"/>
      <c r="L73" s="675"/>
      <c r="M73" s="675"/>
      <c r="N73" s="675"/>
      <c r="O73" s="675"/>
      <c r="P73" s="675"/>
      <c r="Q73" s="675"/>
      <c r="R73" s="676"/>
      <c r="S73" s="677"/>
      <c r="T73" s="742"/>
      <c r="U73" s="2398"/>
      <c r="V73" s="2398"/>
      <c r="W73" s="1184"/>
      <c r="X73" s="1184"/>
      <c r="Y73" s="1184"/>
      <c r="Z73" s="1184"/>
      <c r="AA73" s="1660"/>
      <c r="AB73" s="1184"/>
      <c r="AC73" s="2399"/>
      <c r="AD73" s="653"/>
      <c r="AE73" s="1184"/>
      <c r="AF73" s="1184"/>
      <c r="AG73" s="1660"/>
      <c r="AH73" s="1660"/>
      <c r="AI73" s="1660"/>
      <c r="AJ73" s="1660"/>
      <c r="AK73" s="1660"/>
      <c r="AL73" s="1660"/>
      <c r="AM73" s="1660"/>
      <c r="AN73" s="1660"/>
      <c r="AO73" s="1660"/>
      <c r="AP73" s="1660"/>
      <c r="AQ73" s="1660"/>
      <c r="AR73" s="1660"/>
      <c r="AS73" s="1660"/>
      <c r="AT73" s="1660"/>
      <c r="AU73" s="1660"/>
      <c r="AV73" s="1660"/>
      <c r="AW73" s="1660"/>
      <c r="AX73" s="1660"/>
      <c r="AY73" s="1660"/>
      <c r="AZ73" s="1660"/>
      <c r="BA73" s="1660"/>
      <c r="BB73" s="1660"/>
      <c r="BC73" s="1660"/>
      <c r="BD73" s="1660"/>
      <c r="BE73" s="1660"/>
      <c r="BF73" s="1660"/>
      <c r="BG73" s="1660"/>
      <c r="BH73" s="1660"/>
      <c r="BI73" s="1660"/>
      <c r="BJ73" s="1660"/>
      <c r="BK73" s="1660"/>
      <c r="BL73" s="1660"/>
      <c r="BM73" s="1660"/>
      <c r="BN73" s="1660"/>
      <c r="BO73" s="1660"/>
      <c r="BP73" s="1660"/>
      <c r="BQ73" s="1660"/>
      <c r="BR73" s="1660"/>
      <c r="BS73" s="1660"/>
      <c r="BT73" s="1660"/>
      <c r="BU73" s="1660"/>
      <c r="BV73" s="1184"/>
      <c r="BW73" s="1184"/>
      <c r="BX73" s="1184"/>
      <c r="BY73" s="1184"/>
      <c r="BZ73" s="1184"/>
      <c r="CA73" s="1184"/>
      <c r="CB73" s="1184"/>
      <c r="CC73" s="1184"/>
      <c r="CD73" s="1184"/>
      <c r="CE73" s="1184"/>
      <c r="CF73" s="1874"/>
    </row>
    <row customHeight="1" ht="5.25" hidden="1">
      <c r="A74" s="1817"/>
      <c r="B74" s="1660"/>
      <c r="C74" s="1660"/>
      <c r="D74" s="2603"/>
      <c r="E74" s="1063"/>
      <c r="F74" s="1063"/>
      <c r="G74" s="1063"/>
      <c r="H74" s="1063"/>
      <c r="I74" s="1063"/>
      <c r="J74" s="1063"/>
      <c r="K74" s="1063"/>
      <c r="L74" s="1063"/>
      <c r="M74" s="1063"/>
      <c r="N74" s="1063"/>
      <c r="O74" s="1063"/>
      <c r="P74" s="1063"/>
      <c r="Q74" s="1064"/>
      <c r="R74" s="1065"/>
      <c r="S74" s="1066"/>
      <c r="T74" s="741" t="s">
        <v>696</v>
      </c>
      <c r="U74" s="2398">
        <v>1</v>
      </c>
      <c r="V74" s="2398" t="s">
        <v>659</v>
      </c>
      <c r="W74" s="1660"/>
      <c r="X74" s="1660"/>
      <c r="Y74" s="1660"/>
      <c r="Z74" s="1660"/>
      <c r="AA74" s="1660"/>
      <c r="AB74" s="1660"/>
      <c r="AC74" s="1061"/>
      <c r="AD74" s="1062"/>
      <c r="AE74" s="1660"/>
      <c r="AF74" s="1660"/>
      <c r="AG74" s="1660"/>
      <c r="AH74" s="1660"/>
      <c r="AI74" s="1660"/>
      <c r="AJ74" s="1660"/>
      <c r="AK74" s="1660"/>
      <c r="AL74" s="1660"/>
      <c r="AM74" s="1660"/>
      <c r="AN74" s="1660"/>
      <c r="AO74" s="1660"/>
      <c r="AP74" s="1660"/>
      <c r="AQ74" s="1660"/>
      <c r="AR74" s="1660"/>
      <c r="AS74" s="1660"/>
      <c r="AT74" s="1660"/>
      <c r="AU74" s="1660"/>
      <c r="AV74" s="1660"/>
      <c r="AW74" s="1660"/>
      <c r="AX74" s="1660"/>
      <c r="AY74" s="1660"/>
      <c r="AZ74" s="1660"/>
      <c r="BA74" s="1660"/>
      <c r="BB74" s="1660"/>
      <c r="BC74" s="1660"/>
      <c r="BD74" s="1660"/>
      <c r="BE74" s="1660"/>
      <c r="BF74" s="1660"/>
      <c r="BG74" s="1660"/>
      <c r="BH74" s="1660"/>
      <c r="BI74" s="1660"/>
      <c r="BJ74" s="1660"/>
      <c r="BK74" s="1660"/>
      <c r="BL74" s="1660"/>
      <c r="BM74" s="1660"/>
      <c r="BN74" s="1660"/>
      <c r="BO74" s="1660"/>
      <c r="BP74" s="1660"/>
      <c r="BQ74" s="1660"/>
      <c r="BR74" s="1660"/>
      <c r="BS74" s="1660"/>
      <c r="BT74" s="1660"/>
      <c r="BU74" s="1660"/>
      <c r="BV74" s="1660"/>
      <c r="BW74" s="1660"/>
      <c r="BX74" s="1660"/>
      <c r="BY74" s="1660"/>
      <c r="BZ74" s="1660"/>
      <c r="CA74" s="1660"/>
      <c r="CB74" s="1660"/>
      <c r="CC74" s="1660"/>
      <c r="CD74" s="1660"/>
      <c r="CE74" s="1660"/>
      <c r="CF74" s="1340"/>
    </row>
    <row customHeight="1" ht="5.25" hidden="1">
      <c r="A75" s="1817"/>
      <c r="B75" s="1660"/>
      <c r="C75" s="1660"/>
      <c r="D75" s="2603"/>
      <c r="E75" s="659"/>
      <c r="F75" s="659"/>
      <c r="G75" s="659"/>
      <c r="H75" s="659"/>
      <c r="I75" s="659"/>
      <c r="J75" s="659"/>
      <c r="K75" s="659"/>
      <c r="L75" s="659"/>
      <c r="M75" s="659"/>
      <c r="N75" s="659"/>
      <c r="O75" s="659"/>
      <c r="P75" s="659"/>
      <c r="Q75" s="659"/>
      <c r="R75" s="659"/>
      <c r="S75" s="660"/>
      <c r="T75" s="742"/>
      <c r="U75" s="2398"/>
      <c r="V75" s="2398"/>
      <c r="W75" s="1660"/>
      <c r="X75" s="1660"/>
      <c r="Y75" s="1660"/>
      <c r="Z75" s="1660"/>
      <c r="AA75" s="1660"/>
      <c r="AB75" s="1660"/>
      <c r="AC75" s="1061"/>
      <c r="AD75" s="1062"/>
      <c r="AE75" s="1660"/>
      <c r="AF75" s="1660"/>
      <c r="AG75" s="1660"/>
      <c r="AH75" s="1660"/>
      <c r="AI75" s="1660"/>
      <c r="AJ75" s="1660"/>
      <c r="AK75" s="1660"/>
      <c r="AL75" s="1660"/>
      <c r="AM75" s="1660"/>
      <c r="AN75" s="1660"/>
      <c r="AO75" s="1660"/>
      <c r="AP75" s="1660"/>
      <c r="AQ75" s="1660"/>
      <c r="AR75" s="1660"/>
      <c r="AS75" s="1660"/>
      <c r="AT75" s="1660"/>
      <c r="AU75" s="1660"/>
      <c r="AV75" s="1660"/>
      <c r="AW75" s="1660"/>
      <c r="AX75" s="1660"/>
      <c r="AY75" s="1660"/>
      <c r="AZ75" s="1660"/>
      <c r="BA75" s="1660"/>
      <c r="BB75" s="1660"/>
      <c r="BC75" s="1660"/>
      <c r="BD75" s="1660"/>
      <c r="BE75" s="1660"/>
      <c r="BF75" s="1660"/>
      <c r="BG75" s="1660"/>
      <c r="BH75" s="1660"/>
      <c r="BI75" s="1660"/>
      <c r="BJ75" s="1660"/>
      <c r="BK75" s="1660"/>
      <c r="BL75" s="1660"/>
      <c r="BM75" s="1660"/>
      <c r="BN75" s="1660"/>
      <c r="BO75" s="1660"/>
      <c r="BP75" s="1660"/>
      <c r="BQ75" s="1660"/>
      <c r="BR75" s="1660"/>
      <c r="BS75" s="1660"/>
      <c r="BT75" s="1660"/>
      <c r="BU75" s="1660"/>
      <c r="BV75" s="1660"/>
      <c r="BW75" s="1660"/>
      <c r="BX75" s="1660"/>
      <c r="BY75" s="1660"/>
      <c r="BZ75" s="1660"/>
      <c r="CA75" s="1660"/>
      <c r="CB75" s="1660"/>
      <c r="CC75" s="1660"/>
      <c r="CD75" s="1660"/>
      <c r="CE75" s="1660"/>
      <c r="CF75" s="1340"/>
    </row>
    <row customHeight="1" ht="5.25" hidden="1">
      <c r="A76" s="1817"/>
      <c r="B76" s="1660"/>
      <c r="C76" s="1660"/>
      <c r="D76" s="2604"/>
      <c r="E76" s="1067"/>
      <c r="F76" s="1068"/>
      <c r="G76" s="1068"/>
      <c r="H76" s="1069"/>
      <c r="I76" s="1069"/>
      <c r="J76" s="1069"/>
      <c r="K76" s="1069"/>
      <c r="L76" s="1069"/>
      <c r="M76" s="1069"/>
      <c r="N76" s="1069"/>
      <c r="O76" s="1069"/>
      <c r="P76" s="1069"/>
      <c r="Q76" s="1069"/>
      <c r="R76" s="970"/>
      <c r="S76" s="1070"/>
      <c r="T76" s="742"/>
      <c r="U76" s="2398"/>
      <c r="V76" s="2398"/>
      <c r="W76" s="1660"/>
      <c r="X76" s="1660"/>
      <c r="Y76" s="1660"/>
      <c r="Z76" s="1660"/>
      <c r="AA76" s="1660"/>
      <c r="AB76" s="1660"/>
      <c r="AC76" s="1061"/>
      <c r="AD76" s="1062"/>
      <c r="AE76" s="1660"/>
      <c r="AF76" s="1660"/>
      <c r="AG76" s="1660"/>
      <c r="AH76" s="1660"/>
      <c r="AI76" s="1660"/>
      <c r="AJ76" s="1660"/>
      <c r="AK76" s="1660"/>
      <c r="AL76" s="1660"/>
      <c r="AM76" s="1660"/>
      <c r="AN76" s="1660"/>
      <c r="AO76" s="1660"/>
      <c r="AP76" s="1660"/>
      <c r="AQ76" s="1660"/>
      <c r="AR76" s="1660"/>
      <c r="AS76" s="1660"/>
      <c r="AT76" s="1660"/>
      <c r="AU76" s="1660"/>
      <c r="AV76" s="1660"/>
      <c r="AW76" s="1660"/>
      <c r="AX76" s="1660"/>
      <c r="AY76" s="1660"/>
      <c r="AZ76" s="1660"/>
      <c r="BA76" s="1660"/>
      <c r="BB76" s="1660"/>
      <c r="BC76" s="1660"/>
      <c r="BD76" s="1660"/>
      <c r="BE76" s="1660"/>
      <c r="BF76" s="1660"/>
      <c r="BG76" s="1660"/>
      <c r="BH76" s="1660"/>
      <c r="BI76" s="1660"/>
      <c r="BJ76" s="1660"/>
      <c r="BK76" s="1660"/>
      <c r="BL76" s="1660"/>
      <c r="BM76" s="1660"/>
      <c r="BN76" s="1660"/>
      <c r="BO76" s="1660"/>
      <c r="BP76" s="1660"/>
      <c r="BQ76" s="1660"/>
      <c r="BR76" s="1660"/>
      <c r="BS76" s="1660"/>
      <c r="BT76" s="1660"/>
      <c r="BU76" s="1660"/>
      <c r="BV76" s="1660"/>
      <c r="BW76" s="1660"/>
      <c r="BX76" s="1660"/>
      <c r="BY76" s="1660"/>
      <c r="BZ76" s="1660"/>
      <c r="CA76" s="1660"/>
      <c r="CB76" s="1660"/>
      <c r="CC76" s="1660"/>
      <c r="CD76" s="1660"/>
      <c r="CE76" s="1660"/>
      <c r="CF76" s="1340"/>
    </row>
    <row customHeight="1" ht="15" hidden="1">
      <c r="A77" s="647" t="s">
        <v>193</v>
      </c>
      <c r="B77" s="648"/>
      <c r="C77" s="648" t="s">
        <v>22</v>
      </c>
      <c r="D77" s="2602" t="s">
        <v>705</v>
      </c>
      <c r="E77" s="2401" t="s">
        <v>166</v>
      </c>
      <c r="F77" s="2402"/>
      <c r="G77" s="2403"/>
      <c r="H77" s="2407" t="str">
        <f>IF(A77="","",INDEX(DIFFERENTIATION_UNMERGE_VD,MATCH(A77,DIFFERENTIATION_ID_DIFF,0)))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77" s="2407"/>
      <c r="J77" s="2407"/>
      <c r="K77" s="2407"/>
      <c r="L77" s="2407"/>
      <c r="M77" s="2407"/>
      <c r="N77" s="2407"/>
      <c r="O77" s="2407"/>
      <c r="P77" s="2407"/>
      <c r="Q77" s="2407"/>
      <c r="R77" s="2407"/>
      <c r="S77" s="743"/>
      <c r="T77" s="740"/>
      <c r="U77" s="649"/>
      <c r="V77" s="649"/>
      <c r="W77" s="650"/>
      <c r="X77" s="650"/>
      <c r="Y77" s="650"/>
      <c r="Z77" s="650"/>
      <c r="AA77" s="651"/>
      <c r="AB77" s="652"/>
      <c r="AC77" s="2399"/>
      <c r="AD77" s="653"/>
      <c r="AE77" s="654" t="s">
        <v>22</v>
      </c>
      <c r="AF77" s="654"/>
      <c r="AG77" s="655" t="s">
        <v>693</v>
      </c>
      <c r="AH77" s="656">
        <v>3</v>
      </c>
      <c r="AI77" s="649"/>
      <c r="AJ77" s="649"/>
      <c r="AK77" s="649"/>
      <c r="AL77" s="649"/>
      <c r="AM77" s="649"/>
      <c r="AN77" s="649"/>
      <c r="AO77" s="649"/>
      <c r="AP77" s="649"/>
      <c r="AQ77" s="649"/>
      <c r="AR77" s="649"/>
      <c r="AS77" s="649"/>
      <c r="AT77" s="649"/>
      <c r="AU77" s="649"/>
      <c r="AV77" s="649"/>
      <c r="AW77" s="649"/>
      <c r="AX77" s="649"/>
      <c r="AY77" s="649"/>
      <c r="AZ77" s="649"/>
      <c r="BA77" s="649"/>
      <c r="BB77" s="649"/>
      <c r="BC77" s="649"/>
      <c r="BD77" s="649"/>
      <c r="BE77" s="649"/>
      <c r="BF77" s="649"/>
      <c r="BG77" s="649"/>
      <c r="BH77" s="649"/>
      <c r="BI77" s="649"/>
      <c r="BJ77" s="649"/>
      <c r="BK77" s="649"/>
      <c r="BL77" s="649"/>
      <c r="BM77" s="649"/>
      <c r="BN77" s="649"/>
      <c r="BO77" s="649"/>
      <c r="BP77" s="649"/>
      <c r="BQ77" s="649"/>
      <c r="BR77" s="649"/>
      <c r="BS77" s="649"/>
      <c r="BT77" s="649"/>
      <c r="BU77" s="649"/>
      <c r="BV77" s="650"/>
      <c r="BW77" s="650"/>
      <c r="BX77" s="650"/>
      <c r="BY77" s="650"/>
      <c r="BZ77" s="650"/>
      <c r="CA77" s="650"/>
      <c r="CB77" s="650"/>
      <c r="CC77" s="650"/>
      <c r="CD77" s="650"/>
      <c r="CE77" s="650"/>
      <c r="CF77" s="1874"/>
    </row>
    <row customHeight="1" ht="15" hidden="1">
      <c r="A78" s="647"/>
      <c r="B78" s="648"/>
      <c r="C78" s="648"/>
      <c r="D78" s="2603"/>
      <c r="E78" s="2401" t="s">
        <v>648</v>
      </c>
      <c r="F78" s="2402"/>
      <c r="G78" s="2403"/>
      <c r="H78" s="2407" t="str">
        <f>IF(A77="","",INDEX(DIFFERENTIATION_UNMERGE_AREA,MATCH(A77,DIFFERENTIATION_ID_DIFF,0)))</f>
        <v>Территория 4</v>
      </c>
      <c r="I78" s="2407"/>
      <c r="J78" s="2407"/>
      <c r="K78" s="2407"/>
      <c r="L78" s="2407"/>
      <c r="M78" s="2407"/>
      <c r="N78" s="2407"/>
      <c r="O78" s="2407"/>
      <c r="P78" s="2407"/>
      <c r="Q78" s="2407"/>
      <c r="R78" s="2407"/>
      <c r="S78" s="743"/>
      <c r="T78" s="740"/>
      <c r="U78" s="649"/>
      <c r="V78" s="649"/>
      <c r="W78" s="650"/>
      <c r="X78" s="650"/>
      <c r="Y78" s="650"/>
      <c r="Z78" s="650"/>
      <c r="AA78" s="651"/>
      <c r="AB78" s="652"/>
      <c r="AC78" s="2399"/>
      <c r="AD78" s="653"/>
      <c r="AE78" s="654"/>
      <c r="AF78" s="654"/>
      <c r="AG78" s="655"/>
      <c r="AH78" s="656"/>
      <c r="AI78" s="649"/>
      <c r="AJ78" s="649"/>
      <c r="AK78" s="649"/>
      <c r="AL78" s="649"/>
      <c r="AM78" s="649"/>
      <c r="AN78" s="649"/>
      <c r="AO78" s="649"/>
      <c r="AP78" s="649"/>
      <c r="AQ78" s="649"/>
      <c r="AR78" s="649"/>
      <c r="AS78" s="649"/>
      <c r="AT78" s="649"/>
      <c r="AU78" s="649"/>
      <c r="AV78" s="649"/>
      <c r="AW78" s="649"/>
      <c r="AX78" s="649"/>
      <c r="AY78" s="649"/>
      <c r="AZ78" s="649"/>
      <c r="BA78" s="649"/>
      <c r="BB78" s="649"/>
      <c r="BC78" s="649"/>
      <c r="BD78" s="649"/>
      <c r="BE78" s="649"/>
      <c r="BF78" s="649"/>
      <c r="BG78" s="649"/>
      <c r="BH78" s="649"/>
      <c r="BI78" s="649"/>
      <c r="BJ78" s="649"/>
      <c r="BK78" s="649"/>
      <c r="BL78" s="649"/>
      <c r="BM78" s="649"/>
      <c r="BN78" s="649"/>
      <c r="BO78" s="649"/>
      <c r="BP78" s="649"/>
      <c r="BQ78" s="649"/>
      <c r="BR78" s="649"/>
      <c r="BS78" s="649"/>
      <c r="BT78" s="649"/>
      <c r="BU78" s="649"/>
      <c r="BV78" s="650"/>
      <c r="BW78" s="650"/>
      <c r="BX78" s="650"/>
      <c r="BY78" s="650"/>
      <c r="BZ78" s="650"/>
      <c r="CA78" s="650"/>
      <c r="CB78" s="650"/>
      <c r="CC78" s="650"/>
      <c r="CD78" s="650"/>
      <c r="CE78" s="650"/>
      <c r="CF78" s="1874"/>
    </row>
    <row customHeight="1" ht="15" hidden="1">
      <c r="A79" s="647"/>
      <c r="B79" s="648"/>
      <c r="C79" s="648"/>
      <c r="D79" s="2603"/>
      <c r="E79" s="2401" t="s">
        <v>649</v>
      </c>
      <c r="F79" s="2402"/>
      <c r="G79" s="2403"/>
      <c r="H79" s="2407" t="str">
        <f>IF(A77="","",INDEX(DIFFERENTIATION_UNMERGE_SYSTEM,MATCH(A77,DIFFERENTIATION_ID_DIFF,0)))</f>
        <v>ТЭЦ в г. Советская Гавань</v>
      </c>
      <c r="I79" s="2407"/>
      <c r="J79" s="2407"/>
      <c r="K79" s="2407"/>
      <c r="L79" s="2407"/>
      <c r="M79" s="2407"/>
      <c r="N79" s="2407"/>
      <c r="O79" s="2407"/>
      <c r="P79" s="2407"/>
      <c r="Q79" s="2407"/>
      <c r="R79" s="2407"/>
      <c r="S79" s="743"/>
      <c r="T79" s="740"/>
      <c r="U79" s="649"/>
      <c r="V79" s="649"/>
      <c r="W79" s="650"/>
      <c r="X79" s="650"/>
      <c r="Y79" s="650"/>
      <c r="Z79" s="650"/>
      <c r="AA79" s="651"/>
      <c r="AB79" s="652"/>
      <c r="AC79" s="2399"/>
      <c r="AD79" s="653"/>
      <c r="AE79" s="654"/>
      <c r="AF79" s="654"/>
      <c r="AG79" s="655"/>
      <c r="AH79" s="656"/>
      <c r="AI79" s="649"/>
      <c r="AJ79" s="649"/>
      <c r="AK79" s="649"/>
      <c r="AL79" s="649"/>
      <c r="AM79" s="649"/>
      <c r="AN79" s="649"/>
      <c r="AO79" s="649"/>
      <c r="AP79" s="649"/>
      <c r="AQ79" s="649"/>
      <c r="AR79" s="649"/>
      <c r="AS79" s="649"/>
      <c r="AT79" s="649"/>
      <c r="AU79" s="649"/>
      <c r="AV79" s="649"/>
      <c r="AW79" s="649"/>
      <c r="AX79" s="649"/>
      <c r="AY79" s="649"/>
      <c r="AZ79" s="649"/>
      <c r="BA79" s="649"/>
      <c r="BB79" s="649"/>
      <c r="BC79" s="649"/>
      <c r="BD79" s="649"/>
      <c r="BE79" s="649"/>
      <c r="BF79" s="649"/>
      <c r="BG79" s="649"/>
      <c r="BH79" s="649"/>
      <c r="BI79" s="649"/>
      <c r="BJ79" s="649"/>
      <c r="BK79" s="649"/>
      <c r="BL79" s="649"/>
      <c r="BM79" s="649"/>
      <c r="BN79" s="649"/>
      <c r="BO79" s="649"/>
      <c r="BP79" s="649"/>
      <c r="BQ79" s="649"/>
      <c r="BR79" s="649"/>
      <c r="BS79" s="649"/>
      <c r="BT79" s="649"/>
      <c r="BU79" s="649"/>
      <c r="BV79" s="650"/>
      <c r="BW79" s="650"/>
      <c r="BX79" s="650"/>
      <c r="BY79" s="650"/>
      <c r="BZ79" s="650"/>
      <c r="CA79" s="650"/>
      <c r="CB79" s="650"/>
      <c r="CC79" s="650"/>
      <c r="CD79" s="650"/>
      <c r="CE79" s="650"/>
      <c r="CF79" s="1874"/>
    </row>
    <row customHeight="1" ht="24.75" hidden="1">
      <c r="A80" s="1830"/>
      <c r="B80" s="1184"/>
      <c r="C80" s="436"/>
      <c r="D80" s="2603"/>
      <c r="E80" s="2400" t="s">
        <v>694</v>
      </c>
      <c r="F80" s="2400"/>
      <c r="G80" s="2400"/>
      <c r="H80" s="2400"/>
      <c r="I80" s="2400"/>
      <c r="J80" s="2400"/>
      <c r="K80" s="2400"/>
      <c r="L80" s="2400"/>
      <c r="M80" s="2400"/>
      <c r="N80" s="2400"/>
      <c r="O80" s="2400"/>
      <c r="P80" s="2400"/>
      <c r="Q80" s="582">
        <f>SUMIF(T81:T82,"i",Q81:Q82)</f>
        <v>0</v>
      </c>
      <c r="R80" s="1041"/>
      <c r="S80" s="1822" t="s">
        <v>695</v>
      </c>
      <c r="T80" s="741" t="s">
        <v>696</v>
      </c>
      <c r="U80" s="2398">
        <v>1</v>
      </c>
      <c r="V80" s="2398" t="s">
        <v>659</v>
      </c>
      <c r="W80" s="1184"/>
      <c r="X80" s="1184"/>
      <c r="Y80" s="1184"/>
      <c r="Z80" s="1184"/>
      <c r="AA80" s="1660"/>
      <c r="AB80" s="1184"/>
      <c r="AC80" s="2399"/>
      <c r="AD80" s="653"/>
      <c r="AE80" s="1184"/>
      <c r="AF80" s="1184"/>
      <c r="AG80" s="1660"/>
      <c r="AH80" s="1660"/>
      <c r="AI80" s="1660"/>
      <c r="AJ80" s="1660"/>
      <c r="AK80" s="1660"/>
      <c r="AL80" s="1660"/>
      <c r="AM80" s="1660"/>
      <c r="AN80" s="1660"/>
      <c r="AO80" s="1660"/>
      <c r="AP80" s="1660"/>
      <c r="AQ80" s="1660"/>
      <c r="AR80" s="1660"/>
      <c r="AS80" s="1660"/>
      <c r="AT80" s="1660"/>
      <c r="AU80" s="1660"/>
      <c r="AV80" s="1660"/>
      <c r="AW80" s="1660"/>
      <c r="AX80" s="1660"/>
      <c r="AY80" s="1660"/>
      <c r="AZ80" s="1660"/>
      <c r="BA80" s="1660"/>
      <c r="BB80" s="1660"/>
      <c r="BC80" s="1660"/>
      <c r="BD80" s="1660"/>
      <c r="BE80" s="1660"/>
      <c r="BF80" s="1660"/>
      <c r="BG80" s="1660"/>
      <c r="BH80" s="1660"/>
      <c r="BI80" s="1660"/>
      <c r="BJ80" s="1660"/>
      <c r="BK80" s="1660"/>
      <c r="BL80" s="1660"/>
      <c r="BM80" s="1660"/>
      <c r="BN80" s="1660"/>
      <c r="BO80" s="1660"/>
      <c r="BP80" s="1660"/>
      <c r="BQ80" s="1660"/>
      <c r="BR80" s="1660"/>
      <c r="BS80" s="1660"/>
      <c r="BT80" s="1660"/>
      <c r="BU80" s="1660"/>
      <c r="BV80" s="1184"/>
      <c r="BW80" s="1184"/>
      <c r="BX80" s="1184"/>
      <c r="BY80" s="1184"/>
      <c r="BZ80" s="1184"/>
      <c r="CA80" s="1184"/>
      <c r="CB80" s="1184"/>
      <c r="CC80" s="1184"/>
      <c r="CD80" s="1184"/>
      <c r="CE80" s="1184"/>
      <c r="CF80" s="1874"/>
    </row>
    <row customHeight="1" ht="11.25" hidden="1">
      <c r="A81" s="1817"/>
      <c r="B81" s="1660"/>
      <c r="C81" s="1660"/>
      <c r="D81" s="2603"/>
      <c r="E81" s="659"/>
      <c r="F81" s="659">
        <v>0</v>
      </c>
      <c r="G81" s="659"/>
      <c r="H81" s="659"/>
      <c r="I81" s="659"/>
      <c r="J81" s="659"/>
      <c r="K81" s="659"/>
      <c r="L81" s="659"/>
      <c r="M81" s="659"/>
      <c r="N81" s="659"/>
      <c r="O81" s="659"/>
      <c r="P81" s="659"/>
      <c r="Q81" s="659"/>
      <c r="R81" s="659"/>
      <c r="S81" s="660"/>
      <c r="T81" s="742"/>
      <c r="U81" s="2398"/>
      <c r="V81" s="2398"/>
      <c r="W81" s="1660"/>
      <c r="X81" s="1660"/>
      <c r="Y81" s="1660"/>
      <c r="Z81" s="1660"/>
      <c r="AA81" s="1660"/>
      <c r="AB81" s="1184"/>
      <c r="AC81" s="2399"/>
      <c r="AD81" s="653"/>
      <c r="AE81" s="1184"/>
      <c r="AF81" s="1184"/>
      <c r="AG81" s="1660"/>
      <c r="AH81" s="1660"/>
      <c r="AI81" s="1660"/>
      <c r="AJ81" s="1660"/>
      <c r="AK81" s="1660"/>
      <c r="AL81" s="1660"/>
      <c r="AM81" s="1660"/>
      <c r="AN81" s="1660"/>
      <c r="AO81" s="1660"/>
      <c r="AP81" s="1660"/>
      <c r="AQ81" s="1660"/>
      <c r="AR81" s="1660"/>
      <c r="AS81" s="1660"/>
      <c r="AT81" s="1660"/>
      <c r="AU81" s="1660"/>
      <c r="AV81" s="1660"/>
      <c r="AW81" s="1660"/>
      <c r="AX81" s="1660"/>
      <c r="AY81" s="1660"/>
      <c r="AZ81" s="1660"/>
      <c r="BA81" s="1660"/>
      <c r="BB81" s="1660"/>
      <c r="BC81" s="1660"/>
      <c r="BD81" s="1660"/>
      <c r="BE81" s="1660"/>
      <c r="BF81" s="1660"/>
      <c r="BG81" s="1660"/>
      <c r="BH81" s="1660"/>
      <c r="BI81" s="1660"/>
      <c r="BJ81" s="1660"/>
      <c r="BK81" s="1660"/>
      <c r="BL81" s="1660"/>
      <c r="BM81" s="1660"/>
      <c r="BN81" s="1660"/>
      <c r="BO81" s="1660"/>
      <c r="BP81" s="1660"/>
      <c r="BQ81" s="1660"/>
      <c r="BR81" s="1660"/>
      <c r="BS81" s="1660"/>
      <c r="BT81" s="1660"/>
      <c r="BU81" s="1660"/>
      <c r="BV81" s="1660"/>
      <c r="BW81" s="1660"/>
      <c r="BX81" s="1660"/>
      <c r="BY81" s="1660"/>
      <c r="BZ81" s="1660"/>
      <c r="CA81" s="1660"/>
      <c r="CB81" s="1660"/>
      <c r="CC81" s="1660"/>
      <c r="CD81" s="1660"/>
      <c r="CE81" s="1660"/>
      <c r="CF81" s="1874"/>
    </row>
    <row customHeight="1" ht="11.25" hidden="1">
      <c r="A82" s="1830"/>
      <c r="B82" s="1184"/>
      <c r="C82" s="436"/>
      <c r="D82" s="2603"/>
      <c r="E82" s="673" t="s">
        <v>22</v>
      </c>
      <c r="F82" s="1192" t="s">
        <v>22</v>
      </c>
      <c r="G82" s="1192" t="s">
        <v>699</v>
      </c>
      <c r="H82" s="675" t="s">
        <v>22</v>
      </c>
      <c r="I82" s="675"/>
      <c r="J82" s="675"/>
      <c r="K82" s="675"/>
      <c r="L82" s="675"/>
      <c r="M82" s="675"/>
      <c r="N82" s="675"/>
      <c r="O82" s="675"/>
      <c r="P82" s="675"/>
      <c r="Q82" s="675"/>
      <c r="R82" s="676"/>
      <c r="S82" s="677"/>
      <c r="T82" s="742"/>
      <c r="U82" s="2398"/>
      <c r="V82" s="2398"/>
      <c r="W82" s="1184"/>
      <c r="X82" s="1184"/>
      <c r="Y82" s="1184"/>
      <c r="Z82" s="1184"/>
      <c r="AA82" s="1660"/>
      <c r="AB82" s="1184"/>
      <c r="AC82" s="2399"/>
      <c r="AD82" s="653"/>
      <c r="AE82" s="1184"/>
      <c r="AF82" s="1184"/>
      <c r="AG82" s="1660"/>
      <c r="AH82" s="1660"/>
      <c r="AI82" s="1660"/>
      <c r="AJ82" s="1660"/>
      <c r="AK82" s="1660"/>
      <c r="AL82" s="1660"/>
      <c r="AM82" s="1660"/>
      <c r="AN82" s="1660"/>
      <c r="AO82" s="1660"/>
      <c r="AP82" s="1660"/>
      <c r="AQ82" s="1660"/>
      <c r="AR82" s="1660"/>
      <c r="AS82" s="1660"/>
      <c r="AT82" s="1660"/>
      <c r="AU82" s="1660"/>
      <c r="AV82" s="1660"/>
      <c r="AW82" s="1660"/>
      <c r="AX82" s="1660"/>
      <c r="AY82" s="1660"/>
      <c r="AZ82" s="1660"/>
      <c r="BA82" s="1660"/>
      <c r="BB82" s="1660"/>
      <c r="BC82" s="1660"/>
      <c r="BD82" s="1660"/>
      <c r="BE82" s="1660"/>
      <c r="BF82" s="1660"/>
      <c r="BG82" s="1660"/>
      <c r="BH82" s="1660"/>
      <c r="BI82" s="1660"/>
      <c r="BJ82" s="1660"/>
      <c r="BK82" s="1660"/>
      <c r="BL82" s="1660"/>
      <c r="BM82" s="1660"/>
      <c r="BN82" s="1660"/>
      <c r="BO82" s="1660"/>
      <c r="BP82" s="1660"/>
      <c r="BQ82" s="1660"/>
      <c r="BR82" s="1660"/>
      <c r="BS82" s="1660"/>
      <c r="BT82" s="1660"/>
      <c r="BU82" s="1660"/>
      <c r="BV82" s="1184"/>
      <c r="BW82" s="1184"/>
      <c r="BX82" s="1184"/>
      <c r="BY82" s="1184"/>
      <c r="BZ82" s="1184"/>
      <c r="CA82" s="1184"/>
      <c r="CB82" s="1184"/>
      <c r="CC82" s="1184"/>
      <c r="CD82" s="1184"/>
      <c r="CE82" s="1184"/>
      <c r="CF82" s="1874"/>
    </row>
    <row customHeight="1" ht="5.25" hidden="1">
      <c r="A83" s="1817"/>
      <c r="B83" s="1660"/>
      <c r="C83" s="1660"/>
      <c r="D83" s="2603"/>
      <c r="E83" s="1063"/>
      <c r="F83" s="1063"/>
      <c r="G83" s="1063"/>
      <c r="H83" s="1063"/>
      <c r="I83" s="1063"/>
      <c r="J83" s="1063"/>
      <c r="K83" s="1063"/>
      <c r="L83" s="1063"/>
      <c r="M83" s="1063"/>
      <c r="N83" s="1063"/>
      <c r="O83" s="1063"/>
      <c r="P83" s="1063"/>
      <c r="Q83" s="1064"/>
      <c r="R83" s="1065"/>
      <c r="S83" s="1066"/>
      <c r="T83" s="741" t="s">
        <v>696</v>
      </c>
      <c r="U83" s="2398">
        <v>1</v>
      </c>
      <c r="V83" s="2398" t="s">
        <v>659</v>
      </c>
      <c r="W83" s="1660"/>
      <c r="X83" s="1660"/>
      <c r="Y83" s="1660"/>
      <c r="Z83" s="1660"/>
      <c r="AA83" s="1660"/>
      <c r="AB83" s="1660"/>
      <c r="AC83" s="1061"/>
      <c r="AD83" s="1062"/>
      <c r="AE83" s="1660"/>
      <c r="AF83" s="1660"/>
      <c r="AG83" s="1660"/>
      <c r="AH83" s="1660"/>
      <c r="AI83" s="1660"/>
      <c r="AJ83" s="1660"/>
      <c r="AK83" s="1660"/>
      <c r="AL83" s="1660"/>
      <c r="AM83" s="1660"/>
      <c r="AN83" s="1660"/>
      <c r="AO83" s="1660"/>
      <c r="AP83" s="1660"/>
      <c r="AQ83" s="1660"/>
      <c r="AR83" s="1660"/>
      <c r="AS83" s="1660"/>
      <c r="AT83" s="1660"/>
      <c r="AU83" s="1660"/>
      <c r="AV83" s="1660"/>
      <c r="AW83" s="1660"/>
      <c r="AX83" s="1660"/>
      <c r="AY83" s="1660"/>
      <c r="AZ83" s="1660"/>
      <c r="BA83" s="1660"/>
      <c r="BB83" s="1660"/>
      <c r="BC83" s="1660"/>
      <c r="BD83" s="1660"/>
      <c r="BE83" s="1660"/>
      <c r="BF83" s="1660"/>
      <c r="BG83" s="1660"/>
      <c r="BH83" s="1660"/>
      <c r="BI83" s="1660"/>
      <c r="BJ83" s="1660"/>
      <c r="BK83" s="1660"/>
      <c r="BL83" s="1660"/>
      <c r="BM83" s="1660"/>
      <c r="BN83" s="1660"/>
      <c r="BO83" s="1660"/>
      <c r="BP83" s="1660"/>
      <c r="BQ83" s="1660"/>
      <c r="BR83" s="1660"/>
      <c r="BS83" s="1660"/>
      <c r="BT83" s="1660"/>
      <c r="BU83" s="1660"/>
      <c r="BV83" s="1660"/>
      <c r="BW83" s="1660"/>
      <c r="BX83" s="1660"/>
      <c r="BY83" s="1660"/>
      <c r="BZ83" s="1660"/>
      <c r="CA83" s="1660"/>
      <c r="CB83" s="1660"/>
      <c r="CC83" s="1660"/>
      <c r="CD83" s="1660"/>
      <c r="CE83" s="1660"/>
      <c r="CF83" s="1340"/>
    </row>
    <row customHeight="1" ht="5.25" hidden="1">
      <c r="A84" s="1817"/>
      <c r="B84" s="1660"/>
      <c r="C84" s="1660"/>
      <c r="D84" s="2603"/>
      <c r="E84" s="659"/>
      <c r="F84" s="659"/>
      <c r="G84" s="659"/>
      <c r="H84" s="659"/>
      <c r="I84" s="659"/>
      <c r="J84" s="659"/>
      <c r="K84" s="659"/>
      <c r="L84" s="659"/>
      <c r="M84" s="659"/>
      <c r="N84" s="659"/>
      <c r="O84" s="659"/>
      <c r="P84" s="659"/>
      <c r="Q84" s="659"/>
      <c r="R84" s="659"/>
      <c r="S84" s="660"/>
      <c r="T84" s="742"/>
      <c r="U84" s="2398"/>
      <c r="V84" s="2398"/>
      <c r="W84" s="1660"/>
      <c r="X84" s="1660"/>
      <c r="Y84" s="1660"/>
      <c r="Z84" s="1660"/>
      <c r="AA84" s="1660"/>
      <c r="AB84" s="1660"/>
      <c r="AC84" s="1061"/>
      <c r="AD84" s="1062"/>
      <c r="AE84" s="1660"/>
      <c r="AF84" s="1660"/>
      <c r="AG84" s="1660"/>
      <c r="AH84" s="1660"/>
      <c r="AI84" s="1660"/>
      <c r="AJ84" s="1660"/>
      <c r="AK84" s="1660"/>
      <c r="AL84" s="1660"/>
      <c r="AM84" s="1660"/>
      <c r="AN84" s="1660"/>
      <c r="AO84" s="1660"/>
      <c r="AP84" s="1660"/>
      <c r="AQ84" s="1660"/>
      <c r="AR84" s="1660"/>
      <c r="AS84" s="1660"/>
      <c r="AT84" s="1660"/>
      <c r="AU84" s="1660"/>
      <c r="AV84" s="1660"/>
      <c r="AW84" s="1660"/>
      <c r="AX84" s="1660"/>
      <c r="AY84" s="1660"/>
      <c r="AZ84" s="1660"/>
      <c r="BA84" s="1660"/>
      <c r="BB84" s="1660"/>
      <c r="BC84" s="1660"/>
      <c r="BD84" s="1660"/>
      <c r="BE84" s="1660"/>
      <c r="BF84" s="1660"/>
      <c r="BG84" s="1660"/>
      <c r="BH84" s="1660"/>
      <c r="BI84" s="1660"/>
      <c r="BJ84" s="1660"/>
      <c r="BK84" s="1660"/>
      <c r="BL84" s="1660"/>
      <c r="BM84" s="1660"/>
      <c r="BN84" s="1660"/>
      <c r="BO84" s="1660"/>
      <c r="BP84" s="1660"/>
      <c r="BQ84" s="1660"/>
      <c r="BR84" s="1660"/>
      <c r="BS84" s="1660"/>
      <c r="BT84" s="1660"/>
      <c r="BU84" s="1660"/>
      <c r="BV84" s="1660"/>
      <c r="BW84" s="1660"/>
      <c r="BX84" s="1660"/>
      <c r="BY84" s="1660"/>
      <c r="BZ84" s="1660"/>
      <c r="CA84" s="1660"/>
      <c r="CB84" s="1660"/>
      <c r="CC84" s="1660"/>
      <c r="CD84" s="1660"/>
      <c r="CE84" s="1660"/>
      <c r="CF84" s="1340"/>
    </row>
    <row customHeight="1" ht="5.25" hidden="1">
      <c r="A85" s="1817"/>
      <c r="B85" s="1660"/>
      <c r="C85" s="1660"/>
      <c r="D85" s="2604"/>
      <c r="E85" s="1067"/>
      <c r="F85" s="1068"/>
      <c r="G85" s="1068"/>
      <c r="H85" s="1069"/>
      <c r="I85" s="1069"/>
      <c r="J85" s="1069"/>
      <c r="K85" s="1069"/>
      <c r="L85" s="1069"/>
      <c r="M85" s="1069"/>
      <c r="N85" s="1069"/>
      <c r="O85" s="1069"/>
      <c r="P85" s="1069"/>
      <c r="Q85" s="1069"/>
      <c r="R85" s="970"/>
      <c r="S85" s="1070"/>
      <c r="T85" s="742"/>
      <c r="U85" s="2398"/>
      <c r="V85" s="2398"/>
      <c r="W85" s="1660"/>
      <c r="X85" s="1660"/>
      <c r="Y85" s="1660"/>
      <c r="Z85" s="1660"/>
      <c r="AA85" s="1660"/>
      <c r="AB85" s="1660"/>
      <c r="AC85" s="1061"/>
      <c r="AD85" s="1062"/>
      <c r="AE85" s="1660"/>
      <c r="AF85" s="1660"/>
      <c r="AG85" s="1660"/>
      <c r="AH85" s="1660"/>
      <c r="AI85" s="1660"/>
      <c r="AJ85" s="1660"/>
      <c r="AK85" s="1660"/>
      <c r="AL85" s="1660"/>
      <c r="AM85" s="1660"/>
      <c r="AN85" s="1660"/>
      <c r="AO85" s="1660"/>
      <c r="AP85" s="1660"/>
      <c r="AQ85" s="1660"/>
      <c r="AR85" s="1660"/>
      <c r="AS85" s="1660"/>
      <c r="AT85" s="1660"/>
      <c r="AU85" s="1660"/>
      <c r="AV85" s="1660"/>
      <c r="AW85" s="1660"/>
      <c r="AX85" s="1660"/>
      <c r="AY85" s="1660"/>
      <c r="AZ85" s="1660"/>
      <c r="BA85" s="1660"/>
      <c r="BB85" s="1660"/>
      <c r="BC85" s="1660"/>
      <c r="BD85" s="1660"/>
      <c r="BE85" s="1660"/>
      <c r="BF85" s="1660"/>
      <c r="BG85" s="1660"/>
      <c r="BH85" s="1660"/>
      <c r="BI85" s="1660"/>
      <c r="BJ85" s="1660"/>
      <c r="BK85" s="1660"/>
      <c r="BL85" s="1660"/>
      <c r="BM85" s="1660"/>
      <c r="BN85" s="1660"/>
      <c r="BO85" s="1660"/>
      <c r="BP85" s="1660"/>
      <c r="BQ85" s="1660"/>
      <c r="BR85" s="1660"/>
      <c r="BS85" s="1660"/>
      <c r="BT85" s="1660"/>
      <c r="BU85" s="1660"/>
      <c r="BV85" s="1660"/>
      <c r="BW85" s="1660"/>
      <c r="BX85" s="1660"/>
      <c r="BY85" s="1660"/>
      <c r="BZ85" s="1660"/>
      <c r="CA85" s="1660"/>
      <c r="CB85" s="1660"/>
      <c r="CC85" s="1660"/>
      <c r="CD85" s="1660"/>
      <c r="CE85" s="1660"/>
      <c r="CF85" s="1340"/>
    </row>
    <row customHeight="1" ht="15" hidden="1">
      <c r="A86" s="647" t="s">
        <v>195</v>
      </c>
      <c r="B86" s="648"/>
      <c r="C86" s="648" t="s">
        <v>22</v>
      </c>
      <c r="D86" s="2602" t="s">
        <v>706</v>
      </c>
      <c r="E86" s="2401" t="s">
        <v>166</v>
      </c>
      <c r="F86" s="2402"/>
      <c r="G86" s="2403"/>
      <c r="H86" s="2407" t="str">
        <f>IF(A86="","",INDEX(DIFFERENTIATION_UNMERGE_VD,MATCH(A86,DIFFERENTIATION_ID_DIFF,0)))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86" s="2407"/>
      <c r="J86" s="2407"/>
      <c r="K86" s="2407"/>
      <c r="L86" s="2407"/>
      <c r="M86" s="2407"/>
      <c r="N86" s="2407"/>
      <c r="O86" s="2407"/>
      <c r="P86" s="2407"/>
      <c r="Q86" s="2407"/>
      <c r="R86" s="2407"/>
      <c r="S86" s="743"/>
      <c r="T86" s="740"/>
      <c r="U86" s="649"/>
      <c r="V86" s="649"/>
      <c r="W86" s="650"/>
      <c r="X86" s="650"/>
      <c r="Y86" s="650"/>
      <c r="Z86" s="650"/>
      <c r="AA86" s="651"/>
      <c r="AB86" s="652"/>
      <c r="AC86" s="2399"/>
      <c r="AD86" s="653"/>
      <c r="AE86" s="654" t="s">
        <v>22</v>
      </c>
      <c r="AF86" s="654"/>
      <c r="AG86" s="655" t="s">
        <v>693</v>
      </c>
      <c r="AH86" s="656">
        <v>3</v>
      </c>
      <c r="AI86" s="649"/>
      <c r="AJ86" s="649"/>
      <c r="AK86" s="649"/>
      <c r="AL86" s="649"/>
      <c r="AM86" s="649"/>
      <c r="AN86" s="649"/>
      <c r="AO86" s="649"/>
      <c r="AP86" s="649"/>
      <c r="AQ86" s="649"/>
      <c r="AR86" s="649"/>
      <c r="AS86" s="649"/>
      <c r="AT86" s="649"/>
      <c r="AU86" s="649"/>
      <c r="AV86" s="649"/>
      <c r="AW86" s="649"/>
      <c r="AX86" s="649"/>
      <c r="AY86" s="649"/>
      <c r="AZ86" s="649"/>
      <c r="BA86" s="649"/>
      <c r="BB86" s="649"/>
      <c r="BC86" s="649"/>
      <c r="BD86" s="649"/>
      <c r="BE86" s="649"/>
      <c r="BF86" s="649"/>
      <c r="BG86" s="649"/>
      <c r="BH86" s="649"/>
      <c r="BI86" s="649"/>
      <c r="BJ86" s="649"/>
      <c r="BK86" s="649"/>
      <c r="BL86" s="649"/>
      <c r="BM86" s="649"/>
      <c r="BN86" s="649"/>
      <c r="BO86" s="649"/>
      <c r="BP86" s="649"/>
      <c r="BQ86" s="649"/>
      <c r="BR86" s="649"/>
      <c r="BS86" s="649"/>
      <c r="BT86" s="649"/>
      <c r="BU86" s="649"/>
      <c r="BV86" s="650"/>
      <c r="BW86" s="650"/>
      <c r="BX86" s="650"/>
      <c r="BY86" s="650"/>
      <c r="BZ86" s="650"/>
      <c r="CA86" s="650"/>
      <c r="CB86" s="650"/>
      <c r="CC86" s="650"/>
      <c r="CD86" s="650"/>
      <c r="CE86" s="650"/>
      <c r="CF86" s="1874"/>
    </row>
    <row customHeight="1" ht="15" hidden="1">
      <c r="A87" s="647"/>
      <c r="B87" s="648"/>
      <c r="C87" s="648"/>
      <c r="D87" s="2603"/>
      <c r="E87" s="2401" t="s">
        <v>648</v>
      </c>
      <c r="F87" s="2402"/>
      <c r="G87" s="2403"/>
      <c r="H87" s="2407" t="str">
        <f>IF(A86="","",INDEX(DIFFERENTIATION_UNMERGE_AREA,MATCH(A86,DIFFERENTIATION_ID_DIFF,0)))</f>
        <v>Территория 5</v>
      </c>
      <c r="I87" s="2407"/>
      <c r="J87" s="2407"/>
      <c r="K87" s="2407"/>
      <c r="L87" s="2407"/>
      <c r="M87" s="2407"/>
      <c r="N87" s="2407"/>
      <c r="O87" s="2407"/>
      <c r="P87" s="2407"/>
      <c r="Q87" s="2407"/>
      <c r="R87" s="2407"/>
      <c r="S87" s="743"/>
      <c r="T87" s="740"/>
      <c r="U87" s="649"/>
      <c r="V87" s="649"/>
      <c r="W87" s="650"/>
      <c r="X87" s="650"/>
      <c r="Y87" s="650"/>
      <c r="Z87" s="650"/>
      <c r="AA87" s="651"/>
      <c r="AB87" s="652"/>
      <c r="AC87" s="2399"/>
      <c r="AD87" s="653"/>
      <c r="AE87" s="654"/>
      <c r="AF87" s="654"/>
      <c r="AG87" s="655"/>
      <c r="AH87" s="656"/>
      <c r="AI87" s="649"/>
      <c r="AJ87" s="649"/>
      <c r="AK87" s="649"/>
      <c r="AL87" s="649"/>
      <c r="AM87" s="649"/>
      <c r="AN87" s="649"/>
      <c r="AO87" s="649"/>
      <c r="AP87" s="649"/>
      <c r="AQ87" s="649"/>
      <c r="AR87" s="649"/>
      <c r="AS87" s="649"/>
      <c r="AT87" s="649"/>
      <c r="AU87" s="649"/>
      <c r="AV87" s="649"/>
      <c r="AW87" s="649"/>
      <c r="AX87" s="649"/>
      <c r="AY87" s="649"/>
      <c r="AZ87" s="649"/>
      <c r="BA87" s="649"/>
      <c r="BB87" s="649"/>
      <c r="BC87" s="649"/>
      <c r="BD87" s="649"/>
      <c r="BE87" s="649"/>
      <c r="BF87" s="649"/>
      <c r="BG87" s="649"/>
      <c r="BH87" s="649"/>
      <c r="BI87" s="649"/>
      <c r="BJ87" s="649"/>
      <c r="BK87" s="649"/>
      <c r="BL87" s="649"/>
      <c r="BM87" s="649"/>
      <c r="BN87" s="649"/>
      <c r="BO87" s="649"/>
      <c r="BP87" s="649"/>
      <c r="BQ87" s="649"/>
      <c r="BR87" s="649"/>
      <c r="BS87" s="649"/>
      <c r="BT87" s="649"/>
      <c r="BU87" s="649"/>
      <c r="BV87" s="650"/>
      <c r="BW87" s="650"/>
      <c r="BX87" s="650"/>
      <c r="BY87" s="650"/>
      <c r="BZ87" s="650"/>
      <c r="CA87" s="650"/>
      <c r="CB87" s="650"/>
      <c r="CC87" s="650"/>
      <c r="CD87" s="650"/>
      <c r="CE87" s="650"/>
      <c r="CF87" s="1874"/>
    </row>
    <row customHeight="1" ht="15" hidden="1">
      <c r="A88" s="647"/>
      <c r="B88" s="648"/>
      <c r="C88" s="648"/>
      <c r="D88" s="2603"/>
      <c r="E88" s="2401" t="s">
        <v>649</v>
      </c>
      <c r="F88" s="2402"/>
      <c r="G88" s="2403"/>
      <c r="H88" s="2407" t="str">
        <f>IF(A86="","",INDEX(DIFFERENTIATION_UNMERGE_SYSTEM,MATCH(A86,DIFFERENTIATION_ID_DIFF,0)))</f>
        <v>Майская котельная </v>
      </c>
      <c r="I88" s="2407"/>
      <c r="J88" s="2407"/>
      <c r="K88" s="2407"/>
      <c r="L88" s="2407"/>
      <c r="M88" s="2407"/>
      <c r="N88" s="2407"/>
      <c r="O88" s="2407"/>
      <c r="P88" s="2407"/>
      <c r="Q88" s="2407"/>
      <c r="R88" s="2407"/>
      <c r="S88" s="743"/>
      <c r="T88" s="740"/>
      <c r="U88" s="649"/>
      <c r="V88" s="649"/>
      <c r="W88" s="650"/>
      <c r="X88" s="650"/>
      <c r="Y88" s="650"/>
      <c r="Z88" s="650"/>
      <c r="AA88" s="651"/>
      <c r="AB88" s="652"/>
      <c r="AC88" s="2399"/>
      <c r="AD88" s="653"/>
      <c r="AE88" s="654"/>
      <c r="AF88" s="654"/>
      <c r="AG88" s="655"/>
      <c r="AH88" s="656"/>
      <c r="AI88" s="649"/>
      <c r="AJ88" s="649"/>
      <c r="AK88" s="649"/>
      <c r="AL88" s="649"/>
      <c r="AM88" s="649"/>
      <c r="AN88" s="649"/>
      <c r="AO88" s="649"/>
      <c r="AP88" s="649"/>
      <c r="AQ88" s="649"/>
      <c r="AR88" s="649"/>
      <c r="AS88" s="649"/>
      <c r="AT88" s="649"/>
      <c r="AU88" s="649"/>
      <c r="AV88" s="649"/>
      <c r="AW88" s="649"/>
      <c r="AX88" s="649"/>
      <c r="AY88" s="649"/>
      <c r="AZ88" s="649"/>
      <c r="BA88" s="649"/>
      <c r="BB88" s="649"/>
      <c r="BC88" s="649"/>
      <c r="BD88" s="649"/>
      <c r="BE88" s="649"/>
      <c r="BF88" s="649"/>
      <c r="BG88" s="649"/>
      <c r="BH88" s="649"/>
      <c r="BI88" s="649"/>
      <c r="BJ88" s="649"/>
      <c r="BK88" s="649"/>
      <c r="BL88" s="649"/>
      <c r="BM88" s="649"/>
      <c r="BN88" s="649"/>
      <c r="BO88" s="649"/>
      <c r="BP88" s="649"/>
      <c r="BQ88" s="649"/>
      <c r="BR88" s="649"/>
      <c r="BS88" s="649"/>
      <c r="BT88" s="649"/>
      <c r="BU88" s="649"/>
      <c r="BV88" s="650"/>
      <c r="BW88" s="650"/>
      <c r="BX88" s="650"/>
      <c r="BY88" s="650"/>
      <c r="BZ88" s="650"/>
      <c r="CA88" s="650"/>
      <c r="CB88" s="650"/>
      <c r="CC88" s="650"/>
      <c r="CD88" s="650"/>
      <c r="CE88" s="650"/>
      <c r="CF88" s="1874"/>
    </row>
    <row customHeight="1" ht="24.75" hidden="1">
      <c r="A89" s="1830"/>
      <c r="B89" s="1184"/>
      <c r="C89" s="436"/>
      <c r="D89" s="2603"/>
      <c r="E89" s="2400" t="s">
        <v>694</v>
      </c>
      <c r="F89" s="2400"/>
      <c r="G89" s="2400"/>
      <c r="H89" s="2400"/>
      <c r="I89" s="2400"/>
      <c r="J89" s="2400"/>
      <c r="K89" s="2400"/>
      <c r="L89" s="2400"/>
      <c r="M89" s="2400"/>
      <c r="N89" s="2400"/>
      <c r="O89" s="2400"/>
      <c r="P89" s="2400"/>
      <c r="Q89" s="582">
        <f>SUMIF(T90:T91,"i",Q90:Q91)</f>
        <v>0</v>
      </c>
      <c r="R89" s="1041"/>
      <c r="S89" s="1822" t="s">
        <v>695</v>
      </c>
      <c r="T89" s="741" t="s">
        <v>696</v>
      </c>
      <c r="U89" s="2398">
        <v>1</v>
      </c>
      <c r="V89" s="2398" t="s">
        <v>659</v>
      </c>
      <c r="W89" s="1184"/>
      <c r="X89" s="1184"/>
      <c r="Y89" s="1184"/>
      <c r="Z89" s="1184"/>
      <c r="AA89" s="1660"/>
      <c r="AB89" s="1184"/>
      <c r="AC89" s="2399"/>
      <c r="AD89" s="653"/>
      <c r="AE89" s="1184"/>
      <c r="AF89" s="1184"/>
      <c r="AG89" s="1660"/>
      <c r="AH89" s="1660"/>
      <c r="AI89" s="1660"/>
      <c r="AJ89" s="1660"/>
      <c r="AK89" s="1660"/>
      <c r="AL89" s="1660"/>
      <c r="AM89" s="1660"/>
      <c r="AN89" s="1660"/>
      <c r="AO89" s="1660"/>
      <c r="AP89" s="1660"/>
      <c r="AQ89" s="1660"/>
      <c r="AR89" s="1660"/>
      <c r="AS89" s="1660"/>
      <c r="AT89" s="1660"/>
      <c r="AU89" s="1660"/>
      <c r="AV89" s="1660"/>
      <c r="AW89" s="1660"/>
      <c r="AX89" s="1660"/>
      <c r="AY89" s="1660"/>
      <c r="AZ89" s="1660"/>
      <c r="BA89" s="1660"/>
      <c r="BB89" s="1660"/>
      <c r="BC89" s="1660"/>
      <c r="BD89" s="1660"/>
      <c r="BE89" s="1660"/>
      <c r="BF89" s="1660"/>
      <c r="BG89" s="1660"/>
      <c r="BH89" s="1660"/>
      <c r="BI89" s="1660"/>
      <c r="BJ89" s="1660"/>
      <c r="BK89" s="1660"/>
      <c r="BL89" s="1660"/>
      <c r="BM89" s="1660"/>
      <c r="BN89" s="1660"/>
      <c r="BO89" s="1660"/>
      <c r="BP89" s="1660"/>
      <c r="BQ89" s="1660"/>
      <c r="BR89" s="1660"/>
      <c r="BS89" s="1660"/>
      <c r="BT89" s="1660"/>
      <c r="BU89" s="1660"/>
      <c r="BV89" s="1184"/>
      <c r="BW89" s="1184"/>
      <c r="BX89" s="1184"/>
      <c r="BY89" s="1184"/>
      <c r="BZ89" s="1184"/>
      <c r="CA89" s="1184"/>
      <c r="CB89" s="1184"/>
      <c r="CC89" s="1184"/>
      <c r="CD89" s="1184"/>
      <c r="CE89" s="1184"/>
      <c r="CF89" s="1874"/>
    </row>
    <row customHeight="1" ht="11.25" hidden="1">
      <c r="A90" s="1817"/>
      <c r="B90" s="1660"/>
      <c r="C90" s="1660"/>
      <c r="D90" s="2603"/>
      <c r="E90" s="659"/>
      <c r="F90" s="659">
        <v>0</v>
      </c>
      <c r="G90" s="659"/>
      <c r="H90" s="659"/>
      <c r="I90" s="659"/>
      <c r="J90" s="659"/>
      <c r="K90" s="659"/>
      <c r="L90" s="659"/>
      <c r="M90" s="659"/>
      <c r="N90" s="659"/>
      <c r="O90" s="659"/>
      <c r="P90" s="659"/>
      <c r="Q90" s="659"/>
      <c r="R90" s="659"/>
      <c r="S90" s="660"/>
      <c r="T90" s="742"/>
      <c r="U90" s="2398"/>
      <c r="V90" s="2398"/>
      <c r="W90" s="1660"/>
      <c r="X90" s="1660"/>
      <c r="Y90" s="1660"/>
      <c r="Z90" s="1660"/>
      <c r="AA90" s="1660"/>
      <c r="AB90" s="1184"/>
      <c r="AC90" s="2399"/>
      <c r="AD90" s="653"/>
      <c r="AE90" s="1184"/>
      <c r="AF90" s="1184"/>
      <c r="AG90" s="1660"/>
      <c r="AH90" s="1660"/>
      <c r="AI90" s="1660"/>
      <c r="AJ90" s="1660"/>
      <c r="AK90" s="1660"/>
      <c r="AL90" s="1660"/>
      <c r="AM90" s="1660"/>
      <c r="AN90" s="1660"/>
      <c r="AO90" s="1660"/>
      <c r="AP90" s="1660"/>
      <c r="AQ90" s="1660"/>
      <c r="AR90" s="1660"/>
      <c r="AS90" s="1660"/>
      <c r="AT90" s="1660"/>
      <c r="AU90" s="1660"/>
      <c r="AV90" s="1660"/>
      <c r="AW90" s="1660"/>
      <c r="AX90" s="1660"/>
      <c r="AY90" s="1660"/>
      <c r="AZ90" s="1660"/>
      <c r="BA90" s="1660"/>
      <c r="BB90" s="1660"/>
      <c r="BC90" s="1660"/>
      <c r="BD90" s="1660"/>
      <c r="BE90" s="1660"/>
      <c r="BF90" s="1660"/>
      <c r="BG90" s="1660"/>
      <c r="BH90" s="1660"/>
      <c r="BI90" s="1660"/>
      <c r="BJ90" s="1660"/>
      <c r="BK90" s="1660"/>
      <c r="BL90" s="1660"/>
      <c r="BM90" s="1660"/>
      <c r="BN90" s="1660"/>
      <c r="BO90" s="1660"/>
      <c r="BP90" s="1660"/>
      <c r="BQ90" s="1660"/>
      <c r="BR90" s="1660"/>
      <c r="BS90" s="1660"/>
      <c r="BT90" s="1660"/>
      <c r="BU90" s="1660"/>
      <c r="BV90" s="1660"/>
      <c r="BW90" s="1660"/>
      <c r="BX90" s="1660"/>
      <c r="BY90" s="1660"/>
      <c r="BZ90" s="1660"/>
      <c r="CA90" s="1660"/>
      <c r="CB90" s="1660"/>
      <c r="CC90" s="1660"/>
      <c r="CD90" s="1660"/>
      <c r="CE90" s="1660"/>
      <c r="CF90" s="1874"/>
    </row>
    <row customHeight="1" ht="11.25" hidden="1">
      <c r="A91" s="1830"/>
      <c r="B91" s="1184"/>
      <c r="C91" s="436"/>
      <c r="D91" s="2603"/>
      <c r="E91" s="673" t="s">
        <v>22</v>
      </c>
      <c r="F91" s="1192" t="s">
        <v>22</v>
      </c>
      <c r="G91" s="1192" t="s">
        <v>699</v>
      </c>
      <c r="H91" s="675" t="s">
        <v>22</v>
      </c>
      <c r="I91" s="675"/>
      <c r="J91" s="675"/>
      <c r="K91" s="675"/>
      <c r="L91" s="675"/>
      <c r="M91" s="675"/>
      <c r="N91" s="675"/>
      <c r="O91" s="675"/>
      <c r="P91" s="675"/>
      <c r="Q91" s="675"/>
      <c r="R91" s="676"/>
      <c r="S91" s="677"/>
      <c r="T91" s="742"/>
      <c r="U91" s="2398"/>
      <c r="V91" s="2398"/>
      <c r="W91" s="1184"/>
      <c r="X91" s="1184"/>
      <c r="Y91" s="1184"/>
      <c r="Z91" s="1184"/>
      <c r="AA91" s="1660"/>
      <c r="AB91" s="1184"/>
      <c r="AC91" s="2399"/>
      <c r="AD91" s="653"/>
      <c r="AE91" s="1184"/>
      <c r="AF91" s="1184"/>
      <c r="AG91" s="1660"/>
      <c r="AH91" s="1660"/>
      <c r="AI91" s="1660"/>
      <c r="AJ91" s="1660"/>
      <c r="AK91" s="1660"/>
      <c r="AL91" s="1660"/>
      <c r="AM91" s="1660"/>
      <c r="AN91" s="1660"/>
      <c r="AO91" s="1660"/>
      <c r="AP91" s="1660"/>
      <c r="AQ91" s="1660"/>
      <c r="AR91" s="1660"/>
      <c r="AS91" s="1660"/>
      <c r="AT91" s="1660"/>
      <c r="AU91" s="1660"/>
      <c r="AV91" s="1660"/>
      <c r="AW91" s="1660"/>
      <c r="AX91" s="1660"/>
      <c r="AY91" s="1660"/>
      <c r="AZ91" s="1660"/>
      <c r="BA91" s="1660"/>
      <c r="BB91" s="1660"/>
      <c r="BC91" s="1660"/>
      <c r="BD91" s="1660"/>
      <c r="BE91" s="1660"/>
      <c r="BF91" s="1660"/>
      <c r="BG91" s="1660"/>
      <c r="BH91" s="1660"/>
      <c r="BI91" s="1660"/>
      <c r="BJ91" s="1660"/>
      <c r="BK91" s="1660"/>
      <c r="BL91" s="1660"/>
      <c r="BM91" s="1660"/>
      <c r="BN91" s="1660"/>
      <c r="BO91" s="1660"/>
      <c r="BP91" s="1660"/>
      <c r="BQ91" s="1660"/>
      <c r="BR91" s="1660"/>
      <c r="BS91" s="1660"/>
      <c r="BT91" s="1660"/>
      <c r="BU91" s="1660"/>
      <c r="BV91" s="1184"/>
      <c r="BW91" s="1184"/>
      <c r="BX91" s="1184"/>
      <c r="BY91" s="1184"/>
      <c r="BZ91" s="1184"/>
      <c r="CA91" s="1184"/>
      <c r="CB91" s="1184"/>
      <c r="CC91" s="1184"/>
      <c r="CD91" s="1184"/>
      <c r="CE91" s="1184"/>
      <c r="CF91" s="1874"/>
    </row>
    <row customHeight="1" ht="5.25" hidden="1">
      <c r="A92" s="1817"/>
      <c r="B92" s="1660"/>
      <c r="C92" s="1660"/>
      <c r="D92" s="2603"/>
      <c r="E92" s="1063"/>
      <c r="F92" s="1063"/>
      <c r="G92" s="1063"/>
      <c r="H92" s="1063"/>
      <c r="I92" s="1063"/>
      <c r="J92" s="1063"/>
      <c r="K92" s="1063"/>
      <c r="L92" s="1063"/>
      <c r="M92" s="1063"/>
      <c r="N92" s="1063"/>
      <c r="O92" s="1063"/>
      <c r="P92" s="1063"/>
      <c r="Q92" s="1064"/>
      <c r="R92" s="1065"/>
      <c r="S92" s="1066"/>
      <c r="T92" s="741" t="s">
        <v>696</v>
      </c>
      <c r="U92" s="2398">
        <v>1</v>
      </c>
      <c r="V92" s="2398" t="s">
        <v>659</v>
      </c>
      <c r="W92" s="1660"/>
      <c r="X92" s="1660"/>
      <c r="Y92" s="1660"/>
      <c r="Z92" s="1660"/>
      <c r="AA92" s="1660"/>
      <c r="AB92" s="1660"/>
      <c r="AC92" s="1061"/>
      <c r="AD92" s="1062"/>
      <c r="AE92" s="1660"/>
      <c r="AF92" s="1660"/>
      <c r="AG92" s="1660"/>
      <c r="AH92" s="1660"/>
      <c r="AI92" s="1660"/>
      <c r="AJ92" s="1660"/>
      <c r="AK92" s="1660"/>
      <c r="AL92" s="1660"/>
      <c r="AM92" s="1660"/>
      <c r="AN92" s="1660"/>
      <c r="AO92" s="1660"/>
      <c r="AP92" s="1660"/>
      <c r="AQ92" s="1660"/>
      <c r="AR92" s="1660"/>
      <c r="AS92" s="1660"/>
      <c r="AT92" s="1660"/>
      <c r="AU92" s="1660"/>
      <c r="AV92" s="1660"/>
      <c r="AW92" s="1660"/>
      <c r="AX92" s="1660"/>
      <c r="AY92" s="1660"/>
      <c r="AZ92" s="1660"/>
      <c r="BA92" s="1660"/>
      <c r="BB92" s="1660"/>
      <c r="BC92" s="1660"/>
      <c r="BD92" s="1660"/>
      <c r="BE92" s="1660"/>
      <c r="BF92" s="1660"/>
      <c r="BG92" s="1660"/>
      <c r="BH92" s="1660"/>
      <c r="BI92" s="1660"/>
      <c r="BJ92" s="1660"/>
      <c r="BK92" s="1660"/>
      <c r="BL92" s="1660"/>
      <c r="BM92" s="1660"/>
      <c r="BN92" s="1660"/>
      <c r="BO92" s="1660"/>
      <c r="BP92" s="1660"/>
      <c r="BQ92" s="1660"/>
      <c r="BR92" s="1660"/>
      <c r="BS92" s="1660"/>
      <c r="BT92" s="1660"/>
      <c r="BU92" s="1660"/>
      <c r="BV92" s="1660"/>
      <c r="BW92" s="1660"/>
      <c r="BX92" s="1660"/>
      <c r="BY92" s="1660"/>
      <c r="BZ92" s="1660"/>
      <c r="CA92" s="1660"/>
      <c r="CB92" s="1660"/>
      <c r="CC92" s="1660"/>
      <c r="CD92" s="1660"/>
      <c r="CE92" s="1660"/>
      <c r="CF92" s="1340"/>
    </row>
    <row customHeight="1" ht="5.25" hidden="1">
      <c r="A93" s="1817"/>
      <c r="B93" s="1660"/>
      <c r="C93" s="1660"/>
      <c r="D93" s="2603"/>
      <c r="E93" s="659"/>
      <c r="F93" s="659"/>
      <c r="G93" s="659"/>
      <c r="H93" s="659"/>
      <c r="I93" s="659"/>
      <c r="J93" s="659"/>
      <c r="K93" s="659"/>
      <c r="L93" s="659"/>
      <c r="M93" s="659"/>
      <c r="N93" s="659"/>
      <c r="O93" s="659"/>
      <c r="P93" s="659"/>
      <c r="Q93" s="659"/>
      <c r="R93" s="659"/>
      <c r="S93" s="660"/>
      <c r="T93" s="742"/>
      <c r="U93" s="2398"/>
      <c r="V93" s="2398"/>
      <c r="W93" s="1660"/>
      <c r="X93" s="1660"/>
      <c r="Y93" s="1660"/>
      <c r="Z93" s="1660"/>
      <c r="AA93" s="1660"/>
      <c r="AB93" s="1660"/>
      <c r="AC93" s="1061"/>
      <c r="AD93" s="1062"/>
      <c r="AE93" s="1660"/>
      <c r="AF93" s="1660"/>
      <c r="AG93" s="1660"/>
      <c r="AH93" s="1660"/>
      <c r="AI93" s="1660"/>
      <c r="AJ93" s="1660"/>
      <c r="AK93" s="1660"/>
      <c r="AL93" s="1660"/>
      <c r="AM93" s="1660"/>
      <c r="AN93" s="1660"/>
      <c r="AO93" s="1660"/>
      <c r="AP93" s="1660"/>
      <c r="AQ93" s="1660"/>
      <c r="AR93" s="1660"/>
      <c r="AS93" s="1660"/>
      <c r="AT93" s="1660"/>
      <c r="AU93" s="1660"/>
      <c r="AV93" s="1660"/>
      <c r="AW93" s="1660"/>
      <c r="AX93" s="1660"/>
      <c r="AY93" s="1660"/>
      <c r="AZ93" s="1660"/>
      <c r="BA93" s="1660"/>
      <c r="BB93" s="1660"/>
      <c r="BC93" s="1660"/>
      <c r="BD93" s="1660"/>
      <c r="BE93" s="1660"/>
      <c r="BF93" s="1660"/>
      <c r="BG93" s="1660"/>
      <c r="BH93" s="1660"/>
      <c r="BI93" s="1660"/>
      <c r="BJ93" s="1660"/>
      <c r="BK93" s="1660"/>
      <c r="BL93" s="1660"/>
      <c r="BM93" s="1660"/>
      <c r="BN93" s="1660"/>
      <c r="BO93" s="1660"/>
      <c r="BP93" s="1660"/>
      <c r="BQ93" s="1660"/>
      <c r="BR93" s="1660"/>
      <c r="BS93" s="1660"/>
      <c r="BT93" s="1660"/>
      <c r="BU93" s="1660"/>
      <c r="BV93" s="1660"/>
      <c r="BW93" s="1660"/>
      <c r="BX93" s="1660"/>
      <c r="BY93" s="1660"/>
      <c r="BZ93" s="1660"/>
      <c r="CA93" s="1660"/>
      <c r="CB93" s="1660"/>
      <c r="CC93" s="1660"/>
      <c r="CD93" s="1660"/>
      <c r="CE93" s="1660"/>
      <c r="CF93" s="1340"/>
    </row>
    <row customHeight="1" ht="5.25" hidden="1">
      <c r="A94" s="1817"/>
      <c r="B94" s="1660"/>
      <c r="C94" s="1660"/>
      <c r="D94" s="2604"/>
      <c r="E94" s="1067"/>
      <c r="F94" s="1068"/>
      <c r="G94" s="1068"/>
      <c r="H94" s="1069"/>
      <c r="I94" s="1069"/>
      <c r="J94" s="1069"/>
      <c r="K94" s="1069"/>
      <c r="L94" s="1069"/>
      <c r="M94" s="1069"/>
      <c r="N94" s="1069"/>
      <c r="O94" s="1069"/>
      <c r="P94" s="1069"/>
      <c r="Q94" s="1069"/>
      <c r="R94" s="970"/>
      <c r="S94" s="1070"/>
      <c r="T94" s="742"/>
      <c r="U94" s="2398"/>
      <c r="V94" s="2398"/>
      <c r="W94" s="1660"/>
      <c r="X94" s="1660"/>
      <c r="Y94" s="1660"/>
      <c r="Z94" s="1660"/>
      <c r="AA94" s="1660"/>
      <c r="AB94" s="1660"/>
      <c r="AC94" s="1061"/>
      <c r="AD94" s="1062"/>
      <c r="AE94" s="1660"/>
      <c r="AF94" s="1660"/>
      <c r="AG94" s="1660"/>
      <c r="AH94" s="1660"/>
      <c r="AI94" s="1660"/>
      <c r="AJ94" s="1660"/>
      <c r="AK94" s="1660"/>
      <c r="AL94" s="1660"/>
      <c r="AM94" s="1660"/>
      <c r="AN94" s="1660"/>
      <c r="AO94" s="1660"/>
      <c r="AP94" s="1660"/>
      <c r="AQ94" s="1660"/>
      <c r="AR94" s="1660"/>
      <c r="AS94" s="1660"/>
      <c r="AT94" s="1660"/>
      <c r="AU94" s="1660"/>
      <c r="AV94" s="1660"/>
      <c r="AW94" s="1660"/>
      <c r="AX94" s="1660"/>
      <c r="AY94" s="1660"/>
      <c r="AZ94" s="1660"/>
      <c r="BA94" s="1660"/>
      <c r="BB94" s="1660"/>
      <c r="BC94" s="1660"/>
      <c r="BD94" s="1660"/>
      <c r="BE94" s="1660"/>
      <c r="BF94" s="1660"/>
      <c r="BG94" s="1660"/>
      <c r="BH94" s="1660"/>
      <c r="BI94" s="1660"/>
      <c r="BJ94" s="1660"/>
      <c r="BK94" s="1660"/>
      <c r="BL94" s="1660"/>
      <c r="BM94" s="1660"/>
      <c r="BN94" s="1660"/>
      <c r="BO94" s="1660"/>
      <c r="BP94" s="1660"/>
      <c r="BQ94" s="1660"/>
      <c r="BR94" s="1660"/>
      <c r="BS94" s="1660"/>
      <c r="BT94" s="1660"/>
      <c r="BU94" s="1660"/>
      <c r="BV94" s="1660"/>
      <c r="BW94" s="1660"/>
      <c r="BX94" s="1660"/>
      <c r="BY94" s="1660"/>
      <c r="BZ94" s="1660"/>
      <c r="CA94" s="1660"/>
      <c r="CB94" s="1660"/>
      <c r="CC94" s="1660"/>
      <c r="CD94" s="1660"/>
      <c r="CE94" s="1660"/>
      <c r="CF94" s="1340"/>
    </row>
    <row customHeight="1" ht="15" hidden="1">
      <c r="A95" s="647" t="s">
        <v>197</v>
      </c>
      <c r="B95" s="648"/>
      <c r="C95" s="648" t="s">
        <v>22</v>
      </c>
      <c r="D95" s="2602" t="s">
        <v>707</v>
      </c>
      <c r="E95" s="2401" t="s">
        <v>166</v>
      </c>
      <c r="F95" s="2402"/>
      <c r="G95" s="2403"/>
      <c r="H95" s="2407" t="str">
        <f>IF(A95="","",INDEX(DIFFERENTIATION_UNMERGE_VD,MATCH(A95,DIFFERENTIATION_ID_DIFF,0)))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95" s="2407"/>
      <c r="J95" s="2407"/>
      <c r="K95" s="2407"/>
      <c r="L95" s="2407"/>
      <c r="M95" s="2407"/>
      <c r="N95" s="2407"/>
      <c r="O95" s="2407"/>
      <c r="P95" s="2407"/>
      <c r="Q95" s="2407"/>
      <c r="R95" s="2407"/>
      <c r="S95" s="743"/>
      <c r="T95" s="740"/>
      <c r="U95" s="649"/>
      <c r="V95" s="649"/>
      <c r="W95" s="650"/>
      <c r="X95" s="650"/>
      <c r="Y95" s="650"/>
      <c r="Z95" s="650"/>
      <c r="AA95" s="651"/>
      <c r="AB95" s="652"/>
      <c r="AC95" s="2399"/>
      <c r="AD95" s="653"/>
      <c r="AE95" s="654" t="s">
        <v>22</v>
      </c>
      <c r="AF95" s="654"/>
      <c r="AG95" s="655" t="s">
        <v>693</v>
      </c>
      <c r="AH95" s="656">
        <v>3</v>
      </c>
      <c r="AI95" s="649"/>
      <c r="AJ95" s="649"/>
      <c r="AK95" s="649"/>
      <c r="AL95" s="649"/>
      <c r="AM95" s="649"/>
      <c r="AN95" s="649"/>
      <c r="AO95" s="649"/>
      <c r="AP95" s="649"/>
      <c r="AQ95" s="649"/>
      <c r="AR95" s="649"/>
      <c r="AS95" s="649"/>
      <c r="AT95" s="649"/>
      <c r="AU95" s="649"/>
      <c r="AV95" s="649"/>
      <c r="AW95" s="649"/>
      <c r="AX95" s="649"/>
      <c r="AY95" s="649"/>
      <c r="AZ95" s="649"/>
      <c r="BA95" s="649"/>
      <c r="BB95" s="649"/>
      <c r="BC95" s="649"/>
      <c r="BD95" s="649"/>
      <c r="BE95" s="649"/>
      <c r="BF95" s="649"/>
      <c r="BG95" s="649"/>
      <c r="BH95" s="649"/>
      <c r="BI95" s="649"/>
      <c r="BJ95" s="649"/>
      <c r="BK95" s="649"/>
      <c r="BL95" s="649"/>
      <c r="BM95" s="649"/>
      <c r="BN95" s="649"/>
      <c r="BO95" s="649"/>
      <c r="BP95" s="649"/>
      <c r="BQ95" s="649"/>
      <c r="BR95" s="649"/>
      <c r="BS95" s="649"/>
      <c r="BT95" s="649"/>
      <c r="BU95" s="649"/>
      <c r="BV95" s="650"/>
      <c r="BW95" s="650"/>
      <c r="BX95" s="650"/>
      <c r="BY95" s="650"/>
      <c r="BZ95" s="650"/>
      <c r="CA95" s="650"/>
      <c r="CB95" s="650"/>
      <c r="CC95" s="650"/>
      <c r="CD95" s="650"/>
      <c r="CE95" s="650"/>
      <c r="CF95" s="1874"/>
    </row>
    <row customHeight="1" ht="15" hidden="1">
      <c r="A96" s="647"/>
      <c r="B96" s="648"/>
      <c r="C96" s="648"/>
      <c r="D96" s="2603"/>
      <c r="E96" s="2401" t="s">
        <v>648</v>
      </c>
      <c r="F96" s="2402"/>
      <c r="G96" s="2403"/>
      <c r="H96" s="2407" t="str">
        <f>IF(A95="","",INDEX(DIFFERENTIATION_UNMERGE_AREA,MATCH(A95,DIFFERENTIATION_ID_DIFF,0)))</f>
        <v>Территория 6</v>
      </c>
      <c r="I96" s="2407"/>
      <c r="J96" s="2407"/>
      <c r="K96" s="2407"/>
      <c r="L96" s="2407"/>
      <c r="M96" s="2407"/>
      <c r="N96" s="2407"/>
      <c r="O96" s="2407"/>
      <c r="P96" s="2407"/>
      <c r="Q96" s="2407"/>
      <c r="R96" s="2407"/>
      <c r="S96" s="743"/>
      <c r="T96" s="740"/>
      <c r="U96" s="649"/>
      <c r="V96" s="649"/>
      <c r="W96" s="650"/>
      <c r="X96" s="650"/>
      <c r="Y96" s="650"/>
      <c r="Z96" s="650"/>
      <c r="AA96" s="651"/>
      <c r="AB96" s="652"/>
      <c r="AC96" s="2399"/>
      <c r="AD96" s="653"/>
      <c r="AE96" s="654"/>
      <c r="AF96" s="654"/>
      <c r="AG96" s="655"/>
      <c r="AH96" s="656"/>
      <c r="AI96" s="649"/>
      <c r="AJ96" s="649"/>
      <c r="AK96" s="649"/>
      <c r="AL96" s="649"/>
      <c r="AM96" s="649"/>
      <c r="AN96" s="649"/>
      <c r="AO96" s="649"/>
      <c r="AP96" s="649"/>
      <c r="AQ96" s="649"/>
      <c r="AR96" s="649"/>
      <c r="AS96" s="649"/>
      <c r="AT96" s="649"/>
      <c r="AU96" s="649"/>
      <c r="AV96" s="649"/>
      <c r="AW96" s="649"/>
      <c r="AX96" s="649"/>
      <c r="AY96" s="649"/>
      <c r="AZ96" s="649"/>
      <c r="BA96" s="649"/>
      <c r="BB96" s="649"/>
      <c r="BC96" s="649"/>
      <c r="BD96" s="649"/>
      <c r="BE96" s="649"/>
      <c r="BF96" s="649"/>
      <c r="BG96" s="649"/>
      <c r="BH96" s="649"/>
      <c r="BI96" s="649"/>
      <c r="BJ96" s="649"/>
      <c r="BK96" s="649"/>
      <c r="BL96" s="649"/>
      <c r="BM96" s="649"/>
      <c r="BN96" s="649"/>
      <c r="BO96" s="649"/>
      <c r="BP96" s="649"/>
      <c r="BQ96" s="649"/>
      <c r="BR96" s="649"/>
      <c r="BS96" s="649"/>
      <c r="BT96" s="649"/>
      <c r="BU96" s="649"/>
      <c r="BV96" s="650"/>
      <c r="BW96" s="650"/>
      <c r="BX96" s="650"/>
      <c r="BY96" s="650"/>
      <c r="BZ96" s="650"/>
      <c r="CA96" s="650"/>
      <c r="CB96" s="650"/>
      <c r="CC96" s="650"/>
      <c r="CD96" s="650"/>
      <c r="CE96" s="650"/>
      <c r="CF96" s="1874"/>
    </row>
    <row customHeight="1" ht="15" hidden="1">
      <c r="A97" s="647"/>
      <c r="B97" s="648"/>
      <c r="C97" s="648"/>
      <c r="D97" s="2603"/>
      <c r="E97" s="2401" t="s">
        <v>649</v>
      </c>
      <c r="F97" s="2402"/>
      <c r="G97" s="2403"/>
      <c r="H97" s="2407" t="str">
        <f>IF(A95="","",INDEX(DIFFERENTIATION_UNMERGE_SYSTEM,MATCH(A95,DIFFERENTIATION_ID_DIFF,0)))</f>
        <v>Ургальская котельная (п. Чегдомын)</v>
      </c>
      <c r="I97" s="2407"/>
      <c r="J97" s="2407"/>
      <c r="K97" s="2407"/>
      <c r="L97" s="2407"/>
      <c r="M97" s="2407"/>
      <c r="N97" s="2407"/>
      <c r="O97" s="2407"/>
      <c r="P97" s="2407"/>
      <c r="Q97" s="2407"/>
      <c r="R97" s="2407"/>
      <c r="S97" s="743"/>
      <c r="T97" s="740"/>
      <c r="U97" s="649"/>
      <c r="V97" s="649"/>
      <c r="W97" s="650"/>
      <c r="X97" s="650"/>
      <c r="Y97" s="650"/>
      <c r="Z97" s="650"/>
      <c r="AA97" s="651"/>
      <c r="AB97" s="652"/>
      <c r="AC97" s="2399"/>
      <c r="AD97" s="653"/>
      <c r="AE97" s="654"/>
      <c r="AF97" s="654"/>
      <c r="AG97" s="655"/>
      <c r="AH97" s="656"/>
      <c r="AI97" s="649"/>
      <c r="AJ97" s="649"/>
      <c r="AK97" s="649"/>
      <c r="AL97" s="649"/>
      <c r="AM97" s="649"/>
      <c r="AN97" s="649"/>
      <c r="AO97" s="649"/>
      <c r="AP97" s="649"/>
      <c r="AQ97" s="649"/>
      <c r="AR97" s="649"/>
      <c r="AS97" s="649"/>
      <c r="AT97" s="649"/>
      <c r="AU97" s="649"/>
      <c r="AV97" s="649"/>
      <c r="AW97" s="649"/>
      <c r="AX97" s="649"/>
      <c r="AY97" s="649"/>
      <c r="AZ97" s="649"/>
      <c r="BA97" s="649"/>
      <c r="BB97" s="649"/>
      <c r="BC97" s="649"/>
      <c r="BD97" s="649"/>
      <c r="BE97" s="649"/>
      <c r="BF97" s="649"/>
      <c r="BG97" s="649"/>
      <c r="BH97" s="649"/>
      <c r="BI97" s="649"/>
      <c r="BJ97" s="649"/>
      <c r="BK97" s="649"/>
      <c r="BL97" s="649"/>
      <c r="BM97" s="649"/>
      <c r="BN97" s="649"/>
      <c r="BO97" s="649"/>
      <c r="BP97" s="649"/>
      <c r="BQ97" s="649"/>
      <c r="BR97" s="649"/>
      <c r="BS97" s="649"/>
      <c r="BT97" s="649"/>
      <c r="BU97" s="649"/>
      <c r="BV97" s="650"/>
      <c r="BW97" s="650"/>
      <c r="BX97" s="650"/>
      <c r="BY97" s="650"/>
      <c r="BZ97" s="650"/>
      <c r="CA97" s="650"/>
      <c r="CB97" s="650"/>
      <c r="CC97" s="650"/>
      <c r="CD97" s="650"/>
      <c r="CE97" s="650"/>
      <c r="CF97" s="1874"/>
    </row>
    <row customHeight="1" ht="24.75" hidden="1">
      <c r="A98" s="1830"/>
      <c r="B98" s="1184"/>
      <c r="C98" s="436"/>
      <c r="D98" s="2603"/>
      <c r="E98" s="2400" t="s">
        <v>694</v>
      </c>
      <c r="F98" s="2400"/>
      <c r="G98" s="2400"/>
      <c r="H98" s="2400"/>
      <c r="I98" s="2400"/>
      <c r="J98" s="2400"/>
      <c r="K98" s="2400"/>
      <c r="L98" s="2400"/>
      <c r="M98" s="2400"/>
      <c r="N98" s="2400"/>
      <c r="O98" s="2400"/>
      <c r="P98" s="2400"/>
      <c r="Q98" s="582">
        <f>SUMIF(T99:T100,"i",Q99:Q100)</f>
        <v>0</v>
      </c>
      <c r="R98" s="1041"/>
      <c r="S98" s="1822" t="s">
        <v>695</v>
      </c>
      <c r="T98" s="741" t="s">
        <v>696</v>
      </c>
      <c r="U98" s="2398">
        <v>1</v>
      </c>
      <c r="V98" s="2398" t="s">
        <v>659</v>
      </c>
      <c r="W98" s="1184"/>
      <c r="X98" s="1184"/>
      <c r="Y98" s="1184"/>
      <c r="Z98" s="1184"/>
      <c r="AA98" s="1660"/>
      <c r="AB98" s="1184"/>
      <c r="AC98" s="2399"/>
      <c r="AD98" s="653"/>
      <c r="AE98" s="1184"/>
      <c r="AF98" s="1184"/>
      <c r="AG98" s="1660"/>
      <c r="AH98" s="1660"/>
      <c r="AI98" s="1660"/>
      <c r="AJ98" s="1660"/>
      <c r="AK98" s="1660"/>
      <c r="AL98" s="1660"/>
      <c r="AM98" s="1660"/>
      <c r="AN98" s="1660"/>
      <c r="AO98" s="1660"/>
      <c r="AP98" s="1660"/>
      <c r="AQ98" s="1660"/>
      <c r="AR98" s="1660"/>
      <c r="AS98" s="1660"/>
      <c r="AT98" s="1660"/>
      <c r="AU98" s="1660"/>
      <c r="AV98" s="1660"/>
      <c r="AW98" s="1660"/>
      <c r="AX98" s="1660"/>
      <c r="AY98" s="1660"/>
      <c r="AZ98" s="1660"/>
      <c r="BA98" s="1660"/>
      <c r="BB98" s="1660"/>
      <c r="BC98" s="1660"/>
      <c r="BD98" s="1660"/>
      <c r="BE98" s="1660"/>
      <c r="BF98" s="1660"/>
      <c r="BG98" s="1660"/>
      <c r="BH98" s="1660"/>
      <c r="BI98" s="1660"/>
      <c r="BJ98" s="1660"/>
      <c r="BK98" s="1660"/>
      <c r="BL98" s="1660"/>
      <c r="BM98" s="1660"/>
      <c r="BN98" s="1660"/>
      <c r="BO98" s="1660"/>
      <c r="BP98" s="1660"/>
      <c r="BQ98" s="1660"/>
      <c r="BR98" s="1660"/>
      <c r="BS98" s="1660"/>
      <c r="BT98" s="1660"/>
      <c r="BU98" s="1660"/>
      <c r="BV98" s="1184"/>
      <c r="BW98" s="1184"/>
      <c r="BX98" s="1184"/>
      <c r="BY98" s="1184"/>
      <c r="BZ98" s="1184"/>
      <c r="CA98" s="1184"/>
      <c r="CB98" s="1184"/>
      <c r="CC98" s="1184"/>
      <c r="CD98" s="1184"/>
      <c r="CE98" s="1184"/>
      <c r="CF98" s="1874"/>
    </row>
    <row customHeight="1" ht="11.25" hidden="1">
      <c r="A99" s="1817"/>
      <c r="B99" s="1660"/>
      <c r="C99" s="1660"/>
      <c r="D99" s="2603"/>
      <c r="E99" s="659"/>
      <c r="F99" s="659">
        <v>0</v>
      </c>
      <c r="G99" s="659"/>
      <c r="H99" s="659"/>
      <c r="I99" s="659"/>
      <c r="J99" s="659"/>
      <c r="K99" s="659"/>
      <c r="L99" s="659"/>
      <c r="M99" s="659"/>
      <c r="N99" s="659"/>
      <c r="O99" s="659"/>
      <c r="P99" s="659"/>
      <c r="Q99" s="659"/>
      <c r="R99" s="659"/>
      <c r="S99" s="660"/>
      <c r="T99" s="742"/>
      <c r="U99" s="2398"/>
      <c r="V99" s="2398"/>
      <c r="W99" s="1660"/>
      <c r="X99" s="1660"/>
      <c r="Y99" s="1660"/>
      <c r="Z99" s="1660"/>
      <c r="AA99" s="1660"/>
      <c r="AB99" s="1184"/>
      <c r="AC99" s="2399"/>
      <c r="AD99" s="653"/>
      <c r="AE99" s="1184"/>
      <c r="AF99" s="1184"/>
      <c r="AG99" s="1660"/>
      <c r="AH99" s="1660"/>
      <c r="AI99" s="1660"/>
      <c r="AJ99" s="1660"/>
      <c r="AK99" s="1660"/>
      <c r="AL99" s="1660"/>
      <c r="AM99" s="1660"/>
      <c r="AN99" s="1660"/>
      <c r="AO99" s="1660"/>
      <c r="AP99" s="1660"/>
      <c r="AQ99" s="1660"/>
      <c r="AR99" s="1660"/>
      <c r="AS99" s="1660"/>
      <c r="AT99" s="1660"/>
      <c r="AU99" s="1660"/>
      <c r="AV99" s="1660"/>
      <c r="AW99" s="1660"/>
      <c r="AX99" s="1660"/>
      <c r="AY99" s="1660"/>
      <c r="AZ99" s="1660"/>
      <c r="BA99" s="1660"/>
      <c r="BB99" s="1660"/>
      <c r="BC99" s="1660"/>
      <c r="BD99" s="1660"/>
      <c r="BE99" s="1660"/>
      <c r="BF99" s="1660"/>
      <c r="BG99" s="1660"/>
      <c r="BH99" s="1660"/>
      <c r="BI99" s="1660"/>
      <c r="BJ99" s="1660"/>
      <c r="BK99" s="1660"/>
      <c r="BL99" s="1660"/>
      <c r="BM99" s="1660"/>
      <c r="BN99" s="1660"/>
      <c r="BO99" s="1660"/>
      <c r="BP99" s="1660"/>
      <c r="BQ99" s="1660"/>
      <c r="BR99" s="1660"/>
      <c r="BS99" s="1660"/>
      <c r="BT99" s="1660"/>
      <c r="BU99" s="1660"/>
      <c r="BV99" s="1660"/>
      <c r="BW99" s="1660"/>
      <c r="BX99" s="1660"/>
      <c r="BY99" s="1660"/>
      <c r="BZ99" s="1660"/>
      <c r="CA99" s="1660"/>
      <c r="CB99" s="1660"/>
      <c r="CC99" s="1660"/>
      <c r="CD99" s="1660"/>
      <c r="CE99" s="1660"/>
      <c r="CF99" s="1874"/>
    </row>
    <row customHeight="1" ht="11.25" hidden="1">
      <c r="A100" s="1830"/>
      <c r="B100" s="1184"/>
      <c r="C100" s="436"/>
      <c r="D100" s="2603"/>
      <c r="E100" s="673" t="s">
        <v>22</v>
      </c>
      <c r="F100" s="1192" t="s">
        <v>22</v>
      </c>
      <c r="G100" s="1192" t="s">
        <v>699</v>
      </c>
      <c r="H100" s="675" t="s">
        <v>22</v>
      </c>
      <c r="I100" s="675"/>
      <c r="J100" s="675"/>
      <c r="K100" s="675"/>
      <c r="L100" s="675"/>
      <c r="M100" s="675"/>
      <c r="N100" s="675"/>
      <c r="O100" s="675"/>
      <c r="P100" s="675"/>
      <c r="Q100" s="675"/>
      <c r="R100" s="676"/>
      <c r="S100" s="677"/>
      <c r="T100" s="742"/>
      <c r="U100" s="2398"/>
      <c r="V100" s="2398"/>
      <c r="W100" s="1184"/>
      <c r="X100" s="1184"/>
      <c r="Y100" s="1184"/>
      <c r="Z100" s="1184"/>
      <c r="AA100" s="1660"/>
      <c r="AB100" s="1184"/>
      <c r="AC100" s="2399"/>
      <c r="AD100" s="653"/>
      <c r="AE100" s="1184"/>
      <c r="AF100" s="1184"/>
      <c r="AG100" s="1660"/>
      <c r="AH100" s="1660"/>
      <c r="AI100" s="1660"/>
      <c r="AJ100" s="1660"/>
      <c r="AK100" s="1660"/>
      <c r="AL100" s="1660"/>
      <c r="AM100" s="1660"/>
      <c r="AN100" s="1660"/>
      <c r="AO100" s="1660"/>
      <c r="AP100" s="1660"/>
      <c r="AQ100" s="1660"/>
      <c r="AR100" s="1660"/>
      <c r="AS100" s="1660"/>
      <c r="AT100" s="1660"/>
      <c r="AU100" s="1660"/>
      <c r="AV100" s="1660"/>
      <c r="AW100" s="1660"/>
      <c r="AX100" s="1660"/>
      <c r="AY100" s="1660"/>
      <c r="AZ100" s="1660"/>
      <c r="BA100" s="1660"/>
      <c r="BB100" s="1660"/>
      <c r="BC100" s="1660"/>
      <c r="BD100" s="1660"/>
      <c r="BE100" s="1660"/>
      <c r="BF100" s="1660"/>
      <c r="BG100" s="1660"/>
      <c r="BH100" s="1660"/>
      <c r="BI100" s="1660"/>
      <c r="BJ100" s="1660"/>
      <c r="BK100" s="1660"/>
      <c r="BL100" s="1660"/>
      <c r="BM100" s="1660"/>
      <c r="BN100" s="1660"/>
      <c r="BO100" s="1660"/>
      <c r="BP100" s="1660"/>
      <c r="BQ100" s="1660"/>
      <c r="BR100" s="1660"/>
      <c r="BS100" s="1660"/>
      <c r="BT100" s="1660"/>
      <c r="BU100" s="1660"/>
      <c r="BV100" s="1184"/>
      <c r="BW100" s="1184"/>
      <c r="BX100" s="1184"/>
      <c r="BY100" s="1184"/>
      <c r="BZ100" s="1184"/>
      <c r="CA100" s="1184"/>
      <c r="CB100" s="1184"/>
      <c r="CC100" s="1184"/>
      <c r="CD100" s="1184"/>
      <c r="CE100" s="1184"/>
      <c r="CF100" s="1874"/>
    </row>
    <row customHeight="1" ht="5.25" hidden="1">
      <c r="A101" s="1817"/>
      <c r="B101" s="1660"/>
      <c r="C101" s="1660"/>
      <c r="D101" s="2603"/>
      <c r="E101" s="1063"/>
      <c r="F101" s="1063"/>
      <c r="G101" s="1063"/>
      <c r="H101" s="1063"/>
      <c r="I101" s="1063"/>
      <c r="J101" s="1063"/>
      <c r="K101" s="1063"/>
      <c r="L101" s="1063"/>
      <c r="M101" s="1063"/>
      <c r="N101" s="1063"/>
      <c r="O101" s="1063"/>
      <c r="P101" s="1063"/>
      <c r="Q101" s="1064"/>
      <c r="R101" s="1065"/>
      <c r="S101" s="1066"/>
      <c r="T101" s="741" t="s">
        <v>696</v>
      </c>
      <c r="U101" s="2398">
        <v>1</v>
      </c>
      <c r="V101" s="2398" t="s">
        <v>659</v>
      </c>
      <c r="W101" s="1660"/>
      <c r="X101" s="1660"/>
      <c r="Y101" s="1660"/>
      <c r="Z101" s="1660"/>
      <c r="AA101" s="1660"/>
      <c r="AB101" s="1660"/>
      <c r="AC101" s="1061"/>
      <c r="AD101" s="1062"/>
      <c r="AE101" s="1660"/>
      <c r="AF101" s="1660"/>
      <c r="AG101" s="1660"/>
      <c r="AH101" s="1660"/>
      <c r="AI101" s="1660"/>
      <c r="AJ101" s="1660"/>
      <c r="AK101" s="1660"/>
      <c r="AL101" s="1660"/>
      <c r="AM101" s="1660"/>
      <c r="AN101" s="1660"/>
      <c r="AO101" s="1660"/>
      <c r="AP101" s="1660"/>
      <c r="AQ101" s="1660"/>
      <c r="AR101" s="1660"/>
      <c r="AS101" s="1660"/>
      <c r="AT101" s="1660"/>
      <c r="AU101" s="1660"/>
      <c r="AV101" s="1660"/>
      <c r="AW101" s="1660"/>
      <c r="AX101" s="1660"/>
      <c r="AY101" s="1660"/>
      <c r="AZ101" s="1660"/>
      <c r="BA101" s="1660"/>
      <c r="BB101" s="1660"/>
      <c r="BC101" s="1660"/>
      <c r="BD101" s="1660"/>
      <c r="BE101" s="1660"/>
      <c r="BF101" s="1660"/>
      <c r="BG101" s="1660"/>
      <c r="BH101" s="1660"/>
      <c r="BI101" s="1660"/>
      <c r="BJ101" s="1660"/>
      <c r="BK101" s="1660"/>
      <c r="BL101" s="1660"/>
      <c r="BM101" s="1660"/>
      <c r="BN101" s="1660"/>
      <c r="BO101" s="1660"/>
      <c r="BP101" s="1660"/>
      <c r="BQ101" s="1660"/>
      <c r="BR101" s="1660"/>
      <c r="BS101" s="1660"/>
      <c r="BT101" s="1660"/>
      <c r="BU101" s="1660"/>
      <c r="BV101" s="1660"/>
      <c r="BW101" s="1660"/>
      <c r="BX101" s="1660"/>
      <c r="BY101" s="1660"/>
      <c r="BZ101" s="1660"/>
      <c r="CA101" s="1660"/>
      <c r="CB101" s="1660"/>
      <c r="CC101" s="1660"/>
      <c r="CD101" s="1660"/>
      <c r="CE101" s="1660"/>
      <c r="CF101" s="1340"/>
    </row>
    <row customHeight="1" ht="5.25" hidden="1">
      <c r="A102" s="1817"/>
      <c r="B102" s="1660"/>
      <c r="C102" s="1660"/>
      <c r="D102" s="2603"/>
      <c r="E102" s="659"/>
      <c r="F102" s="659"/>
      <c r="G102" s="659"/>
      <c r="H102" s="659"/>
      <c r="I102" s="659"/>
      <c r="J102" s="659"/>
      <c r="K102" s="659"/>
      <c r="L102" s="659"/>
      <c r="M102" s="659"/>
      <c r="N102" s="659"/>
      <c r="O102" s="659"/>
      <c r="P102" s="659"/>
      <c r="Q102" s="659"/>
      <c r="R102" s="659"/>
      <c r="S102" s="660"/>
      <c r="T102" s="742"/>
      <c r="U102" s="2398"/>
      <c r="V102" s="2398"/>
      <c r="W102" s="1660"/>
      <c r="X102" s="1660"/>
      <c r="Y102" s="1660"/>
      <c r="Z102" s="1660"/>
      <c r="AA102" s="1660"/>
      <c r="AB102" s="1660"/>
      <c r="AC102" s="1061"/>
      <c r="AD102" s="1062"/>
      <c r="AE102" s="1660"/>
      <c r="AF102" s="1660"/>
      <c r="AG102" s="1660"/>
      <c r="AH102" s="1660"/>
      <c r="AI102" s="1660"/>
      <c r="AJ102" s="1660"/>
      <c r="AK102" s="1660"/>
      <c r="AL102" s="1660"/>
      <c r="AM102" s="1660"/>
      <c r="AN102" s="1660"/>
      <c r="AO102" s="1660"/>
      <c r="AP102" s="1660"/>
      <c r="AQ102" s="1660"/>
      <c r="AR102" s="1660"/>
      <c r="AS102" s="1660"/>
      <c r="AT102" s="1660"/>
      <c r="AU102" s="1660"/>
      <c r="AV102" s="1660"/>
      <c r="AW102" s="1660"/>
      <c r="AX102" s="1660"/>
      <c r="AY102" s="1660"/>
      <c r="AZ102" s="1660"/>
      <c r="BA102" s="1660"/>
      <c r="BB102" s="1660"/>
      <c r="BC102" s="1660"/>
      <c r="BD102" s="1660"/>
      <c r="BE102" s="1660"/>
      <c r="BF102" s="1660"/>
      <c r="BG102" s="1660"/>
      <c r="BH102" s="1660"/>
      <c r="BI102" s="1660"/>
      <c r="BJ102" s="1660"/>
      <c r="BK102" s="1660"/>
      <c r="BL102" s="1660"/>
      <c r="BM102" s="1660"/>
      <c r="BN102" s="1660"/>
      <c r="BO102" s="1660"/>
      <c r="BP102" s="1660"/>
      <c r="BQ102" s="1660"/>
      <c r="BR102" s="1660"/>
      <c r="BS102" s="1660"/>
      <c r="BT102" s="1660"/>
      <c r="BU102" s="1660"/>
      <c r="BV102" s="1660"/>
      <c r="BW102" s="1660"/>
      <c r="BX102" s="1660"/>
      <c r="BY102" s="1660"/>
      <c r="BZ102" s="1660"/>
      <c r="CA102" s="1660"/>
      <c r="CB102" s="1660"/>
      <c r="CC102" s="1660"/>
      <c r="CD102" s="1660"/>
      <c r="CE102" s="1660"/>
      <c r="CF102" s="1340"/>
    </row>
    <row customHeight="1" ht="5.25" hidden="1">
      <c r="A103" s="1817"/>
      <c r="B103" s="1660"/>
      <c r="C103" s="1660"/>
      <c r="D103" s="2604"/>
      <c r="E103" s="1067"/>
      <c r="F103" s="1068"/>
      <c r="G103" s="1068"/>
      <c r="H103" s="1069"/>
      <c r="I103" s="1069"/>
      <c r="J103" s="1069"/>
      <c r="K103" s="1069"/>
      <c r="L103" s="1069"/>
      <c r="M103" s="1069"/>
      <c r="N103" s="1069"/>
      <c r="O103" s="1069"/>
      <c r="P103" s="1069"/>
      <c r="Q103" s="1069"/>
      <c r="R103" s="970"/>
      <c r="S103" s="1070"/>
      <c r="T103" s="742"/>
      <c r="U103" s="2398"/>
      <c r="V103" s="2398"/>
      <c r="W103" s="1660"/>
      <c r="X103" s="1660"/>
      <c r="Y103" s="1660"/>
      <c r="Z103" s="1660"/>
      <c r="AA103" s="1660"/>
      <c r="AB103" s="1660"/>
      <c r="AC103" s="1061"/>
      <c r="AD103" s="1062"/>
      <c r="AE103" s="1660"/>
      <c r="AF103" s="1660"/>
      <c r="AG103" s="1660"/>
      <c r="AH103" s="1660"/>
      <c r="AI103" s="1660"/>
      <c r="AJ103" s="1660"/>
      <c r="AK103" s="1660"/>
      <c r="AL103" s="1660"/>
      <c r="AM103" s="1660"/>
      <c r="AN103" s="1660"/>
      <c r="AO103" s="1660"/>
      <c r="AP103" s="1660"/>
      <c r="AQ103" s="1660"/>
      <c r="AR103" s="1660"/>
      <c r="AS103" s="1660"/>
      <c r="AT103" s="1660"/>
      <c r="AU103" s="1660"/>
      <c r="AV103" s="1660"/>
      <c r="AW103" s="1660"/>
      <c r="AX103" s="1660"/>
      <c r="AY103" s="1660"/>
      <c r="AZ103" s="1660"/>
      <c r="BA103" s="1660"/>
      <c r="BB103" s="1660"/>
      <c r="BC103" s="1660"/>
      <c r="BD103" s="1660"/>
      <c r="BE103" s="1660"/>
      <c r="BF103" s="1660"/>
      <c r="BG103" s="1660"/>
      <c r="BH103" s="1660"/>
      <c r="BI103" s="1660"/>
      <c r="BJ103" s="1660"/>
      <c r="BK103" s="1660"/>
      <c r="BL103" s="1660"/>
      <c r="BM103" s="1660"/>
      <c r="BN103" s="1660"/>
      <c r="BO103" s="1660"/>
      <c r="BP103" s="1660"/>
      <c r="BQ103" s="1660"/>
      <c r="BR103" s="1660"/>
      <c r="BS103" s="1660"/>
      <c r="BT103" s="1660"/>
      <c r="BU103" s="1660"/>
      <c r="BV103" s="1660"/>
      <c r="BW103" s="1660"/>
      <c r="BX103" s="1660"/>
      <c r="BY103" s="1660"/>
      <c r="BZ103" s="1660"/>
      <c r="CA103" s="1660"/>
      <c r="CB103" s="1660"/>
      <c r="CC103" s="1660"/>
      <c r="CD103" s="1660"/>
      <c r="CE103" s="1660"/>
      <c r="CF103" s="1340"/>
    </row>
    <row customHeight="1" ht="15" hidden="1">
      <c r="A104" s="647" t="s">
        <v>199</v>
      </c>
      <c r="B104" s="648"/>
      <c r="C104" s="648" t="s">
        <v>22</v>
      </c>
      <c r="D104" s="2602" t="s">
        <v>708</v>
      </c>
      <c r="E104" s="2401" t="s">
        <v>166</v>
      </c>
      <c r="F104" s="2402"/>
      <c r="G104" s="2403"/>
      <c r="H104" s="2407" t="str">
        <f>IF(A104="","",INDEX(DIFFERENTIATION_UNMERGE_VD,MATCH(A104,DIFFERENTIATION_ID_DIFF,0)))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104" s="2407"/>
      <c r="J104" s="2407"/>
      <c r="K104" s="2407"/>
      <c r="L104" s="2407"/>
      <c r="M104" s="2407"/>
      <c r="N104" s="2407"/>
      <c r="O104" s="2407"/>
      <c r="P104" s="2407"/>
      <c r="Q104" s="2407"/>
      <c r="R104" s="2407"/>
      <c r="S104" s="743"/>
      <c r="T104" s="740"/>
      <c r="U104" s="649"/>
      <c r="V104" s="649"/>
      <c r="W104" s="650"/>
      <c r="X104" s="650"/>
      <c r="Y104" s="650"/>
      <c r="Z104" s="650"/>
      <c r="AA104" s="651"/>
      <c r="AB104" s="652"/>
      <c r="AC104" s="2399"/>
      <c r="AD104" s="653"/>
      <c r="AE104" s="654" t="s">
        <v>22</v>
      </c>
      <c r="AF104" s="654"/>
      <c r="AG104" s="655" t="s">
        <v>693</v>
      </c>
      <c r="AH104" s="656">
        <v>3</v>
      </c>
      <c r="AI104" s="649"/>
      <c r="AJ104" s="649"/>
      <c r="AK104" s="649"/>
      <c r="AL104" s="649"/>
      <c r="AM104" s="649"/>
      <c r="AN104" s="649"/>
      <c r="AO104" s="649"/>
      <c r="AP104" s="649"/>
      <c r="AQ104" s="649"/>
      <c r="AR104" s="649"/>
      <c r="AS104" s="649"/>
      <c r="AT104" s="649"/>
      <c r="AU104" s="649"/>
      <c r="AV104" s="649"/>
      <c r="AW104" s="649"/>
      <c r="AX104" s="649"/>
      <c r="AY104" s="649"/>
      <c r="AZ104" s="649"/>
      <c r="BA104" s="649"/>
      <c r="BB104" s="649"/>
      <c r="BC104" s="649"/>
      <c r="BD104" s="649"/>
      <c r="BE104" s="649"/>
      <c r="BF104" s="649"/>
      <c r="BG104" s="649"/>
      <c r="BH104" s="649"/>
      <c r="BI104" s="649"/>
      <c r="BJ104" s="649"/>
      <c r="BK104" s="649"/>
      <c r="BL104" s="649"/>
      <c r="BM104" s="649"/>
      <c r="BN104" s="649"/>
      <c r="BO104" s="649"/>
      <c r="BP104" s="649"/>
      <c r="BQ104" s="649"/>
      <c r="BR104" s="649"/>
      <c r="BS104" s="649"/>
      <c r="BT104" s="649"/>
      <c r="BU104" s="649"/>
      <c r="BV104" s="650"/>
      <c r="BW104" s="650"/>
      <c r="BX104" s="650"/>
      <c r="BY104" s="650"/>
      <c r="BZ104" s="650"/>
      <c r="CA104" s="650"/>
      <c r="CB104" s="650"/>
      <c r="CC104" s="650"/>
      <c r="CD104" s="650"/>
      <c r="CE104" s="650"/>
      <c r="CF104" s="1874"/>
    </row>
    <row customHeight="1" ht="15" hidden="1">
      <c r="A105" s="647"/>
      <c r="B105" s="648"/>
      <c r="C105" s="648"/>
      <c r="D105" s="2603"/>
      <c r="E105" s="2401" t="s">
        <v>648</v>
      </c>
      <c r="F105" s="2402"/>
      <c r="G105" s="2403"/>
      <c r="H105" s="2407" t="str">
        <f>IF(A104="","",INDEX(DIFFERENTIATION_UNMERGE_AREA,MATCH(A104,DIFFERENTIATION_ID_DIFF,0)))</f>
        <v>Территория 7</v>
      </c>
      <c r="I105" s="2407"/>
      <c r="J105" s="2407"/>
      <c r="K105" s="2407"/>
      <c r="L105" s="2407"/>
      <c r="M105" s="2407"/>
      <c r="N105" s="2407"/>
      <c r="O105" s="2407"/>
      <c r="P105" s="2407"/>
      <c r="Q105" s="2407"/>
      <c r="R105" s="2407"/>
      <c r="S105" s="743"/>
      <c r="T105" s="740"/>
      <c r="U105" s="649"/>
      <c r="V105" s="649"/>
      <c r="W105" s="650"/>
      <c r="X105" s="650"/>
      <c r="Y105" s="650"/>
      <c r="Z105" s="650"/>
      <c r="AA105" s="651"/>
      <c r="AB105" s="652"/>
      <c r="AC105" s="2399"/>
      <c r="AD105" s="653"/>
      <c r="AE105" s="654"/>
      <c r="AF105" s="654"/>
      <c r="AG105" s="655"/>
      <c r="AH105" s="656"/>
      <c r="AI105" s="649"/>
      <c r="AJ105" s="649"/>
      <c r="AK105" s="649"/>
      <c r="AL105" s="649"/>
      <c r="AM105" s="649"/>
      <c r="AN105" s="649"/>
      <c r="AO105" s="649"/>
      <c r="AP105" s="649"/>
      <c r="AQ105" s="649"/>
      <c r="AR105" s="649"/>
      <c r="AS105" s="649"/>
      <c r="AT105" s="649"/>
      <c r="AU105" s="649"/>
      <c r="AV105" s="649"/>
      <c r="AW105" s="649"/>
      <c r="AX105" s="649"/>
      <c r="AY105" s="649"/>
      <c r="AZ105" s="649"/>
      <c r="BA105" s="649"/>
      <c r="BB105" s="649"/>
      <c r="BC105" s="649"/>
      <c r="BD105" s="649"/>
      <c r="BE105" s="649"/>
      <c r="BF105" s="649"/>
      <c r="BG105" s="649"/>
      <c r="BH105" s="649"/>
      <c r="BI105" s="649"/>
      <c r="BJ105" s="649"/>
      <c r="BK105" s="649"/>
      <c r="BL105" s="649"/>
      <c r="BM105" s="649"/>
      <c r="BN105" s="649"/>
      <c r="BO105" s="649"/>
      <c r="BP105" s="649"/>
      <c r="BQ105" s="649"/>
      <c r="BR105" s="649"/>
      <c r="BS105" s="649"/>
      <c r="BT105" s="649"/>
      <c r="BU105" s="649"/>
      <c r="BV105" s="650"/>
      <c r="BW105" s="650"/>
      <c r="BX105" s="650"/>
      <c r="BY105" s="650"/>
      <c r="BZ105" s="650"/>
      <c r="CA105" s="650"/>
      <c r="CB105" s="650"/>
      <c r="CC105" s="650"/>
      <c r="CD105" s="650"/>
      <c r="CE105" s="650"/>
      <c r="CF105" s="1874"/>
    </row>
    <row customHeight="1" ht="15" hidden="1">
      <c r="A106" s="647"/>
      <c r="B106" s="648"/>
      <c r="C106" s="648"/>
      <c r="D106" s="2603"/>
      <c r="E106" s="2401" t="s">
        <v>649</v>
      </c>
      <c r="F106" s="2402"/>
      <c r="G106" s="2403"/>
      <c r="H106" s="2407" t="str">
        <f>IF(A104="","",INDEX(DIFFERENTIATION_UNMERGE_SYSTEM,MATCH(A104,DIFFERENTIATION_ID_DIFF,0)))</f>
        <v>Хабаровская ТЭЦ-1 (г. Хабаровск, с. Ильинское, п. Корфовский, с. Ракитненское)</v>
      </c>
      <c r="I106" s="2407"/>
      <c r="J106" s="2407"/>
      <c r="K106" s="2407"/>
      <c r="L106" s="2407"/>
      <c r="M106" s="2407"/>
      <c r="N106" s="2407"/>
      <c r="O106" s="2407"/>
      <c r="P106" s="2407"/>
      <c r="Q106" s="2407"/>
      <c r="R106" s="2407"/>
      <c r="S106" s="743"/>
      <c r="T106" s="740"/>
      <c r="U106" s="649"/>
      <c r="V106" s="649"/>
      <c r="W106" s="650"/>
      <c r="X106" s="650"/>
      <c r="Y106" s="650"/>
      <c r="Z106" s="650"/>
      <c r="AA106" s="651"/>
      <c r="AB106" s="652"/>
      <c r="AC106" s="2399"/>
      <c r="AD106" s="653"/>
      <c r="AE106" s="654"/>
      <c r="AF106" s="654"/>
      <c r="AG106" s="655"/>
      <c r="AH106" s="656"/>
      <c r="AI106" s="649"/>
      <c r="AJ106" s="649"/>
      <c r="AK106" s="649"/>
      <c r="AL106" s="649"/>
      <c r="AM106" s="649"/>
      <c r="AN106" s="649"/>
      <c r="AO106" s="649"/>
      <c r="AP106" s="649"/>
      <c r="AQ106" s="649"/>
      <c r="AR106" s="649"/>
      <c r="AS106" s="649"/>
      <c r="AT106" s="649"/>
      <c r="AU106" s="649"/>
      <c r="AV106" s="649"/>
      <c r="AW106" s="649"/>
      <c r="AX106" s="649"/>
      <c r="AY106" s="649"/>
      <c r="AZ106" s="649"/>
      <c r="BA106" s="649"/>
      <c r="BB106" s="649"/>
      <c r="BC106" s="649"/>
      <c r="BD106" s="649"/>
      <c r="BE106" s="649"/>
      <c r="BF106" s="649"/>
      <c r="BG106" s="649"/>
      <c r="BH106" s="649"/>
      <c r="BI106" s="649"/>
      <c r="BJ106" s="649"/>
      <c r="BK106" s="649"/>
      <c r="BL106" s="649"/>
      <c r="BM106" s="649"/>
      <c r="BN106" s="649"/>
      <c r="BO106" s="649"/>
      <c r="BP106" s="649"/>
      <c r="BQ106" s="649"/>
      <c r="BR106" s="649"/>
      <c r="BS106" s="649"/>
      <c r="BT106" s="649"/>
      <c r="BU106" s="649"/>
      <c r="BV106" s="650"/>
      <c r="BW106" s="650"/>
      <c r="BX106" s="650"/>
      <c r="BY106" s="650"/>
      <c r="BZ106" s="650"/>
      <c r="CA106" s="650"/>
      <c r="CB106" s="650"/>
      <c r="CC106" s="650"/>
      <c r="CD106" s="650"/>
      <c r="CE106" s="650"/>
      <c r="CF106" s="1874"/>
    </row>
    <row customHeight="1" ht="24.75" hidden="1">
      <c r="A107" s="1830"/>
      <c r="B107" s="1184"/>
      <c r="C107" s="436"/>
      <c r="D107" s="2603"/>
      <c r="E107" s="2400" t="s">
        <v>694</v>
      </c>
      <c r="F107" s="2400"/>
      <c r="G107" s="2400"/>
      <c r="H107" s="2400"/>
      <c r="I107" s="2400"/>
      <c r="J107" s="2400"/>
      <c r="K107" s="2400"/>
      <c r="L107" s="2400"/>
      <c r="M107" s="2400"/>
      <c r="N107" s="2400"/>
      <c r="O107" s="2400"/>
      <c r="P107" s="2400"/>
      <c r="Q107" s="582">
        <f>SUMIF(T108:T109,"i",Q108:Q109)</f>
        <v>0</v>
      </c>
      <c r="R107" s="1041"/>
      <c r="S107" s="1822" t="s">
        <v>695</v>
      </c>
      <c r="T107" s="741" t="s">
        <v>696</v>
      </c>
      <c r="U107" s="2398">
        <v>1</v>
      </c>
      <c r="V107" s="2398" t="s">
        <v>659</v>
      </c>
      <c r="W107" s="1184"/>
      <c r="X107" s="1184"/>
      <c r="Y107" s="1184"/>
      <c r="Z107" s="1184"/>
      <c r="AA107" s="1660"/>
      <c r="AB107" s="1184"/>
      <c r="AC107" s="2399"/>
      <c r="AD107" s="653"/>
      <c r="AE107" s="1184"/>
      <c r="AF107" s="1184"/>
      <c r="AG107" s="1660"/>
      <c r="AH107" s="1660"/>
      <c r="AI107" s="1660"/>
      <c r="AJ107" s="1660"/>
      <c r="AK107" s="1660"/>
      <c r="AL107" s="1660"/>
      <c r="AM107" s="1660"/>
      <c r="AN107" s="1660"/>
      <c r="AO107" s="1660"/>
      <c r="AP107" s="1660"/>
      <c r="AQ107" s="1660"/>
      <c r="AR107" s="1660"/>
      <c r="AS107" s="1660"/>
      <c r="AT107" s="1660"/>
      <c r="AU107" s="1660"/>
      <c r="AV107" s="1660"/>
      <c r="AW107" s="1660"/>
      <c r="AX107" s="1660"/>
      <c r="AY107" s="1660"/>
      <c r="AZ107" s="1660"/>
      <c r="BA107" s="1660"/>
      <c r="BB107" s="1660"/>
      <c r="BC107" s="1660"/>
      <c r="BD107" s="1660"/>
      <c r="BE107" s="1660"/>
      <c r="BF107" s="1660"/>
      <c r="BG107" s="1660"/>
      <c r="BH107" s="1660"/>
      <c r="BI107" s="1660"/>
      <c r="BJ107" s="1660"/>
      <c r="BK107" s="1660"/>
      <c r="BL107" s="1660"/>
      <c r="BM107" s="1660"/>
      <c r="BN107" s="1660"/>
      <c r="BO107" s="1660"/>
      <c r="BP107" s="1660"/>
      <c r="BQ107" s="1660"/>
      <c r="BR107" s="1660"/>
      <c r="BS107" s="1660"/>
      <c r="BT107" s="1660"/>
      <c r="BU107" s="1660"/>
      <c r="BV107" s="1184"/>
      <c r="BW107" s="1184"/>
      <c r="BX107" s="1184"/>
      <c r="BY107" s="1184"/>
      <c r="BZ107" s="1184"/>
      <c r="CA107" s="1184"/>
      <c r="CB107" s="1184"/>
      <c r="CC107" s="1184"/>
      <c r="CD107" s="1184"/>
      <c r="CE107" s="1184"/>
      <c r="CF107" s="1874"/>
    </row>
    <row customHeight="1" ht="11.25" hidden="1">
      <c r="A108" s="1817"/>
      <c r="B108" s="1660"/>
      <c r="C108" s="1660"/>
      <c r="D108" s="2603"/>
      <c r="E108" s="659"/>
      <c r="F108" s="659">
        <v>0</v>
      </c>
      <c r="G108" s="659"/>
      <c r="H108" s="659"/>
      <c r="I108" s="659"/>
      <c r="J108" s="659"/>
      <c r="K108" s="659"/>
      <c r="L108" s="659"/>
      <c r="M108" s="659"/>
      <c r="N108" s="659"/>
      <c r="O108" s="659"/>
      <c r="P108" s="659"/>
      <c r="Q108" s="659"/>
      <c r="R108" s="659"/>
      <c r="S108" s="660"/>
      <c r="T108" s="742"/>
      <c r="U108" s="2398"/>
      <c r="V108" s="2398"/>
      <c r="W108" s="1660"/>
      <c r="X108" s="1660"/>
      <c r="Y108" s="1660"/>
      <c r="Z108" s="1660"/>
      <c r="AA108" s="1660"/>
      <c r="AB108" s="1184"/>
      <c r="AC108" s="2399"/>
      <c r="AD108" s="653"/>
      <c r="AE108" s="1184"/>
      <c r="AF108" s="1184"/>
      <c r="AG108" s="1660"/>
      <c r="AH108" s="1660"/>
      <c r="AI108" s="1660"/>
      <c r="AJ108" s="1660"/>
      <c r="AK108" s="1660"/>
      <c r="AL108" s="1660"/>
      <c r="AM108" s="1660"/>
      <c r="AN108" s="1660"/>
      <c r="AO108" s="1660"/>
      <c r="AP108" s="1660"/>
      <c r="AQ108" s="1660"/>
      <c r="AR108" s="1660"/>
      <c r="AS108" s="1660"/>
      <c r="AT108" s="1660"/>
      <c r="AU108" s="1660"/>
      <c r="AV108" s="1660"/>
      <c r="AW108" s="1660"/>
      <c r="AX108" s="1660"/>
      <c r="AY108" s="1660"/>
      <c r="AZ108" s="1660"/>
      <c r="BA108" s="1660"/>
      <c r="BB108" s="1660"/>
      <c r="BC108" s="1660"/>
      <c r="BD108" s="1660"/>
      <c r="BE108" s="1660"/>
      <c r="BF108" s="1660"/>
      <c r="BG108" s="1660"/>
      <c r="BH108" s="1660"/>
      <c r="BI108" s="1660"/>
      <c r="BJ108" s="1660"/>
      <c r="BK108" s="1660"/>
      <c r="BL108" s="1660"/>
      <c r="BM108" s="1660"/>
      <c r="BN108" s="1660"/>
      <c r="BO108" s="1660"/>
      <c r="BP108" s="1660"/>
      <c r="BQ108" s="1660"/>
      <c r="BR108" s="1660"/>
      <c r="BS108" s="1660"/>
      <c r="BT108" s="1660"/>
      <c r="BU108" s="1660"/>
      <c r="BV108" s="1660"/>
      <c r="BW108" s="1660"/>
      <c r="BX108" s="1660"/>
      <c r="BY108" s="1660"/>
      <c r="BZ108" s="1660"/>
      <c r="CA108" s="1660"/>
      <c r="CB108" s="1660"/>
      <c r="CC108" s="1660"/>
      <c r="CD108" s="1660"/>
      <c r="CE108" s="1660"/>
      <c r="CF108" s="1874"/>
    </row>
    <row customHeight="1" ht="11.25" hidden="1">
      <c r="A109" s="1830"/>
      <c r="B109" s="1184"/>
      <c r="C109" s="436"/>
      <c r="D109" s="2603"/>
      <c r="E109" s="673" t="s">
        <v>22</v>
      </c>
      <c r="F109" s="1192" t="s">
        <v>22</v>
      </c>
      <c r="G109" s="1192" t="s">
        <v>699</v>
      </c>
      <c r="H109" s="675" t="s">
        <v>22</v>
      </c>
      <c r="I109" s="675"/>
      <c r="J109" s="675"/>
      <c r="K109" s="675"/>
      <c r="L109" s="675"/>
      <c r="M109" s="675"/>
      <c r="N109" s="675"/>
      <c r="O109" s="675"/>
      <c r="P109" s="675"/>
      <c r="Q109" s="675"/>
      <c r="R109" s="676"/>
      <c r="S109" s="677"/>
      <c r="T109" s="742"/>
      <c r="U109" s="2398"/>
      <c r="V109" s="2398"/>
      <c r="W109" s="1184"/>
      <c r="X109" s="1184"/>
      <c r="Y109" s="1184"/>
      <c r="Z109" s="1184"/>
      <c r="AA109" s="1660"/>
      <c r="AB109" s="1184"/>
      <c r="AC109" s="2399"/>
      <c r="AD109" s="653"/>
      <c r="AE109" s="1184"/>
      <c r="AF109" s="1184"/>
      <c r="AG109" s="1660"/>
      <c r="AH109" s="1660"/>
      <c r="AI109" s="1660"/>
      <c r="AJ109" s="1660"/>
      <c r="AK109" s="1660"/>
      <c r="AL109" s="1660"/>
      <c r="AM109" s="1660"/>
      <c r="AN109" s="1660"/>
      <c r="AO109" s="1660"/>
      <c r="AP109" s="1660"/>
      <c r="AQ109" s="1660"/>
      <c r="AR109" s="1660"/>
      <c r="AS109" s="1660"/>
      <c r="AT109" s="1660"/>
      <c r="AU109" s="1660"/>
      <c r="AV109" s="1660"/>
      <c r="AW109" s="1660"/>
      <c r="AX109" s="1660"/>
      <c r="AY109" s="1660"/>
      <c r="AZ109" s="1660"/>
      <c r="BA109" s="1660"/>
      <c r="BB109" s="1660"/>
      <c r="BC109" s="1660"/>
      <c r="BD109" s="1660"/>
      <c r="BE109" s="1660"/>
      <c r="BF109" s="1660"/>
      <c r="BG109" s="1660"/>
      <c r="BH109" s="1660"/>
      <c r="BI109" s="1660"/>
      <c r="BJ109" s="1660"/>
      <c r="BK109" s="1660"/>
      <c r="BL109" s="1660"/>
      <c r="BM109" s="1660"/>
      <c r="BN109" s="1660"/>
      <c r="BO109" s="1660"/>
      <c r="BP109" s="1660"/>
      <c r="BQ109" s="1660"/>
      <c r="BR109" s="1660"/>
      <c r="BS109" s="1660"/>
      <c r="BT109" s="1660"/>
      <c r="BU109" s="1660"/>
      <c r="BV109" s="1184"/>
      <c r="BW109" s="1184"/>
      <c r="BX109" s="1184"/>
      <c r="BY109" s="1184"/>
      <c r="BZ109" s="1184"/>
      <c r="CA109" s="1184"/>
      <c r="CB109" s="1184"/>
      <c r="CC109" s="1184"/>
      <c r="CD109" s="1184"/>
      <c r="CE109" s="1184"/>
      <c r="CF109" s="1874"/>
    </row>
    <row customHeight="1" ht="5.25" hidden="1">
      <c r="A110" s="1817"/>
      <c r="B110" s="1660"/>
      <c r="C110" s="1660"/>
      <c r="D110" s="2603"/>
      <c r="E110" s="1063"/>
      <c r="F110" s="1063"/>
      <c r="G110" s="1063"/>
      <c r="H110" s="1063"/>
      <c r="I110" s="1063"/>
      <c r="J110" s="1063"/>
      <c r="K110" s="1063"/>
      <c r="L110" s="1063"/>
      <c r="M110" s="1063"/>
      <c r="N110" s="1063"/>
      <c r="O110" s="1063"/>
      <c r="P110" s="1063"/>
      <c r="Q110" s="1064"/>
      <c r="R110" s="1065"/>
      <c r="S110" s="1066"/>
      <c r="T110" s="741" t="s">
        <v>696</v>
      </c>
      <c r="U110" s="2398">
        <v>1</v>
      </c>
      <c r="V110" s="2398" t="s">
        <v>659</v>
      </c>
      <c r="W110" s="1660"/>
      <c r="X110" s="1660"/>
      <c r="Y110" s="1660"/>
      <c r="Z110" s="1660"/>
      <c r="AA110" s="1660"/>
      <c r="AB110" s="1660"/>
      <c r="AC110" s="1061"/>
      <c r="AD110" s="1062"/>
      <c r="AE110" s="1660"/>
      <c r="AF110" s="1660"/>
      <c r="AG110" s="1660"/>
      <c r="AH110" s="1660"/>
      <c r="AI110" s="1660"/>
      <c r="AJ110" s="1660"/>
      <c r="AK110" s="1660"/>
      <c r="AL110" s="1660"/>
      <c r="AM110" s="1660"/>
      <c r="AN110" s="1660"/>
      <c r="AO110" s="1660"/>
      <c r="AP110" s="1660"/>
      <c r="AQ110" s="1660"/>
      <c r="AR110" s="1660"/>
      <c r="AS110" s="1660"/>
      <c r="AT110" s="1660"/>
      <c r="AU110" s="1660"/>
      <c r="AV110" s="1660"/>
      <c r="AW110" s="1660"/>
      <c r="AX110" s="1660"/>
      <c r="AY110" s="1660"/>
      <c r="AZ110" s="1660"/>
      <c r="BA110" s="1660"/>
      <c r="BB110" s="1660"/>
      <c r="BC110" s="1660"/>
      <c r="BD110" s="1660"/>
      <c r="BE110" s="1660"/>
      <c r="BF110" s="1660"/>
      <c r="BG110" s="1660"/>
      <c r="BH110" s="1660"/>
      <c r="BI110" s="1660"/>
      <c r="BJ110" s="1660"/>
      <c r="BK110" s="1660"/>
      <c r="BL110" s="1660"/>
      <c r="BM110" s="1660"/>
      <c r="BN110" s="1660"/>
      <c r="BO110" s="1660"/>
      <c r="BP110" s="1660"/>
      <c r="BQ110" s="1660"/>
      <c r="BR110" s="1660"/>
      <c r="BS110" s="1660"/>
      <c r="BT110" s="1660"/>
      <c r="BU110" s="1660"/>
      <c r="BV110" s="1660"/>
      <c r="BW110" s="1660"/>
      <c r="BX110" s="1660"/>
      <c r="BY110" s="1660"/>
      <c r="BZ110" s="1660"/>
      <c r="CA110" s="1660"/>
      <c r="CB110" s="1660"/>
      <c r="CC110" s="1660"/>
      <c r="CD110" s="1660"/>
      <c r="CE110" s="1660"/>
      <c r="CF110" s="1340"/>
    </row>
    <row customHeight="1" ht="5.25" hidden="1">
      <c r="A111" s="1817"/>
      <c r="B111" s="1660"/>
      <c r="C111" s="1660"/>
      <c r="D111" s="2603"/>
      <c r="E111" s="659"/>
      <c r="F111" s="659"/>
      <c r="G111" s="659"/>
      <c r="H111" s="659"/>
      <c r="I111" s="659"/>
      <c r="J111" s="659"/>
      <c r="K111" s="659"/>
      <c r="L111" s="659"/>
      <c r="M111" s="659"/>
      <c r="N111" s="659"/>
      <c r="O111" s="659"/>
      <c r="P111" s="659"/>
      <c r="Q111" s="659"/>
      <c r="R111" s="659"/>
      <c r="S111" s="660"/>
      <c r="T111" s="742"/>
      <c r="U111" s="2398"/>
      <c r="V111" s="2398"/>
      <c r="W111" s="1660"/>
      <c r="X111" s="1660"/>
      <c r="Y111" s="1660"/>
      <c r="Z111" s="1660"/>
      <c r="AA111" s="1660"/>
      <c r="AB111" s="1660"/>
      <c r="AC111" s="1061"/>
      <c r="AD111" s="1062"/>
      <c r="AE111" s="1660"/>
      <c r="AF111" s="1660"/>
      <c r="AG111" s="1660"/>
      <c r="AH111" s="1660"/>
      <c r="AI111" s="1660"/>
      <c r="AJ111" s="1660"/>
      <c r="AK111" s="1660"/>
      <c r="AL111" s="1660"/>
      <c r="AM111" s="1660"/>
      <c r="AN111" s="1660"/>
      <c r="AO111" s="1660"/>
      <c r="AP111" s="1660"/>
      <c r="AQ111" s="1660"/>
      <c r="AR111" s="1660"/>
      <c r="AS111" s="1660"/>
      <c r="AT111" s="1660"/>
      <c r="AU111" s="1660"/>
      <c r="AV111" s="1660"/>
      <c r="AW111" s="1660"/>
      <c r="AX111" s="1660"/>
      <c r="AY111" s="1660"/>
      <c r="AZ111" s="1660"/>
      <c r="BA111" s="1660"/>
      <c r="BB111" s="1660"/>
      <c r="BC111" s="1660"/>
      <c r="BD111" s="1660"/>
      <c r="BE111" s="1660"/>
      <c r="BF111" s="1660"/>
      <c r="BG111" s="1660"/>
      <c r="BH111" s="1660"/>
      <c r="BI111" s="1660"/>
      <c r="BJ111" s="1660"/>
      <c r="BK111" s="1660"/>
      <c r="BL111" s="1660"/>
      <c r="BM111" s="1660"/>
      <c r="BN111" s="1660"/>
      <c r="BO111" s="1660"/>
      <c r="BP111" s="1660"/>
      <c r="BQ111" s="1660"/>
      <c r="BR111" s="1660"/>
      <c r="BS111" s="1660"/>
      <c r="BT111" s="1660"/>
      <c r="BU111" s="1660"/>
      <c r="BV111" s="1660"/>
      <c r="BW111" s="1660"/>
      <c r="BX111" s="1660"/>
      <c r="BY111" s="1660"/>
      <c r="BZ111" s="1660"/>
      <c r="CA111" s="1660"/>
      <c r="CB111" s="1660"/>
      <c r="CC111" s="1660"/>
      <c r="CD111" s="1660"/>
      <c r="CE111" s="1660"/>
      <c r="CF111" s="1340"/>
    </row>
    <row customHeight="1" ht="5.25" hidden="1">
      <c r="A112" s="1817"/>
      <c r="B112" s="1660"/>
      <c r="C112" s="1660"/>
      <c r="D112" s="2604"/>
      <c r="E112" s="1067"/>
      <c r="F112" s="1068"/>
      <c r="G112" s="1068"/>
      <c r="H112" s="1069"/>
      <c r="I112" s="1069"/>
      <c r="J112" s="1069"/>
      <c r="K112" s="1069"/>
      <c r="L112" s="1069"/>
      <c r="M112" s="1069"/>
      <c r="N112" s="1069"/>
      <c r="O112" s="1069"/>
      <c r="P112" s="1069"/>
      <c r="Q112" s="1069"/>
      <c r="R112" s="970"/>
      <c r="S112" s="1070"/>
      <c r="T112" s="742"/>
      <c r="U112" s="2398"/>
      <c r="V112" s="2398"/>
      <c r="W112" s="1660"/>
      <c r="X112" s="1660"/>
      <c r="Y112" s="1660"/>
      <c r="Z112" s="1660"/>
      <c r="AA112" s="1660"/>
      <c r="AB112" s="1660"/>
      <c r="AC112" s="1061"/>
      <c r="AD112" s="1062"/>
      <c r="AE112" s="1660"/>
      <c r="AF112" s="1660"/>
      <c r="AG112" s="1660"/>
      <c r="AH112" s="1660"/>
      <c r="AI112" s="1660"/>
      <c r="AJ112" s="1660"/>
      <c r="AK112" s="1660"/>
      <c r="AL112" s="1660"/>
      <c r="AM112" s="1660"/>
      <c r="AN112" s="1660"/>
      <c r="AO112" s="1660"/>
      <c r="AP112" s="1660"/>
      <c r="AQ112" s="1660"/>
      <c r="AR112" s="1660"/>
      <c r="AS112" s="1660"/>
      <c r="AT112" s="1660"/>
      <c r="AU112" s="1660"/>
      <c r="AV112" s="1660"/>
      <c r="AW112" s="1660"/>
      <c r="AX112" s="1660"/>
      <c r="AY112" s="1660"/>
      <c r="AZ112" s="1660"/>
      <c r="BA112" s="1660"/>
      <c r="BB112" s="1660"/>
      <c r="BC112" s="1660"/>
      <c r="BD112" s="1660"/>
      <c r="BE112" s="1660"/>
      <c r="BF112" s="1660"/>
      <c r="BG112" s="1660"/>
      <c r="BH112" s="1660"/>
      <c r="BI112" s="1660"/>
      <c r="BJ112" s="1660"/>
      <c r="BK112" s="1660"/>
      <c r="BL112" s="1660"/>
      <c r="BM112" s="1660"/>
      <c r="BN112" s="1660"/>
      <c r="BO112" s="1660"/>
      <c r="BP112" s="1660"/>
      <c r="BQ112" s="1660"/>
      <c r="BR112" s="1660"/>
      <c r="BS112" s="1660"/>
      <c r="BT112" s="1660"/>
      <c r="BU112" s="1660"/>
      <c r="BV112" s="1660"/>
      <c r="BW112" s="1660"/>
      <c r="BX112" s="1660"/>
      <c r="BY112" s="1660"/>
      <c r="BZ112" s="1660"/>
      <c r="CA112" s="1660"/>
      <c r="CB112" s="1660"/>
      <c r="CC112" s="1660"/>
      <c r="CD112" s="1660"/>
      <c r="CE112" s="1660"/>
      <c r="CF112" s="1340"/>
    </row>
    <row customHeight="1" ht="15" hidden="1">
      <c r="A113" s="647" t="s">
        <v>201</v>
      </c>
      <c r="B113" s="648"/>
      <c r="C113" s="648" t="s">
        <v>22</v>
      </c>
      <c r="D113" s="2602" t="s">
        <v>709</v>
      </c>
      <c r="E113" s="2401" t="s">
        <v>166</v>
      </c>
      <c r="F113" s="2402"/>
      <c r="G113" s="2403"/>
      <c r="H113" s="2407" t="str">
        <f>IF(A113="","",INDEX(DIFFERENTIATION_UNMERGE_VD,MATCH(A113,DIFFERENTIATION_ID_DIFF,0)))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113" s="2407"/>
      <c r="J113" s="2407"/>
      <c r="K113" s="2407"/>
      <c r="L113" s="2407"/>
      <c r="M113" s="2407"/>
      <c r="N113" s="2407"/>
      <c r="O113" s="2407"/>
      <c r="P113" s="2407"/>
      <c r="Q113" s="2407"/>
      <c r="R113" s="2407"/>
      <c r="S113" s="743"/>
      <c r="T113" s="740"/>
      <c r="U113" s="649"/>
      <c r="V113" s="649"/>
      <c r="W113" s="650"/>
      <c r="X113" s="650"/>
      <c r="Y113" s="650"/>
      <c r="Z113" s="650"/>
      <c r="AA113" s="651"/>
      <c r="AB113" s="652"/>
      <c r="AC113" s="2399"/>
      <c r="AD113" s="653"/>
      <c r="AE113" s="654" t="s">
        <v>22</v>
      </c>
      <c r="AF113" s="654"/>
      <c r="AG113" s="655" t="s">
        <v>693</v>
      </c>
      <c r="AH113" s="656">
        <v>3</v>
      </c>
      <c r="AI113" s="649"/>
      <c r="AJ113" s="649"/>
      <c r="AK113" s="649"/>
      <c r="AL113" s="649"/>
      <c r="AM113" s="649"/>
      <c r="AN113" s="649"/>
      <c r="AO113" s="649"/>
      <c r="AP113" s="649"/>
      <c r="AQ113" s="649"/>
      <c r="AR113" s="649"/>
      <c r="AS113" s="649"/>
      <c r="AT113" s="649"/>
      <c r="AU113" s="649"/>
      <c r="AV113" s="649"/>
      <c r="AW113" s="649"/>
      <c r="AX113" s="649"/>
      <c r="AY113" s="649"/>
      <c r="AZ113" s="649"/>
      <c r="BA113" s="649"/>
      <c r="BB113" s="649"/>
      <c r="BC113" s="649"/>
      <c r="BD113" s="649"/>
      <c r="BE113" s="649"/>
      <c r="BF113" s="649"/>
      <c r="BG113" s="649"/>
      <c r="BH113" s="649"/>
      <c r="BI113" s="649"/>
      <c r="BJ113" s="649"/>
      <c r="BK113" s="649"/>
      <c r="BL113" s="649"/>
      <c r="BM113" s="649"/>
      <c r="BN113" s="649"/>
      <c r="BO113" s="649"/>
      <c r="BP113" s="649"/>
      <c r="BQ113" s="649"/>
      <c r="BR113" s="649"/>
      <c r="BS113" s="649"/>
      <c r="BT113" s="649"/>
      <c r="BU113" s="649"/>
      <c r="BV113" s="650"/>
      <c r="BW113" s="650"/>
      <c r="BX113" s="650"/>
      <c r="BY113" s="650"/>
      <c r="BZ113" s="650"/>
      <c r="CA113" s="650"/>
      <c r="CB113" s="650"/>
      <c r="CC113" s="650"/>
      <c r="CD113" s="650"/>
      <c r="CE113" s="650"/>
      <c r="CF113" s="1874"/>
    </row>
    <row customHeight="1" ht="15" hidden="1">
      <c r="A114" s="647"/>
      <c r="B114" s="648"/>
      <c r="C114" s="648"/>
      <c r="D114" s="2603"/>
      <c r="E114" s="2401" t="s">
        <v>648</v>
      </c>
      <c r="F114" s="2402"/>
      <c r="G114" s="2403"/>
      <c r="H114" s="2407" t="str">
        <f>IF(A113="","",INDEX(DIFFERENTIATION_UNMERGE_AREA,MATCH(A113,DIFFERENTIATION_ID_DIFF,0)))</f>
        <v>Территория 8</v>
      </c>
      <c r="I114" s="2407"/>
      <c r="J114" s="2407"/>
      <c r="K114" s="2407"/>
      <c r="L114" s="2407"/>
      <c r="M114" s="2407"/>
      <c r="N114" s="2407"/>
      <c r="O114" s="2407"/>
      <c r="P114" s="2407"/>
      <c r="Q114" s="2407"/>
      <c r="R114" s="2407"/>
      <c r="S114" s="743"/>
      <c r="T114" s="740"/>
      <c r="U114" s="649"/>
      <c r="V114" s="649"/>
      <c r="W114" s="650"/>
      <c r="X114" s="650"/>
      <c r="Y114" s="650"/>
      <c r="Z114" s="650"/>
      <c r="AA114" s="651"/>
      <c r="AB114" s="652"/>
      <c r="AC114" s="2399"/>
      <c r="AD114" s="653"/>
      <c r="AE114" s="654"/>
      <c r="AF114" s="654"/>
      <c r="AG114" s="655"/>
      <c r="AH114" s="656"/>
      <c r="AI114" s="649"/>
      <c r="AJ114" s="649"/>
      <c r="AK114" s="649"/>
      <c r="AL114" s="649"/>
      <c r="AM114" s="649"/>
      <c r="AN114" s="649"/>
      <c r="AO114" s="649"/>
      <c r="AP114" s="649"/>
      <c r="AQ114" s="649"/>
      <c r="AR114" s="649"/>
      <c r="AS114" s="649"/>
      <c r="AT114" s="649"/>
      <c r="AU114" s="649"/>
      <c r="AV114" s="649"/>
      <c r="AW114" s="649"/>
      <c r="AX114" s="649"/>
      <c r="AY114" s="649"/>
      <c r="AZ114" s="649"/>
      <c r="BA114" s="649"/>
      <c r="BB114" s="649"/>
      <c r="BC114" s="649"/>
      <c r="BD114" s="649"/>
      <c r="BE114" s="649"/>
      <c r="BF114" s="649"/>
      <c r="BG114" s="649"/>
      <c r="BH114" s="649"/>
      <c r="BI114" s="649"/>
      <c r="BJ114" s="649"/>
      <c r="BK114" s="649"/>
      <c r="BL114" s="649"/>
      <c r="BM114" s="649"/>
      <c r="BN114" s="649"/>
      <c r="BO114" s="649"/>
      <c r="BP114" s="649"/>
      <c r="BQ114" s="649"/>
      <c r="BR114" s="649"/>
      <c r="BS114" s="649"/>
      <c r="BT114" s="649"/>
      <c r="BU114" s="649"/>
      <c r="BV114" s="650"/>
      <c r="BW114" s="650"/>
      <c r="BX114" s="650"/>
      <c r="BY114" s="650"/>
      <c r="BZ114" s="650"/>
      <c r="CA114" s="650"/>
      <c r="CB114" s="650"/>
      <c r="CC114" s="650"/>
      <c r="CD114" s="650"/>
      <c r="CE114" s="650"/>
      <c r="CF114" s="1874"/>
    </row>
    <row customHeight="1" ht="15" hidden="1">
      <c r="A115" s="647"/>
      <c r="B115" s="648"/>
      <c r="C115" s="648"/>
      <c r="D115" s="2603"/>
      <c r="E115" s="2401" t="s">
        <v>649</v>
      </c>
      <c r="F115" s="2402"/>
      <c r="G115" s="2403"/>
      <c r="H115" s="2407" t="str">
        <f>IF(A113="","",INDEX(DIFFERENTIATION_UNMERGE_SYSTEM,MATCH(A113,DIFFERENTIATION_ID_DIFF,0)))</f>
        <v>Хабаровская ТЭЦ-2 (г. Хабаровск)</v>
      </c>
      <c r="I115" s="2407"/>
      <c r="J115" s="2407"/>
      <c r="K115" s="2407"/>
      <c r="L115" s="2407"/>
      <c r="M115" s="2407"/>
      <c r="N115" s="2407"/>
      <c r="O115" s="2407"/>
      <c r="P115" s="2407"/>
      <c r="Q115" s="2407"/>
      <c r="R115" s="2407"/>
      <c r="S115" s="743"/>
      <c r="T115" s="740"/>
      <c r="U115" s="649"/>
      <c r="V115" s="649"/>
      <c r="W115" s="650"/>
      <c r="X115" s="650"/>
      <c r="Y115" s="650"/>
      <c r="Z115" s="650"/>
      <c r="AA115" s="651"/>
      <c r="AB115" s="652"/>
      <c r="AC115" s="2399"/>
      <c r="AD115" s="653"/>
      <c r="AE115" s="654"/>
      <c r="AF115" s="654"/>
      <c r="AG115" s="655"/>
      <c r="AH115" s="656"/>
      <c r="AI115" s="649"/>
      <c r="AJ115" s="649"/>
      <c r="AK115" s="649"/>
      <c r="AL115" s="649"/>
      <c r="AM115" s="649"/>
      <c r="AN115" s="649"/>
      <c r="AO115" s="649"/>
      <c r="AP115" s="649"/>
      <c r="AQ115" s="649"/>
      <c r="AR115" s="649"/>
      <c r="AS115" s="649"/>
      <c r="AT115" s="649"/>
      <c r="AU115" s="649"/>
      <c r="AV115" s="649"/>
      <c r="AW115" s="649"/>
      <c r="AX115" s="649"/>
      <c r="AY115" s="649"/>
      <c r="AZ115" s="649"/>
      <c r="BA115" s="649"/>
      <c r="BB115" s="649"/>
      <c r="BC115" s="649"/>
      <c r="BD115" s="649"/>
      <c r="BE115" s="649"/>
      <c r="BF115" s="649"/>
      <c r="BG115" s="649"/>
      <c r="BH115" s="649"/>
      <c r="BI115" s="649"/>
      <c r="BJ115" s="649"/>
      <c r="BK115" s="649"/>
      <c r="BL115" s="649"/>
      <c r="BM115" s="649"/>
      <c r="BN115" s="649"/>
      <c r="BO115" s="649"/>
      <c r="BP115" s="649"/>
      <c r="BQ115" s="649"/>
      <c r="BR115" s="649"/>
      <c r="BS115" s="649"/>
      <c r="BT115" s="649"/>
      <c r="BU115" s="649"/>
      <c r="BV115" s="650"/>
      <c r="BW115" s="650"/>
      <c r="BX115" s="650"/>
      <c r="BY115" s="650"/>
      <c r="BZ115" s="650"/>
      <c r="CA115" s="650"/>
      <c r="CB115" s="650"/>
      <c r="CC115" s="650"/>
      <c r="CD115" s="650"/>
      <c r="CE115" s="650"/>
      <c r="CF115" s="1874"/>
    </row>
    <row customHeight="1" ht="24.75" hidden="1">
      <c r="A116" s="1830"/>
      <c r="B116" s="1184"/>
      <c r="C116" s="436"/>
      <c r="D116" s="2603"/>
      <c r="E116" s="2400" t="s">
        <v>694</v>
      </c>
      <c r="F116" s="2400"/>
      <c r="G116" s="2400"/>
      <c r="H116" s="2400"/>
      <c r="I116" s="2400"/>
      <c r="J116" s="2400"/>
      <c r="K116" s="2400"/>
      <c r="L116" s="2400"/>
      <c r="M116" s="2400"/>
      <c r="N116" s="2400"/>
      <c r="O116" s="2400"/>
      <c r="P116" s="2400"/>
      <c r="Q116" s="582">
        <f>SUMIF(T117:T118,"i",Q117:Q118)</f>
        <v>0</v>
      </c>
      <c r="R116" s="1041"/>
      <c r="S116" s="1822" t="s">
        <v>695</v>
      </c>
      <c r="T116" s="741" t="s">
        <v>696</v>
      </c>
      <c r="U116" s="2398">
        <v>1</v>
      </c>
      <c r="V116" s="2398" t="s">
        <v>659</v>
      </c>
      <c r="W116" s="1184"/>
      <c r="X116" s="1184"/>
      <c r="Y116" s="1184"/>
      <c r="Z116" s="1184"/>
      <c r="AA116" s="1660"/>
      <c r="AB116" s="1184"/>
      <c r="AC116" s="2399"/>
      <c r="AD116" s="653"/>
      <c r="AE116" s="1184"/>
      <c r="AF116" s="1184"/>
      <c r="AG116" s="1660"/>
      <c r="AH116" s="1660"/>
      <c r="AI116" s="1660"/>
      <c r="AJ116" s="1660"/>
      <c r="AK116" s="1660"/>
      <c r="AL116" s="1660"/>
      <c r="AM116" s="1660"/>
      <c r="AN116" s="1660"/>
      <c r="AO116" s="1660"/>
      <c r="AP116" s="1660"/>
      <c r="AQ116" s="1660"/>
      <c r="AR116" s="1660"/>
      <c r="AS116" s="1660"/>
      <c r="AT116" s="1660"/>
      <c r="AU116" s="1660"/>
      <c r="AV116" s="1660"/>
      <c r="AW116" s="1660"/>
      <c r="AX116" s="1660"/>
      <c r="AY116" s="1660"/>
      <c r="AZ116" s="1660"/>
      <c r="BA116" s="1660"/>
      <c r="BB116" s="1660"/>
      <c r="BC116" s="1660"/>
      <c r="BD116" s="1660"/>
      <c r="BE116" s="1660"/>
      <c r="BF116" s="1660"/>
      <c r="BG116" s="1660"/>
      <c r="BH116" s="1660"/>
      <c r="BI116" s="1660"/>
      <c r="BJ116" s="1660"/>
      <c r="BK116" s="1660"/>
      <c r="BL116" s="1660"/>
      <c r="BM116" s="1660"/>
      <c r="BN116" s="1660"/>
      <c r="BO116" s="1660"/>
      <c r="BP116" s="1660"/>
      <c r="BQ116" s="1660"/>
      <c r="BR116" s="1660"/>
      <c r="BS116" s="1660"/>
      <c r="BT116" s="1660"/>
      <c r="BU116" s="1660"/>
      <c r="BV116" s="1184"/>
      <c r="BW116" s="1184"/>
      <c r="BX116" s="1184"/>
      <c r="BY116" s="1184"/>
      <c r="BZ116" s="1184"/>
      <c r="CA116" s="1184"/>
      <c r="CB116" s="1184"/>
      <c r="CC116" s="1184"/>
      <c r="CD116" s="1184"/>
      <c r="CE116" s="1184"/>
      <c r="CF116" s="1874"/>
    </row>
    <row customHeight="1" ht="11.25" hidden="1">
      <c r="A117" s="1817"/>
      <c r="B117" s="1660"/>
      <c r="C117" s="1660"/>
      <c r="D117" s="2603"/>
      <c r="E117" s="659"/>
      <c r="F117" s="659">
        <v>0</v>
      </c>
      <c r="G117" s="659"/>
      <c r="H117" s="659"/>
      <c r="I117" s="659"/>
      <c r="J117" s="659"/>
      <c r="K117" s="659"/>
      <c r="L117" s="659"/>
      <c r="M117" s="659"/>
      <c r="N117" s="659"/>
      <c r="O117" s="659"/>
      <c r="P117" s="659"/>
      <c r="Q117" s="659"/>
      <c r="R117" s="659"/>
      <c r="S117" s="660"/>
      <c r="T117" s="742"/>
      <c r="U117" s="2398"/>
      <c r="V117" s="2398"/>
      <c r="W117" s="1660"/>
      <c r="X117" s="1660"/>
      <c r="Y117" s="1660"/>
      <c r="Z117" s="1660"/>
      <c r="AA117" s="1660"/>
      <c r="AB117" s="1184"/>
      <c r="AC117" s="2399"/>
      <c r="AD117" s="653"/>
      <c r="AE117" s="1184"/>
      <c r="AF117" s="1184"/>
      <c r="AG117" s="1660"/>
      <c r="AH117" s="1660"/>
      <c r="AI117" s="1660"/>
      <c r="AJ117" s="1660"/>
      <c r="AK117" s="1660"/>
      <c r="AL117" s="1660"/>
      <c r="AM117" s="1660"/>
      <c r="AN117" s="1660"/>
      <c r="AO117" s="1660"/>
      <c r="AP117" s="1660"/>
      <c r="AQ117" s="1660"/>
      <c r="AR117" s="1660"/>
      <c r="AS117" s="1660"/>
      <c r="AT117" s="1660"/>
      <c r="AU117" s="1660"/>
      <c r="AV117" s="1660"/>
      <c r="AW117" s="1660"/>
      <c r="AX117" s="1660"/>
      <c r="AY117" s="1660"/>
      <c r="AZ117" s="1660"/>
      <c r="BA117" s="1660"/>
      <c r="BB117" s="1660"/>
      <c r="BC117" s="1660"/>
      <c r="BD117" s="1660"/>
      <c r="BE117" s="1660"/>
      <c r="BF117" s="1660"/>
      <c r="BG117" s="1660"/>
      <c r="BH117" s="1660"/>
      <c r="BI117" s="1660"/>
      <c r="BJ117" s="1660"/>
      <c r="BK117" s="1660"/>
      <c r="BL117" s="1660"/>
      <c r="BM117" s="1660"/>
      <c r="BN117" s="1660"/>
      <c r="BO117" s="1660"/>
      <c r="BP117" s="1660"/>
      <c r="BQ117" s="1660"/>
      <c r="BR117" s="1660"/>
      <c r="BS117" s="1660"/>
      <c r="BT117" s="1660"/>
      <c r="BU117" s="1660"/>
      <c r="BV117" s="1660"/>
      <c r="BW117" s="1660"/>
      <c r="BX117" s="1660"/>
      <c r="BY117" s="1660"/>
      <c r="BZ117" s="1660"/>
      <c r="CA117" s="1660"/>
      <c r="CB117" s="1660"/>
      <c r="CC117" s="1660"/>
      <c r="CD117" s="1660"/>
      <c r="CE117" s="1660"/>
      <c r="CF117" s="1874"/>
    </row>
    <row customHeight="1" ht="11.25" hidden="1">
      <c r="A118" s="1830"/>
      <c r="B118" s="1184"/>
      <c r="C118" s="436"/>
      <c r="D118" s="2603"/>
      <c r="E118" s="673" t="s">
        <v>22</v>
      </c>
      <c r="F118" s="1192" t="s">
        <v>22</v>
      </c>
      <c r="G118" s="1192" t="s">
        <v>699</v>
      </c>
      <c r="H118" s="675" t="s">
        <v>22</v>
      </c>
      <c r="I118" s="675"/>
      <c r="J118" s="675"/>
      <c r="K118" s="675"/>
      <c r="L118" s="675"/>
      <c r="M118" s="675"/>
      <c r="N118" s="675"/>
      <c r="O118" s="675"/>
      <c r="P118" s="675"/>
      <c r="Q118" s="675"/>
      <c r="R118" s="676"/>
      <c r="S118" s="677"/>
      <c r="T118" s="742"/>
      <c r="U118" s="2398"/>
      <c r="V118" s="2398"/>
      <c r="W118" s="1184"/>
      <c r="X118" s="1184"/>
      <c r="Y118" s="1184"/>
      <c r="Z118" s="1184"/>
      <c r="AA118" s="1660"/>
      <c r="AB118" s="1184"/>
      <c r="AC118" s="2399"/>
      <c r="AD118" s="653"/>
      <c r="AE118" s="1184"/>
      <c r="AF118" s="1184"/>
      <c r="AG118" s="1660"/>
      <c r="AH118" s="1660"/>
      <c r="AI118" s="1660"/>
      <c r="AJ118" s="1660"/>
      <c r="AK118" s="1660"/>
      <c r="AL118" s="1660"/>
      <c r="AM118" s="1660"/>
      <c r="AN118" s="1660"/>
      <c r="AO118" s="1660"/>
      <c r="AP118" s="1660"/>
      <c r="AQ118" s="1660"/>
      <c r="AR118" s="1660"/>
      <c r="AS118" s="1660"/>
      <c r="AT118" s="1660"/>
      <c r="AU118" s="1660"/>
      <c r="AV118" s="1660"/>
      <c r="AW118" s="1660"/>
      <c r="AX118" s="1660"/>
      <c r="AY118" s="1660"/>
      <c r="AZ118" s="1660"/>
      <c r="BA118" s="1660"/>
      <c r="BB118" s="1660"/>
      <c r="BC118" s="1660"/>
      <c r="BD118" s="1660"/>
      <c r="BE118" s="1660"/>
      <c r="BF118" s="1660"/>
      <c r="BG118" s="1660"/>
      <c r="BH118" s="1660"/>
      <c r="BI118" s="1660"/>
      <c r="BJ118" s="1660"/>
      <c r="BK118" s="1660"/>
      <c r="BL118" s="1660"/>
      <c r="BM118" s="1660"/>
      <c r="BN118" s="1660"/>
      <c r="BO118" s="1660"/>
      <c r="BP118" s="1660"/>
      <c r="BQ118" s="1660"/>
      <c r="BR118" s="1660"/>
      <c r="BS118" s="1660"/>
      <c r="BT118" s="1660"/>
      <c r="BU118" s="1660"/>
      <c r="BV118" s="1184"/>
      <c r="BW118" s="1184"/>
      <c r="BX118" s="1184"/>
      <c r="BY118" s="1184"/>
      <c r="BZ118" s="1184"/>
      <c r="CA118" s="1184"/>
      <c r="CB118" s="1184"/>
      <c r="CC118" s="1184"/>
      <c r="CD118" s="1184"/>
      <c r="CE118" s="1184"/>
      <c r="CF118" s="1874"/>
    </row>
    <row customHeight="1" ht="5.25" hidden="1">
      <c r="A119" s="1817"/>
      <c r="B119" s="1660"/>
      <c r="C119" s="1660"/>
      <c r="D119" s="2603"/>
      <c r="E119" s="1063"/>
      <c r="F119" s="1063"/>
      <c r="G119" s="1063"/>
      <c r="H119" s="1063"/>
      <c r="I119" s="1063"/>
      <c r="J119" s="1063"/>
      <c r="K119" s="1063"/>
      <c r="L119" s="1063"/>
      <c r="M119" s="1063"/>
      <c r="N119" s="1063"/>
      <c r="O119" s="1063"/>
      <c r="P119" s="1063"/>
      <c r="Q119" s="1064"/>
      <c r="R119" s="1065"/>
      <c r="S119" s="1066"/>
      <c r="T119" s="741" t="s">
        <v>696</v>
      </c>
      <c r="U119" s="2398">
        <v>1</v>
      </c>
      <c r="V119" s="2398" t="s">
        <v>659</v>
      </c>
      <c r="W119" s="1660"/>
      <c r="X119" s="1660"/>
      <c r="Y119" s="1660"/>
      <c r="Z119" s="1660"/>
      <c r="AA119" s="1660"/>
      <c r="AB119" s="1660"/>
      <c r="AC119" s="1061"/>
      <c r="AD119" s="1062"/>
      <c r="AE119" s="1660"/>
      <c r="AF119" s="1660"/>
      <c r="AG119" s="1660"/>
      <c r="AH119" s="1660"/>
      <c r="AI119" s="1660"/>
      <c r="AJ119" s="1660"/>
      <c r="AK119" s="1660"/>
      <c r="AL119" s="1660"/>
      <c r="AM119" s="1660"/>
      <c r="AN119" s="1660"/>
      <c r="AO119" s="1660"/>
      <c r="AP119" s="1660"/>
      <c r="AQ119" s="1660"/>
      <c r="AR119" s="1660"/>
      <c r="AS119" s="1660"/>
      <c r="AT119" s="1660"/>
      <c r="AU119" s="1660"/>
      <c r="AV119" s="1660"/>
      <c r="AW119" s="1660"/>
      <c r="AX119" s="1660"/>
      <c r="AY119" s="1660"/>
      <c r="AZ119" s="1660"/>
      <c r="BA119" s="1660"/>
      <c r="BB119" s="1660"/>
      <c r="BC119" s="1660"/>
      <c r="BD119" s="1660"/>
      <c r="BE119" s="1660"/>
      <c r="BF119" s="1660"/>
      <c r="BG119" s="1660"/>
      <c r="BH119" s="1660"/>
      <c r="BI119" s="1660"/>
      <c r="BJ119" s="1660"/>
      <c r="BK119" s="1660"/>
      <c r="BL119" s="1660"/>
      <c r="BM119" s="1660"/>
      <c r="BN119" s="1660"/>
      <c r="BO119" s="1660"/>
      <c r="BP119" s="1660"/>
      <c r="BQ119" s="1660"/>
      <c r="BR119" s="1660"/>
      <c r="BS119" s="1660"/>
      <c r="BT119" s="1660"/>
      <c r="BU119" s="1660"/>
      <c r="BV119" s="1660"/>
      <c r="BW119" s="1660"/>
      <c r="BX119" s="1660"/>
      <c r="BY119" s="1660"/>
      <c r="BZ119" s="1660"/>
      <c r="CA119" s="1660"/>
      <c r="CB119" s="1660"/>
      <c r="CC119" s="1660"/>
      <c r="CD119" s="1660"/>
      <c r="CE119" s="1660"/>
      <c r="CF119" s="1340"/>
    </row>
    <row customHeight="1" ht="5.25" hidden="1">
      <c r="A120" s="1817"/>
      <c r="B120" s="1660"/>
      <c r="C120" s="1660"/>
      <c r="D120" s="2603"/>
      <c r="E120" s="659"/>
      <c r="F120" s="659"/>
      <c r="G120" s="659"/>
      <c r="H120" s="659"/>
      <c r="I120" s="659"/>
      <c r="J120" s="659"/>
      <c r="K120" s="659"/>
      <c r="L120" s="659"/>
      <c r="M120" s="659"/>
      <c r="N120" s="659"/>
      <c r="O120" s="659"/>
      <c r="P120" s="659"/>
      <c r="Q120" s="659"/>
      <c r="R120" s="659"/>
      <c r="S120" s="660"/>
      <c r="T120" s="742"/>
      <c r="U120" s="2398"/>
      <c r="V120" s="2398"/>
      <c r="W120" s="1660"/>
      <c r="X120" s="1660"/>
      <c r="Y120" s="1660"/>
      <c r="Z120" s="1660"/>
      <c r="AA120" s="1660"/>
      <c r="AB120" s="1660"/>
      <c r="AC120" s="1061"/>
      <c r="AD120" s="1062"/>
      <c r="AE120" s="1660"/>
      <c r="AF120" s="1660"/>
      <c r="AG120" s="1660"/>
      <c r="AH120" s="1660"/>
      <c r="AI120" s="1660"/>
      <c r="AJ120" s="1660"/>
      <c r="AK120" s="1660"/>
      <c r="AL120" s="1660"/>
      <c r="AM120" s="1660"/>
      <c r="AN120" s="1660"/>
      <c r="AO120" s="1660"/>
      <c r="AP120" s="1660"/>
      <c r="AQ120" s="1660"/>
      <c r="AR120" s="1660"/>
      <c r="AS120" s="1660"/>
      <c r="AT120" s="1660"/>
      <c r="AU120" s="1660"/>
      <c r="AV120" s="1660"/>
      <c r="AW120" s="1660"/>
      <c r="AX120" s="1660"/>
      <c r="AY120" s="1660"/>
      <c r="AZ120" s="1660"/>
      <c r="BA120" s="1660"/>
      <c r="BB120" s="1660"/>
      <c r="BC120" s="1660"/>
      <c r="BD120" s="1660"/>
      <c r="BE120" s="1660"/>
      <c r="BF120" s="1660"/>
      <c r="BG120" s="1660"/>
      <c r="BH120" s="1660"/>
      <c r="BI120" s="1660"/>
      <c r="BJ120" s="1660"/>
      <c r="BK120" s="1660"/>
      <c r="BL120" s="1660"/>
      <c r="BM120" s="1660"/>
      <c r="BN120" s="1660"/>
      <c r="BO120" s="1660"/>
      <c r="BP120" s="1660"/>
      <c r="BQ120" s="1660"/>
      <c r="BR120" s="1660"/>
      <c r="BS120" s="1660"/>
      <c r="BT120" s="1660"/>
      <c r="BU120" s="1660"/>
      <c r="BV120" s="1660"/>
      <c r="BW120" s="1660"/>
      <c r="BX120" s="1660"/>
      <c r="BY120" s="1660"/>
      <c r="BZ120" s="1660"/>
      <c r="CA120" s="1660"/>
      <c r="CB120" s="1660"/>
      <c r="CC120" s="1660"/>
      <c r="CD120" s="1660"/>
      <c r="CE120" s="1660"/>
      <c r="CF120" s="1340"/>
    </row>
    <row customHeight="1" ht="5.25" hidden="1">
      <c r="A121" s="1817"/>
      <c r="B121" s="1660"/>
      <c r="C121" s="1660"/>
      <c r="D121" s="2604"/>
      <c r="E121" s="1067"/>
      <c r="F121" s="1068"/>
      <c r="G121" s="1068"/>
      <c r="H121" s="1069"/>
      <c r="I121" s="1069"/>
      <c r="J121" s="1069"/>
      <c r="K121" s="1069"/>
      <c r="L121" s="1069"/>
      <c r="M121" s="1069"/>
      <c r="N121" s="1069"/>
      <c r="O121" s="1069"/>
      <c r="P121" s="1069"/>
      <c r="Q121" s="1069"/>
      <c r="R121" s="970"/>
      <c r="S121" s="1070"/>
      <c r="T121" s="742"/>
      <c r="U121" s="2398"/>
      <c r="V121" s="2398"/>
      <c r="W121" s="1660"/>
      <c r="X121" s="1660"/>
      <c r="Y121" s="1660"/>
      <c r="Z121" s="1660"/>
      <c r="AA121" s="1660"/>
      <c r="AB121" s="1660"/>
      <c r="AC121" s="1061"/>
      <c r="AD121" s="1062"/>
      <c r="AE121" s="1660"/>
      <c r="AF121" s="1660"/>
      <c r="AG121" s="1660"/>
      <c r="AH121" s="1660"/>
      <c r="AI121" s="1660"/>
      <c r="AJ121" s="1660"/>
      <c r="AK121" s="1660"/>
      <c r="AL121" s="1660"/>
      <c r="AM121" s="1660"/>
      <c r="AN121" s="1660"/>
      <c r="AO121" s="1660"/>
      <c r="AP121" s="1660"/>
      <c r="AQ121" s="1660"/>
      <c r="AR121" s="1660"/>
      <c r="AS121" s="1660"/>
      <c r="AT121" s="1660"/>
      <c r="AU121" s="1660"/>
      <c r="AV121" s="1660"/>
      <c r="AW121" s="1660"/>
      <c r="AX121" s="1660"/>
      <c r="AY121" s="1660"/>
      <c r="AZ121" s="1660"/>
      <c r="BA121" s="1660"/>
      <c r="BB121" s="1660"/>
      <c r="BC121" s="1660"/>
      <c r="BD121" s="1660"/>
      <c r="BE121" s="1660"/>
      <c r="BF121" s="1660"/>
      <c r="BG121" s="1660"/>
      <c r="BH121" s="1660"/>
      <c r="BI121" s="1660"/>
      <c r="BJ121" s="1660"/>
      <c r="BK121" s="1660"/>
      <c r="BL121" s="1660"/>
      <c r="BM121" s="1660"/>
      <c r="BN121" s="1660"/>
      <c r="BO121" s="1660"/>
      <c r="BP121" s="1660"/>
      <c r="BQ121" s="1660"/>
      <c r="BR121" s="1660"/>
      <c r="BS121" s="1660"/>
      <c r="BT121" s="1660"/>
      <c r="BU121" s="1660"/>
      <c r="BV121" s="1660"/>
      <c r="BW121" s="1660"/>
      <c r="BX121" s="1660"/>
      <c r="BY121" s="1660"/>
      <c r="BZ121" s="1660"/>
      <c r="CA121" s="1660"/>
      <c r="CB121" s="1660"/>
      <c r="CC121" s="1660"/>
      <c r="CD121" s="1660"/>
      <c r="CE121" s="1660"/>
      <c r="CF121" s="1340"/>
    </row>
    <row customHeight="1" ht="15" hidden="1">
      <c r="A122" s="647" t="s">
        <v>203</v>
      </c>
      <c r="B122" s="648"/>
      <c r="C122" s="648" t="s">
        <v>22</v>
      </c>
      <c r="D122" s="2602" t="s">
        <v>710</v>
      </c>
      <c r="E122" s="2401" t="s">
        <v>166</v>
      </c>
      <c r="F122" s="2402"/>
      <c r="G122" s="2403"/>
      <c r="H122" s="2407" t="str">
        <f>IF(A122="","",INDEX(DIFFERENTIATION_UNMERGE_VD,MATCH(A122,DIFFERENTIATION_ID_DIFF,0)))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122" s="2407"/>
      <c r="J122" s="2407"/>
      <c r="K122" s="2407"/>
      <c r="L122" s="2407"/>
      <c r="M122" s="2407"/>
      <c r="N122" s="2407"/>
      <c r="O122" s="2407"/>
      <c r="P122" s="2407"/>
      <c r="Q122" s="2407"/>
      <c r="R122" s="2407"/>
      <c r="S122" s="743"/>
      <c r="T122" s="740"/>
      <c r="U122" s="649"/>
      <c r="V122" s="649"/>
      <c r="W122" s="650"/>
      <c r="X122" s="650"/>
      <c r="Y122" s="650"/>
      <c r="Z122" s="650"/>
      <c r="AA122" s="651"/>
      <c r="AB122" s="652"/>
      <c r="AC122" s="2399"/>
      <c r="AD122" s="653"/>
      <c r="AE122" s="654" t="s">
        <v>22</v>
      </c>
      <c r="AF122" s="654"/>
      <c r="AG122" s="655" t="s">
        <v>693</v>
      </c>
      <c r="AH122" s="656">
        <v>3</v>
      </c>
      <c r="AI122" s="649"/>
      <c r="AJ122" s="649"/>
      <c r="AK122" s="649"/>
      <c r="AL122" s="649"/>
      <c r="AM122" s="649"/>
      <c r="AN122" s="649"/>
      <c r="AO122" s="649"/>
      <c r="AP122" s="649"/>
      <c r="AQ122" s="649"/>
      <c r="AR122" s="649"/>
      <c r="AS122" s="649"/>
      <c r="AT122" s="649"/>
      <c r="AU122" s="649"/>
      <c r="AV122" s="649"/>
      <c r="AW122" s="649"/>
      <c r="AX122" s="649"/>
      <c r="AY122" s="649"/>
      <c r="AZ122" s="649"/>
      <c r="BA122" s="649"/>
      <c r="BB122" s="649"/>
      <c r="BC122" s="649"/>
      <c r="BD122" s="649"/>
      <c r="BE122" s="649"/>
      <c r="BF122" s="649"/>
      <c r="BG122" s="649"/>
      <c r="BH122" s="649"/>
      <c r="BI122" s="649"/>
      <c r="BJ122" s="649"/>
      <c r="BK122" s="649"/>
      <c r="BL122" s="649"/>
      <c r="BM122" s="649"/>
      <c r="BN122" s="649"/>
      <c r="BO122" s="649"/>
      <c r="BP122" s="649"/>
      <c r="BQ122" s="649"/>
      <c r="BR122" s="649"/>
      <c r="BS122" s="649"/>
      <c r="BT122" s="649"/>
      <c r="BU122" s="649"/>
      <c r="BV122" s="650"/>
      <c r="BW122" s="650"/>
      <c r="BX122" s="650"/>
      <c r="BY122" s="650"/>
      <c r="BZ122" s="650"/>
      <c r="CA122" s="650"/>
      <c r="CB122" s="650"/>
      <c r="CC122" s="650"/>
      <c r="CD122" s="650"/>
      <c r="CE122" s="650"/>
      <c r="CF122" s="1874"/>
    </row>
    <row customHeight="1" ht="15" hidden="1">
      <c r="A123" s="647"/>
      <c r="B123" s="648"/>
      <c r="C123" s="648"/>
      <c r="D123" s="2603"/>
      <c r="E123" s="2401" t="s">
        <v>648</v>
      </c>
      <c r="F123" s="2402"/>
      <c r="G123" s="2403"/>
      <c r="H123" s="2407" t="str">
        <f>IF(A122="","",INDEX(DIFFERENTIATION_UNMERGE_AREA,MATCH(A122,DIFFERENTIATION_ID_DIFF,0)))</f>
        <v>Территория 8</v>
      </c>
      <c r="I123" s="2407"/>
      <c r="J123" s="2407"/>
      <c r="K123" s="2407"/>
      <c r="L123" s="2407"/>
      <c r="M123" s="2407"/>
      <c r="N123" s="2407"/>
      <c r="O123" s="2407"/>
      <c r="P123" s="2407"/>
      <c r="Q123" s="2407"/>
      <c r="R123" s="2407"/>
      <c r="S123" s="743"/>
      <c r="T123" s="740"/>
      <c r="U123" s="649"/>
      <c r="V123" s="649"/>
      <c r="W123" s="650"/>
      <c r="X123" s="650"/>
      <c r="Y123" s="650"/>
      <c r="Z123" s="650"/>
      <c r="AA123" s="651"/>
      <c r="AB123" s="652"/>
      <c r="AC123" s="2399"/>
      <c r="AD123" s="653"/>
      <c r="AE123" s="654"/>
      <c r="AF123" s="654"/>
      <c r="AG123" s="655"/>
      <c r="AH123" s="656"/>
      <c r="AI123" s="649"/>
      <c r="AJ123" s="649"/>
      <c r="AK123" s="649"/>
      <c r="AL123" s="649"/>
      <c r="AM123" s="649"/>
      <c r="AN123" s="649"/>
      <c r="AO123" s="649"/>
      <c r="AP123" s="649"/>
      <c r="AQ123" s="649"/>
      <c r="AR123" s="649"/>
      <c r="AS123" s="649"/>
      <c r="AT123" s="649"/>
      <c r="AU123" s="649"/>
      <c r="AV123" s="649"/>
      <c r="AW123" s="649"/>
      <c r="AX123" s="649"/>
      <c r="AY123" s="649"/>
      <c r="AZ123" s="649"/>
      <c r="BA123" s="649"/>
      <c r="BB123" s="649"/>
      <c r="BC123" s="649"/>
      <c r="BD123" s="649"/>
      <c r="BE123" s="649"/>
      <c r="BF123" s="649"/>
      <c r="BG123" s="649"/>
      <c r="BH123" s="649"/>
      <c r="BI123" s="649"/>
      <c r="BJ123" s="649"/>
      <c r="BK123" s="649"/>
      <c r="BL123" s="649"/>
      <c r="BM123" s="649"/>
      <c r="BN123" s="649"/>
      <c r="BO123" s="649"/>
      <c r="BP123" s="649"/>
      <c r="BQ123" s="649"/>
      <c r="BR123" s="649"/>
      <c r="BS123" s="649"/>
      <c r="BT123" s="649"/>
      <c r="BU123" s="649"/>
      <c r="BV123" s="650"/>
      <c r="BW123" s="650"/>
      <c r="BX123" s="650"/>
      <c r="BY123" s="650"/>
      <c r="BZ123" s="650"/>
      <c r="CA123" s="650"/>
      <c r="CB123" s="650"/>
      <c r="CC123" s="650"/>
      <c r="CD123" s="650"/>
      <c r="CE123" s="650"/>
      <c r="CF123" s="1874"/>
    </row>
    <row customHeight="1" ht="15" hidden="1">
      <c r="A124" s="647"/>
      <c r="B124" s="648"/>
      <c r="C124" s="648"/>
      <c r="D124" s="2603"/>
      <c r="E124" s="2401" t="s">
        <v>649</v>
      </c>
      <c r="F124" s="2402"/>
      <c r="G124" s="2403"/>
      <c r="H124" s="2407" t="str">
        <f>IF(A122="","",INDEX(DIFFERENTIATION_UNMERGE_SYSTEM,MATCH(A122,DIFFERENTIATION_ID_DIFF,0)))</f>
        <v>Котельная в Волочаевском городке</v>
      </c>
      <c r="I124" s="2407"/>
      <c r="J124" s="2407"/>
      <c r="K124" s="2407"/>
      <c r="L124" s="2407"/>
      <c r="M124" s="2407"/>
      <c r="N124" s="2407"/>
      <c r="O124" s="2407"/>
      <c r="P124" s="2407"/>
      <c r="Q124" s="2407"/>
      <c r="R124" s="2407"/>
      <c r="S124" s="743"/>
      <c r="T124" s="740"/>
      <c r="U124" s="649"/>
      <c r="V124" s="649"/>
      <c r="W124" s="650"/>
      <c r="X124" s="650"/>
      <c r="Y124" s="650"/>
      <c r="Z124" s="650"/>
      <c r="AA124" s="651"/>
      <c r="AB124" s="652"/>
      <c r="AC124" s="2399"/>
      <c r="AD124" s="653"/>
      <c r="AE124" s="654"/>
      <c r="AF124" s="654"/>
      <c r="AG124" s="655"/>
      <c r="AH124" s="656"/>
      <c r="AI124" s="649"/>
      <c r="AJ124" s="649"/>
      <c r="AK124" s="649"/>
      <c r="AL124" s="649"/>
      <c r="AM124" s="649"/>
      <c r="AN124" s="649"/>
      <c r="AO124" s="649"/>
      <c r="AP124" s="649"/>
      <c r="AQ124" s="649"/>
      <c r="AR124" s="649"/>
      <c r="AS124" s="649"/>
      <c r="AT124" s="649"/>
      <c r="AU124" s="649"/>
      <c r="AV124" s="649"/>
      <c r="AW124" s="649"/>
      <c r="AX124" s="649"/>
      <c r="AY124" s="649"/>
      <c r="AZ124" s="649"/>
      <c r="BA124" s="649"/>
      <c r="BB124" s="649"/>
      <c r="BC124" s="649"/>
      <c r="BD124" s="649"/>
      <c r="BE124" s="649"/>
      <c r="BF124" s="649"/>
      <c r="BG124" s="649"/>
      <c r="BH124" s="649"/>
      <c r="BI124" s="649"/>
      <c r="BJ124" s="649"/>
      <c r="BK124" s="649"/>
      <c r="BL124" s="649"/>
      <c r="BM124" s="649"/>
      <c r="BN124" s="649"/>
      <c r="BO124" s="649"/>
      <c r="BP124" s="649"/>
      <c r="BQ124" s="649"/>
      <c r="BR124" s="649"/>
      <c r="BS124" s="649"/>
      <c r="BT124" s="649"/>
      <c r="BU124" s="649"/>
      <c r="BV124" s="650"/>
      <c r="BW124" s="650"/>
      <c r="BX124" s="650"/>
      <c r="BY124" s="650"/>
      <c r="BZ124" s="650"/>
      <c r="CA124" s="650"/>
      <c r="CB124" s="650"/>
      <c r="CC124" s="650"/>
      <c r="CD124" s="650"/>
      <c r="CE124" s="650"/>
      <c r="CF124" s="1874"/>
    </row>
    <row customHeight="1" ht="24.75" hidden="1">
      <c r="A125" s="1830"/>
      <c r="B125" s="1184"/>
      <c r="C125" s="436"/>
      <c r="D125" s="2603"/>
      <c r="E125" s="2400" t="s">
        <v>694</v>
      </c>
      <c r="F125" s="2400"/>
      <c r="G125" s="2400"/>
      <c r="H125" s="2400"/>
      <c r="I125" s="2400"/>
      <c r="J125" s="2400"/>
      <c r="K125" s="2400"/>
      <c r="L125" s="2400"/>
      <c r="M125" s="2400"/>
      <c r="N125" s="2400"/>
      <c r="O125" s="2400"/>
      <c r="P125" s="2400"/>
      <c r="Q125" s="582">
        <f>SUMIF(T126:T127,"i",Q126:Q127)</f>
        <v>0</v>
      </c>
      <c r="R125" s="1041"/>
      <c r="S125" s="1822" t="s">
        <v>695</v>
      </c>
      <c r="T125" s="741" t="s">
        <v>696</v>
      </c>
      <c r="U125" s="2398">
        <v>1</v>
      </c>
      <c r="V125" s="2398" t="s">
        <v>659</v>
      </c>
      <c r="W125" s="1184"/>
      <c r="X125" s="1184"/>
      <c r="Y125" s="1184"/>
      <c r="Z125" s="1184"/>
      <c r="AA125" s="1660"/>
      <c r="AB125" s="1184"/>
      <c r="AC125" s="2399"/>
      <c r="AD125" s="653"/>
      <c r="AE125" s="1184"/>
      <c r="AF125" s="1184"/>
      <c r="AG125" s="1660"/>
      <c r="AH125" s="1660"/>
      <c r="AI125" s="1660"/>
      <c r="AJ125" s="1660"/>
      <c r="AK125" s="1660"/>
      <c r="AL125" s="1660"/>
      <c r="AM125" s="1660"/>
      <c r="AN125" s="1660"/>
      <c r="AO125" s="1660"/>
      <c r="AP125" s="1660"/>
      <c r="AQ125" s="1660"/>
      <c r="AR125" s="1660"/>
      <c r="AS125" s="1660"/>
      <c r="AT125" s="1660"/>
      <c r="AU125" s="1660"/>
      <c r="AV125" s="1660"/>
      <c r="AW125" s="1660"/>
      <c r="AX125" s="1660"/>
      <c r="AY125" s="1660"/>
      <c r="AZ125" s="1660"/>
      <c r="BA125" s="1660"/>
      <c r="BB125" s="1660"/>
      <c r="BC125" s="1660"/>
      <c r="BD125" s="1660"/>
      <c r="BE125" s="1660"/>
      <c r="BF125" s="1660"/>
      <c r="BG125" s="1660"/>
      <c r="BH125" s="1660"/>
      <c r="BI125" s="1660"/>
      <c r="BJ125" s="1660"/>
      <c r="BK125" s="1660"/>
      <c r="BL125" s="1660"/>
      <c r="BM125" s="1660"/>
      <c r="BN125" s="1660"/>
      <c r="BO125" s="1660"/>
      <c r="BP125" s="1660"/>
      <c r="BQ125" s="1660"/>
      <c r="BR125" s="1660"/>
      <c r="BS125" s="1660"/>
      <c r="BT125" s="1660"/>
      <c r="BU125" s="1660"/>
      <c r="BV125" s="1184"/>
      <c r="BW125" s="1184"/>
      <c r="BX125" s="1184"/>
      <c r="BY125" s="1184"/>
      <c r="BZ125" s="1184"/>
      <c r="CA125" s="1184"/>
      <c r="CB125" s="1184"/>
      <c r="CC125" s="1184"/>
      <c r="CD125" s="1184"/>
      <c r="CE125" s="1184"/>
      <c r="CF125" s="1874"/>
    </row>
    <row customHeight="1" ht="11.25" hidden="1">
      <c r="A126" s="1817"/>
      <c r="B126" s="1660"/>
      <c r="C126" s="1660"/>
      <c r="D126" s="2603"/>
      <c r="E126" s="659"/>
      <c r="F126" s="659">
        <v>0</v>
      </c>
      <c r="G126" s="659"/>
      <c r="H126" s="659"/>
      <c r="I126" s="659"/>
      <c r="J126" s="659"/>
      <c r="K126" s="659"/>
      <c r="L126" s="659"/>
      <c r="M126" s="659"/>
      <c r="N126" s="659"/>
      <c r="O126" s="659"/>
      <c r="P126" s="659"/>
      <c r="Q126" s="659"/>
      <c r="R126" s="659"/>
      <c r="S126" s="660"/>
      <c r="T126" s="742"/>
      <c r="U126" s="2398"/>
      <c r="V126" s="2398"/>
      <c r="W126" s="1660"/>
      <c r="X126" s="1660"/>
      <c r="Y126" s="1660"/>
      <c r="Z126" s="1660"/>
      <c r="AA126" s="1660"/>
      <c r="AB126" s="1184"/>
      <c r="AC126" s="2399"/>
      <c r="AD126" s="653"/>
      <c r="AE126" s="1184"/>
      <c r="AF126" s="1184"/>
      <c r="AG126" s="1660"/>
      <c r="AH126" s="1660"/>
      <c r="AI126" s="1660"/>
      <c r="AJ126" s="1660"/>
      <c r="AK126" s="1660"/>
      <c r="AL126" s="1660"/>
      <c r="AM126" s="1660"/>
      <c r="AN126" s="1660"/>
      <c r="AO126" s="1660"/>
      <c r="AP126" s="1660"/>
      <c r="AQ126" s="1660"/>
      <c r="AR126" s="1660"/>
      <c r="AS126" s="1660"/>
      <c r="AT126" s="1660"/>
      <c r="AU126" s="1660"/>
      <c r="AV126" s="1660"/>
      <c r="AW126" s="1660"/>
      <c r="AX126" s="1660"/>
      <c r="AY126" s="1660"/>
      <c r="AZ126" s="1660"/>
      <c r="BA126" s="1660"/>
      <c r="BB126" s="1660"/>
      <c r="BC126" s="1660"/>
      <c r="BD126" s="1660"/>
      <c r="BE126" s="1660"/>
      <c r="BF126" s="1660"/>
      <c r="BG126" s="1660"/>
      <c r="BH126" s="1660"/>
      <c r="BI126" s="1660"/>
      <c r="BJ126" s="1660"/>
      <c r="BK126" s="1660"/>
      <c r="BL126" s="1660"/>
      <c r="BM126" s="1660"/>
      <c r="BN126" s="1660"/>
      <c r="BO126" s="1660"/>
      <c r="BP126" s="1660"/>
      <c r="BQ126" s="1660"/>
      <c r="BR126" s="1660"/>
      <c r="BS126" s="1660"/>
      <c r="BT126" s="1660"/>
      <c r="BU126" s="1660"/>
      <c r="BV126" s="1660"/>
      <c r="BW126" s="1660"/>
      <c r="BX126" s="1660"/>
      <c r="BY126" s="1660"/>
      <c r="BZ126" s="1660"/>
      <c r="CA126" s="1660"/>
      <c r="CB126" s="1660"/>
      <c r="CC126" s="1660"/>
      <c r="CD126" s="1660"/>
      <c r="CE126" s="1660"/>
      <c r="CF126" s="1874"/>
    </row>
    <row customHeight="1" ht="11.25" hidden="1">
      <c r="A127" s="1830"/>
      <c r="B127" s="1184"/>
      <c r="C127" s="436"/>
      <c r="D127" s="2603"/>
      <c r="E127" s="673" t="s">
        <v>22</v>
      </c>
      <c r="F127" s="1192" t="s">
        <v>22</v>
      </c>
      <c r="G127" s="1192" t="s">
        <v>699</v>
      </c>
      <c r="H127" s="675" t="s">
        <v>22</v>
      </c>
      <c r="I127" s="675"/>
      <c r="J127" s="675"/>
      <c r="K127" s="675"/>
      <c r="L127" s="675"/>
      <c r="M127" s="675"/>
      <c r="N127" s="675"/>
      <c r="O127" s="675"/>
      <c r="P127" s="675"/>
      <c r="Q127" s="675"/>
      <c r="R127" s="676"/>
      <c r="S127" s="677"/>
      <c r="T127" s="742"/>
      <c r="U127" s="2398"/>
      <c r="V127" s="2398"/>
      <c r="W127" s="1184"/>
      <c r="X127" s="1184"/>
      <c r="Y127" s="1184"/>
      <c r="Z127" s="1184"/>
      <c r="AA127" s="1660"/>
      <c r="AB127" s="1184"/>
      <c r="AC127" s="2399"/>
      <c r="AD127" s="653"/>
      <c r="AE127" s="1184"/>
      <c r="AF127" s="1184"/>
      <c r="AG127" s="1660"/>
      <c r="AH127" s="1660"/>
      <c r="AI127" s="1660"/>
      <c r="AJ127" s="1660"/>
      <c r="AK127" s="1660"/>
      <c r="AL127" s="1660"/>
      <c r="AM127" s="1660"/>
      <c r="AN127" s="1660"/>
      <c r="AO127" s="1660"/>
      <c r="AP127" s="1660"/>
      <c r="AQ127" s="1660"/>
      <c r="AR127" s="1660"/>
      <c r="AS127" s="1660"/>
      <c r="AT127" s="1660"/>
      <c r="AU127" s="1660"/>
      <c r="AV127" s="1660"/>
      <c r="AW127" s="1660"/>
      <c r="AX127" s="1660"/>
      <c r="AY127" s="1660"/>
      <c r="AZ127" s="1660"/>
      <c r="BA127" s="1660"/>
      <c r="BB127" s="1660"/>
      <c r="BC127" s="1660"/>
      <c r="BD127" s="1660"/>
      <c r="BE127" s="1660"/>
      <c r="BF127" s="1660"/>
      <c r="BG127" s="1660"/>
      <c r="BH127" s="1660"/>
      <c r="BI127" s="1660"/>
      <c r="BJ127" s="1660"/>
      <c r="BK127" s="1660"/>
      <c r="BL127" s="1660"/>
      <c r="BM127" s="1660"/>
      <c r="BN127" s="1660"/>
      <c r="BO127" s="1660"/>
      <c r="BP127" s="1660"/>
      <c r="BQ127" s="1660"/>
      <c r="BR127" s="1660"/>
      <c r="BS127" s="1660"/>
      <c r="BT127" s="1660"/>
      <c r="BU127" s="1660"/>
      <c r="BV127" s="1184"/>
      <c r="BW127" s="1184"/>
      <c r="BX127" s="1184"/>
      <c r="BY127" s="1184"/>
      <c r="BZ127" s="1184"/>
      <c r="CA127" s="1184"/>
      <c r="CB127" s="1184"/>
      <c r="CC127" s="1184"/>
      <c r="CD127" s="1184"/>
      <c r="CE127" s="1184"/>
      <c r="CF127" s="1874"/>
    </row>
    <row customHeight="1" ht="5.25" hidden="1">
      <c r="A128" s="1817"/>
      <c r="B128" s="1660"/>
      <c r="C128" s="1660"/>
      <c r="D128" s="2603"/>
      <c r="E128" s="1063"/>
      <c r="F128" s="1063"/>
      <c r="G128" s="1063"/>
      <c r="H128" s="1063"/>
      <c r="I128" s="1063"/>
      <c r="J128" s="1063"/>
      <c r="K128" s="1063"/>
      <c r="L128" s="1063"/>
      <c r="M128" s="1063"/>
      <c r="N128" s="1063"/>
      <c r="O128" s="1063"/>
      <c r="P128" s="1063"/>
      <c r="Q128" s="1064"/>
      <c r="R128" s="1065"/>
      <c r="S128" s="1066"/>
      <c r="T128" s="741" t="s">
        <v>696</v>
      </c>
      <c r="U128" s="2398">
        <v>1</v>
      </c>
      <c r="V128" s="2398" t="s">
        <v>659</v>
      </c>
      <c r="W128" s="1660"/>
      <c r="X128" s="1660"/>
      <c r="Y128" s="1660"/>
      <c r="Z128" s="1660"/>
      <c r="AA128" s="1660"/>
      <c r="AB128" s="1660"/>
      <c r="AC128" s="1061"/>
      <c r="AD128" s="1062"/>
      <c r="AE128" s="1660"/>
      <c r="AF128" s="1660"/>
      <c r="AG128" s="1660"/>
      <c r="AH128" s="1660"/>
      <c r="AI128" s="1660"/>
      <c r="AJ128" s="1660"/>
      <c r="AK128" s="1660"/>
      <c r="AL128" s="1660"/>
      <c r="AM128" s="1660"/>
      <c r="AN128" s="1660"/>
      <c r="AO128" s="1660"/>
      <c r="AP128" s="1660"/>
      <c r="AQ128" s="1660"/>
      <c r="AR128" s="1660"/>
      <c r="AS128" s="1660"/>
      <c r="AT128" s="1660"/>
      <c r="AU128" s="1660"/>
      <c r="AV128" s="1660"/>
      <c r="AW128" s="1660"/>
      <c r="AX128" s="1660"/>
      <c r="AY128" s="1660"/>
      <c r="AZ128" s="1660"/>
      <c r="BA128" s="1660"/>
      <c r="BB128" s="1660"/>
      <c r="BC128" s="1660"/>
      <c r="BD128" s="1660"/>
      <c r="BE128" s="1660"/>
      <c r="BF128" s="1660"/>
      <c r="BG128" s="1660"/>
      <c r="BH128" s="1660"/>
      <c r="BI128" s="1660"/>
      <c r="BJ128" s="1660"/>
      <c r="BK128" s="1660"/>
      <c r="BL128" s="1660"/>
      <c r="BM128" s="1660"/>
      <c r="BN128" s="1660"/>
      <c r="BO128" s="1660"/>
      <c r="BP128" s="1660"/>
      <c r="BQ128" s="1660"/>
      <c r="BR128" s="1660"/>
      <c r="BS128" s="1660"/>
      <c r="BT128" s="1660"/>
      <c r="BU128" s="1660"/>
      <c r="BV128" s="1660"/>
      <c r="BW128" s="1660"/>
      <c r="BX128" s="1660"/>
      <c r="BY128" s="1660"/>
      <c r="BZ128" s="1660"/>
      <c r="CA128" s="1660"/>
      <c r="CB128" s="1660"/>
      <c r="CC128" s="1660"/>
      <c r="CD128" s="1660"/>
      <c r="CE128" s="1660"/>
      <c r="CF128" s="1340"/>
    </row>
    <row customHeight="1" ht="5.25" hidden="1">
      <c r="A129" s="1817"/>
      <c r="B129" s="1660"/>
      <c r="C129" s="1660"/>
      <c r="D129" s="2603"/>
      <c r="E129" s="659"/>
      <c r="F129" s="659"/>
      <c r="G129" s="659"/>
      <c r="H129" s="659"/>
      <c r="I129" s="659"/>
      <c r="J129" s="659"/>
      <c r="K129" s="659"/>
      <c r="L129" s="659"/>
      <c r="M129" s="659"/>
      <c r="N129" s="659"/>
      <c r="O129" s="659"/>
      <c r="P129" s="659"/>
      <c r="Q129" s="659"/>
      <c r="R129" s="659"/>
      <c r="S129" s="660"/>
      <c r="T129" s="742"/>
      <c r="U129" s="2398"/>
      <c r="V129" s="2398"/>
      <c r="W129" s="1660"/>
      <c r="X129" s="1660"/>
      <c r="Y129" s="1660"/>
      <c r="Z129" s="1660"/>
      <c r="AA129" s="1660"/>
      <c r="AB129" s="1660"/>
      <c r="AC129" s="1061"/>
      <c r="AD129" s="1062"/>
      <c r="AE129" s="1660"/>
      <c r="AF129" s="1660"/>
      <c r="AG129" s="1660"/>
      <c r="AH129" s="1660"/>
      <c r="AI129" s="1660"/>
      <c r="AJ129" s="1660"/>
      <c r="AK129" s="1660"/>
      <c r="AL129" s="1660"/>
      <c r="AM129" s="1660"/>
      <c r="AN129" s="1660"/>
      <c r="AO129" s="1660"/>
      <c r="AP129" s="1660"/>
      <c r="AQ129" s="1660"/>
      <c r="AR129" s="1660"/>
      <c r="AS129" s="1660"/>
      <c r="AT129" s="1660"/>
      <c r="AU129" s="1660"/>
      <c r="AV129" s="1660"/>
      <c r="AW129" s="1660"/>
      <c r="AX129" s="1660"/>
      <c r="AY129" s="1660"/>
      <c r="AZ129" s="1660"/>
      <c r="BA129" s="1660"/>
      <c r="BB129" s="1660"/>
      <c r="BC129" s="1660"/>
      <c r="BD129" s="1660"/>
      <c r="BE129" s="1660"/>
      <c r="BF129" s="1660"/>
      <c r="BG129" s="1660"/>
      <c r="BH129" s="1660"/>
      <c r="BI129" s="1660"/>
      <c r="BJ129" s="1660"/>
      <c r="BK129" s="1660"/>
      <c r="BL129" s="1660"/>
      <c r="BM129" s="1660"/>
      <c r="BN129" s="1660"/>
      <c r="BO129" s="1660"/>
      <c r="BP129" s="1660"/>
      <c r="BQ129" s="1660"/>
      <c r="BR129" s="1660"/>
      <c r="BS129" s="1660"/>
      <c r="BT129" s="1660"/>
      <c r="BU129" s="1660"/>
      <c r="BV129" s="1660"/>
      <c r="BW129" s="1660"/>
      <c r="BX129" s="1660"/>
      <c r="BY129" s="1660"/>
      <c r="BZ129" s="1660"/>
      <c r="CA129" s="1660"/>
      <c r="CB129" s="1660"/>
      <c r="CC129" s="1660"/>
      <c r="CD129" s="1660"/>
      <c r="CE129" s="1660"/>
      <c r="CF129" s="1340"/>
    </row>
    <row customHeight="1" ht="5.25" hidden="1">
      <c r="A130" s="1817"/>
      <c r="B130" s="1660"/>
      <c r="C130" s="1660"/>
      <c r="D130" s="2604"/>
      <c r="E130" s="1067"/>
      <c r="F130" s="1068"/>
      <c r="G130" s="1068"/>
      <c r="H130" s="1069"/>
      <c r="I130" s="1069"/>
      <c r="J130" s="1069"/>
      <c r="K130" s="1069"/>
      <c r="L130" s="1069"/>
      <c r="M130" s="1069"/>
      <c r="N130" s="1069"/>
      <c r="O130" s="1069"/>
      <c r="P130" s="1069"/>
      <c r="Q130" s="1069"/>
      <c r="R130" s="970"/>
      <c r="S130" s="1070"/>
      <c r="T130" s="742"/>
      <c r="U130" s="2398"/>
      <c r="V130" s="2398"/>
      <c r="W130" s="1660"/>
      <c r="X130" s="1660"/>
      <c r="Y130" s="1660"/>
      <c r="Z130" s="1660"/>
      <c r="AA130" s="1660"/>
      <c r="AB130" s="1660"/>
      <c r="AC130" s="1061"/>
      <c r="AD130" s="1062"/>
      <c r="AE130" s="1660"/>
      <c r="AF130" s="1660"/>
      <c r="AG130" s="1660"/>
      <c r="AH130" s="1660"/>
      <c r="AI130" s="1660"/>
      <c r="AJ130" s="1660"/>
      <c r="AK130" s="1660"/>
      <c r="AL130" s="1660"/>
      <c r="AM130" s="1660"/>
      <c r="AN130" s="1660"/>
      <c r="AO130" s="1660"/>
      <c r="AP130" s="1660"/>
      <c r="AQ130" s="1660"/>
      <c r="AR130" s="1660"/>
      <c r="AS130" s="1660"/>
      <c r="AT130" s="1660"/>
      <c r="AU130" s="1660"/>
      <c r="AV130" s="1660"/>
      <c r="AW130" s="1660"/>
      <c r="AX130" s="1660"/>
      <c r="AY130" s="1660"/>
      <c r="AZ130" s="1660"/>
      <c r="BA130" s="1660"/>
      <c r="BB130" s="1660"/>
      <c r="BC130" s="1660"/>
      <c r="BD130" s="1660"/>
      <c r="BE130" s="1660"/>
      <c r="BF130" s="1660"/>
      <c r="BG130" s="1660"/>
      <c r="BH130" s="1660"/>
      <c r="BI130" s="1660"/>
      <c r="BJ130" s="1660"/>
      <c r="BK130" s="1660"/>
      <c r="BL130" s="1660"/>
      <c r="BM130" s="1660"/>
      <c r="BN130" s="1660"/>
      <c r="BO130" s="1660"/>
      <c r="BP130" s="1660"/>
      <c r="BQ130" s="1660"/>
      <c r="BR130" s="1660"/>
      <c r="BS130" s="1660"/>
      <c r="BT130" s="1660"/>
      <c r="BU130" s="1660"/>
      <c r="BV130" s="1660"/>
      <c r="BW130" s="1660"/>
      <c r="BX130" s="1660"/>
      <c r="BY130" s="1660"/>
      <c r="BZ130" s="1660"/>
      <c r="CA130" s="1660"/>
      <c r="CB130" s="1660"/>
      <c r="CC130" s="1660"/>
      <c r="CD130" s="1660"/>
      <c r="CE130" s="1660"/>
      <c r="CF130" s="1340"/>
    </row>
    <row customHeight="1" ht="15" hidden="1">
      <c r="A131" s="647" t="s">
        <v>205</v>
      </c>
      <c r="B131" s="648"/>
      <c r="C131" s="648" t="s">
        <v>22</v>
      </c>
      <c r="D131" s="2602" t="s">
        <v>711</v>
      </c>
      <c r="E131" s="2401" t="s">
        <v>166</v>
      </c>
      <c r="F131" s="2402"/>
      <c r="G131" s="2403"/>
      <c r="H131" s="2407" t="str">
        <f>IF(A131="","",INDEX(DIFFERENTIATION_UNMERGE_VD,MATCH(A131,DIFFERENTIATION_ID_DIFF,0)))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131" s="2407"/>
      <c r="J131" s="2407"/>
      <c r="K131" s="2407"/>
      <c r="L131" s="2407"/>
      <c r="M131" s="2407"/>
      <c r="N131" s="2407"/>
      <c r="O131" s="2407"/>
      <c r="P131" s="2407"/>
      <c r="Q131" s="2407"/>
      <c r="R131" s="2407"/>
      <c r="S131" s="743"/>
      <c r="T131" s="740"/>
      <c r="U131" s="649"/>
      <c r="V131" s="649"/>
      <c r="W131" s="650"/>
      <c r="X131" s="650"/>
      <c r="Y131" s="650"/>
      <c r="Z131" s="650"/>
      <c r="AA131" s="651"/>
      <c r="AB131" s="652"/>
      <c r="AC131" s="2399"/>
      <c r="AD131" s="653"/>
      <c r="AE131" s="654" t="s">
        <v>22</v>
      </c>
      <c r="AF131" s="654"/>
      <c r="AG131" s="655" t="s">
        <v>693</v>
      </c>
      <c r="AH131" s="656">
        <v>3</v>
      </c>
      <c r="AI131" s="649"/>
      <c r="AJ131" s="649"/>
      <c r="AK131" s="649"/>
      <c r="AL131" s="649"/>
      <c r="AM131" s="649"/>
      <c r="AN131" s="649"/>
      <c r="AO131" s="649"/>
      <c r="AP131" s="649"/>
      <c r="AQ131" s="649"/>
      <c r="AR131" s="649"/>
      <c r="AS131" s="649"/>
      <c r="AT131" s="649"/>
      <c r="AU131" s="649"/>
      <c r="AV131" s="649"/>
      <c r="AW131" s="649"/>
      <c r="AX131" s="649"/>
      <c r="AY131" s="649"/>
      <c r="AZ131" s="649"/>
      <c r="BA131" s="649"/>
      <c r="BB131" s="649"/>
      <c r="BC131" s="649"/>
      <c r="BD131" s="649"/>
      <c r="BE131" s="649"/>
      <c r="BF131" s="649"/>
      <c r="BG131" s="649"/>
      <c r="BH131" s="649"/>
      <c r="BI131" s="649"/>
      <c r="BJ131" s="649"/>
      <c r="BK131" s="649"/>
      <c r="BL131" s="649"/>
      <c r="BM131" s="649"/>
      <c r="BN131" s="649"/>
      <c r="BO131" s="649"/>
      <c r="BP131" s="649"/>
      <c r="BQ131" s="649"/>
      <c r="BR131" s="649"/>
      <c r="BS131" s="649"/>
      <c r="BT131" s="649"/>
      <c r="BU131" s="649"/>
      <c r="BV131" s="650"/>
      <c r="BW131" s="650"/>
      <c r="BX131" s="650"/>
      <c r="BY131" s="650"/>
      <c r="BZ131" s="650"/>
      <c r="CA131" s="650"/>
      <c r="CB131" s="650"/>
      <c r="CC131" s="650"/>
      <c r="CD131" s="650"/>
      <c r="CE131" s="650"/>
      <c r="CF131" s="1874"/>
    </row>
    <row customHeight="1" ht="15" hidden="1">
      <c r="A132" s="647"/>
      <c r="B132" s="648"/>
      <c r="C132" s="648"/>
      <c r="D132" s="2603"/>
      <c r="E132" s="2401" t="s">
        <v>648</v>
      </c>
      <c r="F132" s="2402"/>
      <c r="G132" s="2403"/>
      <c r="H132" s="2407" t="str">
        <f>IF(A131="","",INDEX(DIFFERENTIATION_UNMERGE_AREA,MATCH(A131,DIFFERENTIATION_ID_DIFF,0)))</f>
        <v>Территория 9</v>
      </c>
      <c r="I132" s="2407"/>
      <c r="J132" s="2407"/>
      <c r="K132" s="2407"/>
      <c r="L132" s="2407"/>
      <c r="M132" s="2407"/>
      <c r="N132" s="2407"/>
      <c r="O132" s="2407"/>
      <c r="P132" s="2407"/>
      <c r="Q132" s="2407"/>
      <c r="R132" s="2407"/>
      <c r="S132" s="743"/>
      <c r="T132" s="740"/>
      <c r="U132" s="649"/>
      <c r="V132" s="649"/>
      <c r="W132" s="650"/>
      <c r="X132" s="650"/>
      <c r="Y132" s="650"/>
      <c r="Z132" s="650"/>
      <c r="AA132" s="651"/>
      <c r="AB132" s="652"/>
      <c r="AC132" s="2399"/>
      <c r="AD132" s="653"/>
      <c r="AE132" s="654"/>
      <c r="AF132" s="654"/>
      <c r="AG132" s="655"/>
      <c r="AH132" s="656"/>
      <c r="AI132" s="649"/>
      <c r="AJ132" s="649"/>
      <c r="AK132" s="649"/>
      <c r="AL132" s="649"/>
      <c r="AM132" s="649"/>
      <c r="AN132" s="649"/>
      <c r="AO132" s="649"/>
      <c r="AP132" s="649"/>
      <c r="AQ132" s="649"/>
      <c r="AR132" s="649"/>
      <c r="AS132" s="649"/>
      <c r="AT132" s="649"/>
      <c r="AU132" s="649"/>
      <c r="AV132" s="649"/>
      <c r="AW132" s="649"/>
      <c r="AX132" s="649"/>
      <c r="AY132" s="649"/>
      <c r="AZ132" s="649"/>
      <c r="BA132" s="649"/>
      <c r="BB132" s="649"/>
      <c r="BC132" s="649"/>
      <c r="BD132" s="649"/>
      <c r="BE132" s="649"/>
      <c r="BF132" s="649"/>
      <c r="BG132" s="649"/>
      <c r="BH132" s="649"/>
      <c r="BI132" s="649"/>
      <c r="BJ132" s="649"/>
      <c r="BK132" s="649"/>
      <c r="BL132" s="649"/>
      <c r="BM132" s="649"/>
      <c r="BN132" s="649"/>
      <c r="BO132" s="649"/>
      <c r="BP132" s="649"/>
      <c r="BQ132" s="649"/>
      <c r="BR132" s="649"/>
      <c r="BS132" s="649"/>
      <c r="BT132" s="649"/>
      <c r="BU132" s="649"/>
      <c r="BV132" s="650"/>
      <c r="BW132" s="650"/>
      <c r="BX132" s="650"/>
      <c r="BY132" s="650"/>
      <c r="BZ132" s="650"/>
      <c r="CA132" s="650"/>
      <c r="CB132" s="650"/>
      <c r="CC132" s="650"/>
      <c r="CD132" s="650"/>
      <c r="CE132" s="650"/>
      <c r="CF132" s="1874"/>
    </row>
    <row customHeight="1" ht="15" hidden="1">
      <c r="A133" s="647"/>
      <c r="B133" s="648"/>
      <c r="C133" s="648"/>
      <c r="D133" s="2603"/>
      <c r="E133" s="2401" t="s">
        <v>649</v>
      </c>
      <c r="F133" s="2402"/>
      <c r="G133" s="2403"/>
      <c r="H133" s="2407" t="str">
        <f>IF(A131="","",INDEX(DIFFERENTIATION_UNMERGE_SYSTEM,MATCH(A131,DIFFERENTIATION_ID_DIFF,0)))</f>
        <v>Хабаровская ТЭЦ-3 (г. Хабаровск, с. Восточное, с. Мирненское, с. Тополевское)</v>
      </c>
      <c r="I133" s="2407"/>
      <c r="J133" s="2407"/>
      <c r="K133" s="2407"/>
      <c r="L133" s="2407"/>
      <c r="M133" s="2407"/>
      <c r="N133" s="2407"/>
      <c r="O133" s="2407"/>
      <c r="P133" s="2407"/>
      <c r="Q133" s="2407"/>
      <c r="R133" s="2407"/>
      <c r="S133" s="743"/>
      <c r="T133" s="740"/>
      <c r="U133" s="649"/>
      <c r="V133" s="649"/>
      <c r="W133" s="650"/>
      <c r="X133" s="650"/>
      <c r="Y133" s="650"/>
      <c r="Z133" s="650"/>
      <c r="AA133" s="651"/>
      <c r="AB133" s="652"/>
      <c r="AC133" s="2399"/>
      <c r="AD133" s="653"/>
      <c r="AE133" s="654"/>
      <c r="AF133" s="654"/>
      <c r="AG133" s="655"/>
      <c r="AH133" s="656"/>
      <c r="AI133" s="649"/>
      <c r="AJ133" s="649"/>
      <c r="AK133" s="649"/>
      <c r="AL133" s="649"/>
      <c r="AM133" s="649"/>
      <c r="AN133" s="649"/>
      <c r="AO133" s="649"/>
      <c r="AP133" s="649"/>
      <c r="AQ133" s="649"/>
      <c r="AR133" s="649"/>
      <c r="AS133" s="649"/>
      <c r="AT133" s="649"/>
      <c r="AU133" s="649"/>
      <c r="AV133" s="649"/>
      <c r="AW133" s="649"/>
      <c r="AX133" s="649"/>
      <c r="AY133" s="649"/>
      <c r="AZ133" s="649"/>
      <c r="BA133" s="649"/>
      <c r="BB133" s="649"/>
      <c r="BC133" s="649"/>
      <c r="BD133" s="649"/>
      <c r="BE133" s="649"/>
      <c r="BF133" s="649"/>
      <c r="BG133" s="649"/>
      <c r="BH133" s="649"/>
      <c r="BI133" s="649"/>
      <c r="BJ133" s="649"/>
      <c r="BK133" s="649"/>
      <c r="BL133" s="649"/>
      <c r="BM133" s="649"/>
      <c r="BN133" s="649"/>
      <c r="BO133" s="649"/>
      <c r="BP133" s="649"/>
      <c r="BQ133" s="649"/>
      <c r="BR133" s="649"/>
      <c r="BS133" s="649"/>
      <c r="BT133" s="649"/>
      <c r="BU133" s="649"/>
      <c r="BV133" s="650"/>
      <c r="BW133" s="650"/>
      <c r="BX133" s="650"/>
      <c r="BY133" s="650"/>
      <c r="BZ133" s="650"/>
      <c r="CA133" s="650"/>
      <c r="CB133" s="650"/>
      <c r="CC133" s="650"/>
      <c r="CD133" s="650"/>
      <c r="CE133" s="650"/>
      <c r="CF133" s="1874"/>
    </row>
    <row customHeight="1" ht="24.75" hidden="1">
      <c r="A134" s="1830"/>
      <c r="B134" s="1184"/>
      <c r="C134" s="436"/>
      <c r="D134" s="2603"/>
      <c r="E134" s="2400" t="s">
        <v>694</v>
      </c>
      <c r="F134" s="2400"/>
      <c r="G134" s="2400"/>
      <c r="H134" s="2400"/>
      <c r="I134" s="2400"/>
      <c r="J134" s="2400"/>
      <c r="K134" s="2400"/>
      <c r="L134" s="2400"/>
      <c r="M134" s="2400"/>
      <c r="N134" s="2400"/>
      <c r="O134" s="2400"/>
      <c r="P134" s="2400"/>
      <c r="Q134" s="582">
        <f>SUMIF(T135:T136,"i",Q135:Q136)</f>
        <v>0</v>
      </c>
      <c r="R134" s="1041"/>
      <c r="S134" s="1822" t="s">
        <v>695</v>
      </c>
      <c r="T134" s="741" t="s">
        <v>696</v>
      </c>
      <c r="U134" s="2398">
        <v>1</v>
      </c>
      <c r="V134" s="2398" t="s">
        <v>659</v>
      </c>
      <c r="W134" s="1184"/>
      <c r="X134" s="1184"/>
      <c r="Y134" s="1184"/>
      <c r="Z134" s="1184"/>
      <c r="AA134" s="1660"/>
      <c r="AB134" s="1184"/>
      <c r="AC134" s="2399"/>
      <c r="AD134" s="653"/>
      <c r="AE134" s="1184"/>
      <c r="AF134" s="1184"/>
      <c r="AG134" s="1660"/>
      <c r="AH134" s="1660"/>
      <c r="AI134" s="1660"/>
      <c r="AJ134" s="1660"/>
      <c r="AK134" s="1660"/>
      <c r="AL134" s="1660"/>
      <c r="AM134" s="1660"/>
      <c r="AN134" s="1660"/>
      <c r="AO134" s="1660"/>
      <c r="AP134" s="1660"/>
      <c r="AQ134" s="1660"/>
      <c r="AR134" s="1660"/>
      <c r="AS134" s="1660"/>
      <c r="AT134" s="1660"/>
      <c r="AU134" s="1660"/>
      <c r="AV134" s="1660"/>
      <c r="AW134" s="1660"/>
      <c r="AX134" s="1660"/>
      <c r="AY134" s="1660"/>
      <c r="AZ134" s="1660"/>
      <c r="BA134" s="1660"/>
      <c r="BB134" s="1660"/>
      <c r="BC134" s="1660"/>
      <c r="BD134" s="1660"/>
      <c r="BE134" s="1660"/>
      <c r="BF134" s="1660"/>
      <c r="BG134" s="1660"/>
      <c r="BH134" s="1660"/>
      <c r="BI134" s="1660"/>
      <c r="BJ134" s="1660"/>
      <c r="BK134" s="1660"/>
      <c r="BL134" s="1660"/>
      <c r="BM134" s="1660"/>
      <c r="BN134" s="1660"/>
      <c r="BO134" s="1660"/>
      <c r="BP134" s="1660"/>
      <c r="BQ134" s="1660"/>
      <c r="BR134" s="1660"/>
      <c r="BS134" s="1660"/>
      <c r="BT134" s="1660"/>
      <c r="BU134" s="1660"/>
      <c r="BV134" s="1184"/>
      <c r="BW134" s="1184"/>
      <c r="BX134" s="1184"/>
      <c r="BY134" s="1184"/>
      <c r="BZ134" s="1184"/>
      <c r="CA134" s="1184"/>
      <c r="CB134" s="1184"/>
      <c r="CC134" s="1184"/>
      <c r="CD134" s="1184"/>
      <c r="CE134" s="1184"/>
      <c r="CF134" s="1874"/>
    </row>
    <row customHeight="1" ht="11.25" hidden="1">
      <c r="A135" s="1817"/>
      <c r="B135" s="1660"/>
      <c r="C135" s="1660"/>
      <c r="D135" s="2603"/>
      <c r="E135" s="659"/>
      <c r="F135" s="659">
        <v>0</v>
      </c>
      <c r="G135" s="659"/>
      <c r="H135" s="659"/>
      <c r="I135" s="659"/>
      <c r="J135" s="659"/>
      <c r="K135" s="659"/>
      <c r="L135" s="659"/>
      <c r="M135" s="659"/>
      <c r="N135" s="659"/>
      <c r="O135" s="659"/>
      <c r="P135" s="659"/>
      <c r="Q135" s="659"/>
      <c r="R135" s="659"/>
      <c r="S135" s="660"/>
      <c r="T135" s="742"/>
      <c r="U135" s="2398"/>
      <c r="V135" s="2398"/>
      <c r="W135" s="1660"/>
      <c r="X135" s="1660"/>
      <c r="Y135" s="1660"/>
      <c r="Z135" s="1660"/>
      <c r="AA135" s="1660"/>
      <c r="AB135" s="1184"/>
      <c r="AC135" s="2399"/>
      <c r="AD135" s="653"/>
      <c r="AE135" s="1184"/>
      <c r="AF135" s="1184"/>
      <c r="AG135" s="1660"/>
      <c r="AH135" s="1660"/>
      <c r="AI135" s="1660"/>
      <c r="AJ135" s="1660"/>
      <c r="AK135" s="1660"/>
      <c r="AL135" s="1660"/>
      <c r="AM135" s="1660"/>
      <c r="AN135" s="1660"/>
      <c r="AO135" s="1660"/>
      <c r="AP135" s="1660"/>
      <c r="AQ135" s="1660"/>
      <c r="AR135" s="1660"/>
      <c r="AS135" s="1660"/>
      <c r="AT135" s="1660"/>
      <c r="AU135" s="1660"/>
      <c r="AV135" s="1660"/>
      <c r="AW135" s="1660"/>
      <c r="AX135" s="1660"/>
      <c r="AY135" s="1660"/>
      <c r="AZ135" s="1660"/>
      <c r="BA135" s="1660"/>
      <c r="BB135" s="1660"/>
      <c r="BC135" s="1660"/>
      <c r="BD135" s="1660"/>
      <c r="BE135" s="1660"/>
      <c r="BF135" s="1660"/>
      <c r="BG135" s="1660"/>
      <c r="BH135" s="1660"/>
      <c r="BI135" s="1660"/>
      <c r="BJ135" s="1660"/>
      <c r="BK135" s="1660"/>
      <c r="BL135" s="1660"/>
      <c r="BM135" s="1660"/>
      <c r="BN135" s="1660"/>
      <c r="BO135" s="1660"/>
      <c r="BP135" s="1660"/>
      <c r="BQ135" s="1660"/>
      <c r="BR135" s="1660"/>
      <c r="BS135" s="1660"/>
      <c r="BT135" s="1660"/>
      <c r="BU135" s="1660"/>
      <c r="BV135" s="1660"/>
      <c r="BW135" s="1660"/>
      <c r="BX135" s="1660"/>
      <c r="BY135" s="1660"/>
      <c r="BZ135" s="1660"/>
      <c r="CA135" s="1660"/>
      <c r="CB135" s="1660"/>
      <c r="CC135" s="1660"/>
      <c r="CD135" s="1660"/>
      <c r="CE135" s="1660"/>
      <c r="CF135" s="1874"/>
    </row>
    <row customHeight="1" ht="11.25" hidden="1">
      <c r="A136" s="1830"/>
      <c r="B136" s="1184"/>
      <c r="C136" s="436"/>
      <c r="D136" s="2603"/>
      <c r="E136" s="673" t="s">
        <v>22</v>
      </c>
      <c r="F136" s="1192" t="s">
        <v>22</v>
      </c>
      <c r="G136" s="1192" t="s">
        <v>699</v>
      </c>
      <c r="H136" s="675" t="s">
        <v>22</v>
      </c>
      <c r="I136" s="675"/>
      <c r="J136" s="675"/>
      <c r="K136" s="675"/>
      <c r="L136" s="675"/>
      <c r="M136" s="675"/>
      <c r="N136" s="675"/>
      <c r="O136" s="675"/>
      <c r="P136" s="675"/>
      <c r="Q136" s="675"/>
      <c r="R136" s="676"/>
      <c r="S136" s="677"/>
      <c r="T136" s="742"/>
      <c r="U136" s="2398"/>
      <c r="V136" s="2398"/>
      <c r="W136" s="1184"/>
      <c r="X136" s="1184"/>
      <c r="Y136" s="1184"/>
      <c r="Z136" s="1184"/>
      <c r="AA136" s="1660"/>
      <c r="AB136" s="1184"/>
      <c r="AC136" s="2399"/>
      <c r="AD136" s="653"/>
      <c r="AE136" s="1184"/>
      <c r="AF136" s="1184"/>
      <c r="AG136" s="1660"/>
      <c r="AH136" s="1660"/>
      <c r="AI136" s="1660"/>
      <c r="AJ136" s="1660"/>
      <c r="AK136" s="1660"/>
      <c r="AL136" s="1660"/>
      <c r="AM136" s="1660"/>
      <c r="AN136" s="1660"/>
      <c r="AO136" s="1660"/>
      <c r="AP136" s="1660"/>
      <c r="AQ136" s="1660"/>
      <c r="AR136" s="1660"/>
      <c r="AS136" s="1660"/>
      <c r="AT136" s="1660"/>
      <c r="AU136" s="1660"/>
      <c r="AV136" s="1660"/>
      <c r="AW136" s="1660"/>
      <c r="AX136" s="1660"/>
      <c r="AY136" s="1660"/>
      <c r="AZ136" s="1660"/>
      <c r="BA136" s="1660"/>
      <c r="BB136" s="1660"/>
      <c r="BC136" s="1660"/>
      <c r="BD136" s="1660"/>
      <c r="BE136" s="1660"/>
      <c r="BF136" s="1660"/>
      <c r="BG136" s="1660"/>
      <c r="BH136" s="1660"/>
      <c r="BI136" s="1660"/>
      <c r="BJ136" s="1660"/>
      <c r="BK136" s="1660"/>
      <c r="BL136" s="1660"/>
      <c r="BM136" s="1660"/>
      <c r="BN136" s="1660"/>
      <c r="BO136" s="1660"/>
      <c r="BP136" s="1660"/>
      <c r="BQ136" s="1660"/>
      <c r="BR136" s="1660"/>
      <c r="BS136" s="1660"/>
      <c r="BT136" s="1660"/>
      <c r="BU136" s="1660"/>
      <c r="BV136" s="1184"/>
      <c r="BW136" s="1184"/>
      <c r="BX136" s="1184"/>
      <c r="BY136" s="1184"/>
      <c r="BZ136" s="1184"/>
      <c r="CA136" s="1184"/>
      <c r="CB136" s="1184"/>
      <c r="CC136" s="1184"/>
      <c r="CD136" s="1184"/>
      <c r="CE136" s="1184"/>
      <c r="CF136" s="1874"/>
    </row>
    <row customHeight="1" ht="5.25" hidden="1">
      <c r="A137" s="1817"/>
      <c r="B137" s="1660"/>
      <c r="C137" s="1660"/>
      <c r="D137" s="2603"/>
      <c r="E137" s="1063"/>
      <c r="F137" s="1063"/>
      <c r="G137" s="1063"/>
      <c r="H137" s="1063"/>
      <c r="I137" s="1063"/>
      <c r="J137" s="1063"/>
      <c r="K137" s="1063"/>
      <c r="L137" s="1063"/>
      <c r="M137" s="1063"/>
      <c r="N137" s="1063"/>
      <c r="O137" s="1063"/>
      <c r="P137" s="1063"/>
      <c r="Q137" s="1064"/>
      <c r="R137" s="1065"/>
      <c r="S137" s="1066"/>
      <c r="T137" s="741" t="s">
        <v>696</v>
      </c>
      <c r="U137" s="2398">
        <v>1</v>
      </c>
      <c r="V137" s="2398" t="s">
        <v>659</v>
      </c>
      <c r="W137" s="1660"/>
      <c r="X137" s="1660"/>
      <c r="Y137" s="1660"/>
      <c r="Z137" s="1660"/>
      <c r="AA137" s="1660"/>
      <c r="AB137" s="1660"/>
      <c r="AC137" s="1061"/>
      <c r="AD137" s="1062"/>
      <c r="AE137" s="1660"/>
      <c r="AF137" s="1660"/>
      <c r="AG137" s="1660"/>
      <c r="AH137" s="1660"/>
      <c r="AI137" s="1660"/>
      <c r="AJ137" s="1660"/>
      <c r="AK137" s="1660"/>
      <c r="AL137" s="1660"/>
      <c r="AM137" s="1660"/>
      <c r="AN137" s="1660"/>
      <c r="AO137" s="1660"/>
      <c r="AP137" s="1660"/>
      <c r="AQ137" s="1660"/>
      <c r="AR137" s="1660"/>
      <c r="AS137" s="1660"/>
      <c r="AT137" s="1660"/>
      <c r="AU137" s="1660"/>
      <c r="AV137" s="1660"/>
      <c r="AW137" s="1660"/>
      <c r="AX137" s="1660"/>
      <c r="AY137" s="1660"/>
      <c r="AZ137" s="1660"/>
      <c r="BA137" s="1660"/>
      <c r="BB137" s="1660"/>
      <c r="BC137" s="1660"/>
      <c r="BD137" s="1660"/>
      <c r="BE137" s="1660"/>
      <c r="BF137" s="1660"/>
      <c r="BG137" s="1660"/>
      <c r="BH137" s="1660"/>
      <c r="BI137" s="1660"/>
      <c r="BJ137" s="1660"/>
      <c r="BK137" s="1660"/>
      <c r="BL137" s="1660"/>
      <c r="BM137" s="1660"/>
      <c r="BN137" s="1660"/>
      <c r="BO137" s="1660"/>
      <c r="BP137" s="1660"/>
      <c r="BQ137" s="1660"/>
      <c r="BR137" s="1660"/>
      <c r="BS137" s="1660"/>
      <c r="BT137" s="1660"/>
      <c r="BU137" s="1660"/>
      <c r="BV137" s="1660"/>
      <c r="BW137" s="1660"/>
      <c r="BX137" s="1660"/>
      <c r="BY137" s="1660"/>
      <c r="BZ137" s="1660"/>
      <c r="CA137" s="1660"/>
      <c r="CB137" s="1660"/>
      <c r="CC137" s="1660"/>
      <c r="CD137" s="1660"/>
      <c r="CE137" s="1660"/>
      <c r="CF137" s="1340"/>
    </row>
    <row customHeight="1" ht="5.25" hidden="1">
      <c r="A138" s="1817"/>
      <c r="B138" s="1660"/>
      <c r="C138" s="1660"/>
      <c r="D138" s="2603"/>
      <c r="E138" s="659"/>
      <c r="F138" s="659"/>
      <c r="G138" s="659"/>
      <c r="H138" s="659"/>
      <c r="I138" s="659"/>
      <c r="J138" s="659"/>
      <c r="K138" s="659"/>
      <c r="L138" s="659"/>
      <c r="M138" s="659"/>
      <c r="N138" s="659"/>
      <c r="O138" s="659"/>
      <c r="P138" s="659"/>
      <c r="Q138" s="659"/>
      <c r="R138" s="659"/>
      <c r="S138" s="660"/>
      <c r="T138" s="742"/>
      <c r="U138" s="2398"/>
      <c r="V138" s="2398"/>
      <c r="W138" s="1660"/>
      <c r="X138" s="1660"/>
      <c r="Y138" s="1660"/>
      <c r="Z138" s="1660"/>
      <c r="AA138" s="1660"/>
      <c r="AB138" s="1660"/>
      <c r="AC138" s="1061"/>
      <c r="AD138" s="1062"/>
      <c r="AE138" s="1660"/>
      <c r="AF138" s="1660"/>
      <c r="AG138" s="1660"/>
      <c r="AH138" s="1660"/>
      <c r="AI138" s="1660"/>
      <c r="AJ138" s="1660"/>
      <c r="AK138" s="1660"/>
      <c r="AL138" s="1660"/>
      <c r="AM138" s="1660"/>
      <c r="AN138" s="1660"/>
      <c r="AO138" s="1660"/>
      <c r="AP138" s="1660"/>
      <c r="AQ138" s="1660"/>
      <c r="AR138" s="1660"/>
      <c r="AS138" s="1660"/>
      <c r="AT138" s="1660"/>
      <c r="AU138" s="1660"/>
      <c r="AV138" s="1660"/>
      <c r="AW138" s="1660"/>
      <c r="AX138" s="1660"/>
      <c r="AY138" s="1660"/>
      <c r="AZ138" s="1660"/>
      <c r="BA138" s="1660"/>
      <c r="BB138" s="1660"/>
      <c r="BC138" s="1660"/>
      <c r="BD138" s="1660"/>
      <c r="BE138" s="1660"/>
      <c r="BF138" s="1660"/>
      <c r="BG138" s="1660"/>
      <c r="BH138" s="1660"/>
      <c r="BI138" s="1660"/>
      <c r="BJ138" s="1660"/>
      <c r="BK138" s="1660"/>
      <c r="BL138" s="1660"/>
      <c r="BM138" s="1660"/>
      <c r="BN138" s="1660"/>
      <c r="BO138" s="1660"/>
      <c r="BP138" s="1660"/>
      <c r="BQ138" s="1660"/>
      <c r="BR138" s="1660"/>
      <c r="BS138" s="1660"/>
      <c r="BT138" s="1660"/>
      <c r="BU138" s="1660"/>
      <c r="BV138" s="1660"/>
      <c r="BW138" s="1660"/>
      <c r="BX138" s="1660"/>
      <c r="BY138" s="1660"/>
      <c r="BZ138" s="1660"/>
      <c r="CA138" s="1660"/>
      <c r="CB138" s="1660"/>
      <c r="CC138" s="1660"/>
      <c r="CD138" s="1660"/>
      <c r="CE138" s="1660"/>
      <c r="CF138" s="1340"/>
    </row>
    <row customHeight="1" ht="5.25" hidden="1">
      <c r="A139" s="1817"/>
      <c r="B139" s="1660"/>
      <c r="C139" s="1660"/>
      <c r="D139" s="2604"/>
      <c r="E139" s="1067"/>
      <c r="F139" s="1068"/>
      <c r="G139" s="1068"/>
      <c r="H139" s="1069"/>
      <c r="I139" s="1069"/>
      <c r="J139" s="1069"/>
      <c r="K139" s="1069"/>
      <c r="L139" s="1069"/>
      <c r="M139" s="1069"/>
      <c r="N139" s="1069"/>
      <c r="O139" s="1069"/>
      <c r="P139" s="1069"/>
      <c r="Q139" s="1069"/>
      <c r="R139" s="970"/>
      <c r="S139" s="1070"/>
      <c r="T139" s="742"/>
      <c r="U139" s="2398"/>
      <c r="V139" s="2398"/>
      <c r="W139" s="1660"/>
      <c r="X139" s="1660"/>
      <c r="Y139" s="1660"/>
      <c r="Z139" s="1660"/>
      <c r="AA139" s="1660"/>
      <c r="AB139" s="1660"/>
      <c r="AC139" s="1061"/>
      <c r="AD139" s="1062"/>
      <c r="AE139" s="1660"/>
      <c r="AF139" s="1660"/>
      <c r="AG139" s="1660"/>
      <c r="AH139" s="1660"/>
      <c r="AI139" s="1660"/>
      <c r="AJ139" s="1660"/>
      <c r="AK139" s="1660"/>
      <c r="AL139" s="1660"/>
      <c r="AM139" s="1660"/>
      <c r="AN139" s="1660"/>
      <c r="AO139" s="1660"/>
      <c r="AP139" s="1660"/>
      <c r="AQ139" s="1660"/>
      <c r="AR139" s="1660"/>
      <c r="AS139" s="1660"/>
      <c r="AT139" s="1660"/>
      <c r="AU139" s="1660"/>
      <c r="AV139" s="1660"/>
      <c r="AW139" s="1660"/>
      <c r="AX139" s="1660"/>
      <c r="AY139" s="1660"/>
      <c r="AZ139" s="1660"/>
      <c r="BA139" s="1660"/>
      <c r="BB139" s="1660"/>
      <c r="BC139" s="1660"/>
      <c r="BD139" s="1660"/>
      <c r="BE139" s="1660"/>
      <c r="BF139" s="1660"/>
      <c r="BG139" s="1660"/>
      <c r="BH139" s="1660"/>
      <c r="BI139" s="1660"/>
      <c r="BJ139" s="1660"/>
      <c r="BK139" s="1660"/>
      <c r="BL139" s="1660"/>
      <c r="BM139" s="1660"/>
      <c r="BN139" s="1660"/>
      <c r="BO139" s="1660"/>
      <c r="BP139" s="1660"/>
      <c r="BQ139" s="1660"/>
      <c r="BR139" s="1660"/>
      <c r="BS139" s="1660"/>
      <c r="BT139" s="1660"/>
      <c r="BU139" s="1660"/>
      <c r="BV139" s="1660"/>
      <c r="BW139" s="1660"/>
      <c r="BX139" s="1660"/>
      <c r="BY139" s="1660"/>
      <c r="BZ139" s="1660"/>
      <c r="CA139" s="1660"/>
      <c r="CB139" s="1660"/>
      <c r="CC139" s="1660"/>
      <c r="CD139" s="1660"/>
      <c r="CE139" s="1660"/>
      <c r="CF139" s="1340"/>
    </row>
    <row customHeight="1" ht="15" hidden="1">
      <c r="A140" s="647" t="s">
        <v>207</v>
      </c>
      <c r="B140" s="648"/>
      <c r="C140" s="648" t="s">
        <v>22</v>
      </c>
      <c r="D140" s="2602" t="s">
        <v>712</v>
      </c>
      <c r="E140" s="2401" t="s">
        <v>166</v>
      </c>
      <c r="F140" s="2402"/>
      <c r="G140" s="2403"/>
      <c r="H140" s="2407" t="str">
        <f>IF(A140="","",INDEX(DIFFERENTIATION_UNMERGE_VD,MATCH(A140,DIFFERENTIATION_ID_DIFF,0)))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140" s="2407"/>
      <c r="J140" s="2407"/>
      <c r="K140" s="2407"/>
      <c r="L140" s="2407"/>
      <c r="M140" s="2407"/>
      <c r="N140" s="2407"/>
      <c r="O140" s="2407"/>
      <c r="P140" s="2407"/>
      <c r="Q140" s="2407"/>
      <c r="R140" s="2407"/>
      <c r="S140" s="743"/>
      <c r="T140" s="740"/>
      <c r="U140" s="649"/>
      <c r="V140" s="649"/>
      <c r="W140" s="650"/>
      <c r="X140" s="650"/>
      <c r="Y140" s="650"/>
      <c r="Z140" s="650"/>
      <c r="AA140" s="651"/>
      <c r="AB140" s="652"/>
      <c r="AC140" s="2399"/>
      <c r="AD140" s="653"/>
      <c r="AE140" s="654" t="s">
        <v>22</v>
      </c>
      <c r="AF140" s="654"/>
      <c r="AG140" s="655" t="s">
        <v>693</v>
      </c>
      <c r="AH140" s="656">
        <v>3</v>
      </c>
      <c r="AI140" s="649"/>
      <c r="AJ140" s="649"/>
      <c r="AK140" s="649"/>
      <c r="AL140" s="649"/>
      <c r="AM140" s="649"/>
      <c r="AN140" s="649"/>
      <c r="AO140" s="649"/>
      <c r="AP140" s="649"/>
      <c r="AQ140" s="649"/>
      <c r="AR140" s="649"/>
      <c r="AS140" s="649"/>
      <c r="AT140" s="649"/>
      <c r="AU140" s="649"/>
      <c r="AV140" s="649"/>
      <c r="AW140" s="649"/>
      <c r="AX140" s="649"/>
      <c r="AY140" s="649"/>
      <c r="AZ140" s="649"/>
      <c r="BA140" s="649"/>
      <c r="BB140" s="649"/>
      <c r="BC140" s="649"/>
      <c r="BD140" s="649"/>
      <c r="BE140" s="649"/>
      <c r="BF140" s="649"/>
      <c r="BG140" s="649"/>
      <c r="BH140" s="649"/>
      <c r="BI140" s="649"/>
      <c r="BJ140" s="649"/>
      <c r="BK140" s="649"/>
      <c r="BL140" s="649"/>
      <c r="BM140" s="649"/>
      <c r="BN140" s="649"/>
      <c r="BO140" s="649"/>
      <c r="BP140" s="649"/>
      <c r="BQ140" s="649"/>
      <c r="BR140" s="649"/>
      <c r="BS140" s="649"/>
      <c r="BT140" s="649"/>
      <c r="BU140" s="649"/>
      <c r="BV140" s="650"/>
      <c r="BW140" s="650"/>
      <c r="BX140" s="650"/>
      <c r="BY140" s="650"/>
      <c r="BZ140" s="650"/>
      <c r="CA140" s="650"/>
      <c r="CB140" s="650"/>
      <c r="CC140" s="650"/>
      <c r="CD140" s="650"/>
      <c r="CE140" s="650"/>
      <c r="CF140" s="1874"/>
    </row>
    <row customHeight="1" ht="15" hidden="1">
      <c r="A141" s="647"/>
      <c r="B141" s="648"/>
      <c r="C141" s="648"/>
      <c r="D141" s="2603"/>
      <c r="E141" s="2401" t="s">
        <v>648</v>
      </c>
      <c r="F141" s="2402"/>
      <c r="G141" s="2403"/>
      <c r="H141" s="2407" t="str">
        <f>IF(A140="","",INDEX(DIFFERENTIATION_UNMERGE_AREA,MATCH(A140,DIFFERENTIATION_ID_DIFF,0)))</f>
        <v>Территория 10</v>
      </c>
      <c r="I141" s="2407"/>
      <c r="J141" s="2407"/>
      <c r="K141" s="2407"/>
      <c r="L141" s="2407"/>
      <c r="M141" s="2407"/>
      <c r="N141" s="2407"/>
      <c r="O141" s="2407"/>
      <c r="P141" s="2407"/>
      <c r="Q141" s="2407"/>
      <c r="R141" s="2407"/>
      <c r="S141" s="743"/>
      <c r="T141" s="740"/>
      <c r="U141" s="649"/>
      <c r="V141" s="649"/>
      <c r="W141" s="650"/>
      <c r="X141" s="650"/>
      <c r="Y141" s="650"/>
      <c r="Z141" s="650"/>
      <c r="AA141" s="651"/>
      <c r="AB141" s="652"/>
      <c r="AC141" s="2399"/>
      <c r="AD141" s="653"/>
      <c r="AE141" s="654"/>
      <c r="AF141" s="654"/>
      <c r="AG141" s="655"/>
      <c r="AH141" s="656"/>
      <c r="AI141" s="649"/>
      <c r="AJ141" s="649"/>
      <c r="AK141" s="649"/>
      <c r="AL141" s="649"/>
      <c r="AM141" s="649"/>
      <c r="AN141" s="649"/>
      <c r="AO141" s="649"/>
      <c r="AP141" s="649"/>
      <c r="AQ141" s="649"/>
      <c r="AR141" s="649"/>
      <c r="AS141" s="649"/>
      <c r="AT141" s="649"/>
      <c r="AU141" s="649"/>
      <c r="AV141" s="649"/>
      <c r="AW141" s="649"/>
      <c r="AX141" s="649"/>
      <c r="AY141" s="649"/>
      <c r="AZ141" s="649"/>
      <c r="BA141" s="649"/>
      <c r="BB141" s="649"/>
      <c r="BC141" s="649"/>
      <c r="BD141" s="649"/>
      <c r="BE141" s="649"/>
      <c r="BF141" s="649"/>
      <c r="BG141" s="649"/>
      <c r="BH141" s="649"/>
      <c r="BI141" s="649"/>
      <c r="BJ141" s="649"/>
      <c r="BK141" s="649"/>
      <c r="BL141" s="649"/>
      <c r="BM141" s="649"/>
      <c r="BN141" s="649"/>
      <c r="BO141" s="649"/>
      <c r="BP141" s="649"/>
      <c r="BQ141" s="649"/>
      <c r="BR141" s="649"/>
      <c r="BS141" s="649"/>
      <c r="BT141" s="649"/>
      <c r="BU141" s="649"/>
      <c r="BV141" s="650"/>
      <c r="BW141" s="650"/>
      <c r="BX141" s="650"/>
      <c r="BY141" s="650"/>
      <c r="BZ141" s="650"/>
      <c r="CA141" s="650"/>
      <c r="CB141" s="650"/>
      <c r="CC141" s="650"/>
      <c r="CD141" s="650"/>
      <c r="CE141" s="650"/>
      <c r="CF141" s="1874"/>
    </row>
    <row customHeight="1" ht="15" hidden="1">
      <c r="A142" s="647"/>
      <c r="B142" s="648"/>
      <c r="C142" s="648"/>
      <c r="D142" s="2603"/>
      <c r="E142" s="2401" t="s">
        <v>649</v>
      </c>
      <c r="F142" s="2402"/>
      <c r="G142" s="2403"/>
      <c r="H142" s="2407" t="str">
        <f>IF(A140="","",INDEX(DIFFERENTIATION_UNMERGE_SYSTEM,MATCH(A140,DIFFERENTIATION_ID_DIFF,0)))</f>
        <v>Котельная в с. Некрасовка (с. Дружбинское, с. Некрасовское) </v>
      </c>
      <c r="I142" s="2407"/>
      <c r="J142" s="2407"/>
      <c r="K142" s="2407"/>
      <c r="L142" s="2407"/>
      <c r="M142" s="2407"/>
      <c r="N142" s="2407"/>
      <c r="O142" s="2407"/>
      <c r="P142" s="2407"/>
      <c r="Q142" s="2407"/>
      <c r="R142" s="2407"/>
      <c r="S142" s="743"/>
      <c r="T142" s="740"/>
      <c r="U142" s="649"/>
      <c r="V142" s="649"/>
      <c r="W142" s="650"/>
      <c r="X142" s="650"/>
      <c r="Y142" s="650"/>
      <c r="Z142" s="650"/>
      <c r="AA142" s="651"/>
      <c r="AB142" s="652"/>
      <c r="AC142" s="2399"/>
      <c r="AD142" s="653"/>
      <c r="AE142" s="654"/>
      <c r="AF142" s="654"/>
      <c r="AG142" s="655"/>
      <c r="AH142" s="656"/>
      <c r="AI142" s="649"/>
      <c r="AJ142" s="649"/>
      <c r="AK142" s="649"/>
      <c r="AL142" s="649"/>
      <c r="AM142" s="649"/>
      <c r="AN142" s="649"/>
      <c r="AO142" s="649"/>
      <c r="AP142" s="649"/>
      <c r="AQ142" s="649"/>
      <c r="AR142" s="649"/>
      <c r="AS142" s="649"/>
      <c r="AT142" s="649"/>
      <c r="AU142" s="649"/>
      <c r="AV142" s="649"/>
      <c r="AW142" s="649"/>
      <c r="AX142" s="649"/>
      <c r="AY142" s="649"/>
      <c r="AZ142" s="649"/>
      <c r="BA142" s="649"/>
      <c r="BB142" s="649"/>
      <c r="BC142" s="649"/>
      <c r="BD142" s="649"/>
      <c r="BE142" s="649"/>
      <c r="BF142" s="649"/>
      <c r="BG142" s="649"/>
      <c r="BH142" s="649"/>
      <c r="BI142" s="649"/>
      <c r="BJ142" s="649"/>
      <c r="BK142" s="649"/>
      <c r="BL142" s="649"/>
      <c r="BM142" s="649"/>
      <c r="BN142" s="649"/>
      <c r="BO142" s="649"/>
      <c r="BP142" s="649"/>
      <c r="BQ142" s="649"/>
      <c r="BR142" s="649"/>
      <c r="BS142" s="649"/>
      <c r="BT142" s="649"/>
      <c r="BU142" s="649"/>
      <c r="BV142" s="650"/>
      <c r="BW142" s="650"/>
      <c r="BX142" s="650"/>
      <c r="BY142" s="650"/>
      <c r="BZ142" s="650"/>
      <c r="CA142" s="650"/>
      <c r="CB142" s="650"/>
      <c r="CC142" s="650"/>
      <c r="CD142" s="650"/>
      <c r="CE142" s="650"/>
      <c r="CF142" s="1874"/>
    </row>
    <row customHeight="1" ht="24.75" hidden="1">
      <c r="A143" s="1830"/>
      <c r="B143" s="1184"/>
      <c r="C143" s="436"/>
      <c r="D143" s="2603"/>
      <c r="E143" s="2400" t="s">
        <v>694</v>
      </c>
      <c r="F143" s="2400"/>
      <c r="G143" s="2400"/>
      <c r="H143" s="2400"/>
      <c r="I143" s="2400"/>
      <c r="J143" s="2400"/>
      <c r="K143" s="2400"/>
      <c r="L143" s="2400"/>
      <c r="M143" s="2400"/>
      <c r="N143" s="2400"/>
      <c r="O143" s="2400"/>
      <c r="P143" s="2400"/>
      <c r="Q143" s="582">
        <f>SUMIF(T144:T145,"i",Q144:Q145)</f>
        <v>0</v>
      </c>
      <c r="R143" s="1041"/>
      <c r="S143" s="1822" t="s">
        <v>695</v>
      </c>
      <c r="T143" s="741" t="s">
        <v>696</v>
      </c>
      <c r="U143" s="2398">
        <v>1</v>
      </c>
      <c r="V143" s="2398" t="s">
        <v>659</v>
      </c>
      <c r="W143" s="1184"/>
      <c r="X143" s="1184"/>
      <c r="Y143" s="1184"/>
      <c r="Z143" s="1184"/>
      <c r="AA143" s="1660"/>
      <c r="AB143" s="1184"/>
      <c r="AC143" s="2399"/>
      <c r="AD143" s="653"/>
      <c r="AE143" s="1184"/>
      <c r="AF143" s="1184"/>
      <c r="AG143" s="1660"/>
      <c r="AH143" s="1660"/>
      <c r="AI143" s="1660"/>
      <c r="AJ143" s="1660"/>
      <c r="AK143" s="1660"/>
      <c r="AL143" s="1660"/>
      <c r="AM143" s="1660"/>
      <c r="AN143" s="1660"/>
      <c r="AO143" s="1660"/>
      <c r="AP143" s="1660"/>
      <c r="AQ143" s="1660"/>
      <c r="AR143" s="1660"/>
      <c r="AS143" s="1660"/>
      <c r="AT143" s="1660"/>
      <c r="AU143" s="1660"/>
      <c r="AV143" s="1660"/>
      <c r="AW143" s="1660"/>
      <c r="AX143" s="1660"/>
      <c r="AY143" s="1660"/>
      <c r="AZ143" s="1660"/>
      <c r="BA143" s="1660"/>
      <c r="BB143" s="1660"/>
      <c r="BC143" s="1660"/>
      <c r="BD143" s="1660"/>
      <c r="BE143" s="1660"/>
      <c r="BF143" s="1660"/>
      <c r="BG143" s="1660"/>
      <c r="BH143" s="1660"/>
      <c r="BI143" s="1660"/>
      <c r="BJ143" s="1660"/>
      <c r="BK143" s="1660"/>
      <c r="BL143" s="1660"/>
      <c r="BM143" s="1660"/>
      <c r="BN143" s="1660"/>
      <c r="BO143" s="1660"/>
      <c r="BP143" s="1660"/>
      <c r="BQ143" s="1660"/>
      <c r="BR143" s="1660"/>
      <c r="BS143" s="1660"/>
      <c r="BT143" s="1660"/>
      <c r="BU143" s="1660"/>
      <c r="BV143" s="1184"/>
      <c r="BW143" s="1184"/>
      <c r="BX143" s="1184"/>
      <c r="BY143" s="1184"/>
      <c r="BZ143" s="1184"/>
      <c r="CA143" s="1184"/>
      <c r="CB143" s="1184"/>
      <c r="CC143" s="1184"/>
      <c r="CD143" s="1184"/>
      <c r="CE143" s="1184"/>
      <c r="CF143" s="1874"/>
    </row>
    <row customHeight="1" ht="11.25" hidden="1">
      <c r="A144" s="1817"/>
      <c r="B144" s="1660"/>
      <c r="C144" s="1660"/>
      <c r="D144" s="2603"/>
      <c r="E144" s="659"/>
      <c r="F144" s="659">
        <v>0</v>
      </c>
      <c r="G144" s="659"/>
      <c r="H144" s="659"/>
      <c r="I144" s="659"/>
      <c r="J144" s="659"/>
      <c r="K144" s="659"/>
      <c r="L144" s="659"/>
      <c r="M144" s="659"/>
      <c r="N144" s="659"/>
      <c r="O144" s="659"/>
      <c r="P144" s="659"/>
      <c r="Q144" s="659"/>
      <c r="R144" s="659"/>
      <c r="S144" s="660"/>
      <c r="T144" s="742"/>
      <c r="U144" s="2398"/>
      <c r="V144" s="2398"/>
      <c r="W144" s="1660"/>
      <c r="X144" s="1660"/>
      <c r="Y144" s="1660"/>
      <c r="Z144" s="1660"/>
      <c r="AA144" s="1660"/>
      <c r="AB144" s="1184"/>
      <c r="AC144" s="2399"/>
      <c r="AD144" s="653"/>
      <c r="AE144" s="1184"/>
      <c r="AF144" s="1184"/>
      <c r="AG144" s="1660"/>
      <c r="AH144" s="1660"/>
      <c r="AI144" s="1660"/>
      <c r="AJ144" s="1660"/>
      <c r="AK144" s="1660"/>
      <c r="AL144" s="1660"/>
      <c r="AM144" s="1660"/>
      <c r="AN144" s="1660"/>
      <c r="AO144" s="1660"/>
      <c r="AP144" s="1660"/>
      <c r="AQ144" s="1660"/>
      <c r="AR144" s="1660"/>
      <c r="AS144" s="1660"/>
      <c r="AT144" s="1660"/>
      <c r="AU144" s="1660"/>
      <c r="AV144" s="1660"/>
      <c r="AW144" s="1660"/>
      <c r="AX144" s="1660"/>
      <c r="AY144" s="1660"/>
      <c r="AZ144" s="1660"/>
      <c r="BA144" s="1660"/>
      <c r="BB144" s="1660"/>
      <c r="BC144" s="1660"/>
      <c r="BD144" s="1660"/>
      <c r="BE144" s="1660"/>
      <c r="BF144" s="1660"/>
      <c r="BG144" s="1660"/>
      <c r="BH144" s="1660"/>
      <c r="BI144" s="1660"/>
      <c r="BJ144" s="1660"/>
      <c r="BK144" s="1660"/>
      <c r="BL144" s="1660"/>
      <c r="BM144" s="1660"/>
      <c r="BN144" s="1660"/>
      <c r="BO144" s="1660"/>
      <c r="BP144" s="1660"/>
      <c r="BQ144" s="1660"/>
      <c r="BR144" s="1660"/>
      <c r="BS144" s="1660"/>
      <c r="BT144" s="1660"/>
      <c r="BU144" s="1660"/>
      <c r="BV144" s="1660"/>
      <c r="BW144" s="1660"/>
      <c r="BX144" s="1660"/>
      <c r="BY144" s="1660"/>
      <c r="BZ144" s="1660"/>
      <c r="CA144" s="1660"/>
      <c r="CB144" s="1660"/>
      <c r="CC144" s="1660"/>
      <c r="CD144" s="1660"/>
      <c r="CE144" s="1660"/>
      <c r="CF144" s="1874"/>
    </row>
    <row customHeight="1" ht="11.25" hidden="1">
      <c r="A145" s="1830"/>
      <c r="B145" s="1184"/>
      <c r="C145" s="436"/>
      <c r="D145" s="2603"/>
      <c r="E145" s="673" t="s">
        <v>22</v>
      </c>
      <c r="F145" s="1192" t="s">
        <v>22</v>
      </c>
      <c r="G145" s="1192" t="s">
        <v>699</v>
      </c>
      <c r="H145" s="675" t="s">
        <v>22</v>
      </c>
      <c r="I145" s="675"/>
      <c r="J145" s="675"/>
      <c r="K145" s="675"/>
      <c r="L145" s="675"/>
      <c r="M145" s="675"/>
      <c r="N145" s="675"/>
      <c r="O145" s="675"/>
      <c r="P145" s="675"/>
      <c r="Q145" s="675"/>
      <c r="R145" s="676"/>
      <c r="S145" s="677"/>
      <c r="T145" s="742"/>
      <c r="U145" s="2398"/>
      <c r="V145" s="2398"/>
      <c r="W145" s="1184"/>
      <c r="X145" s="1184"/>
      <c r="Y145" s="1184"/>
      <c r="Z145" s="1184"/>
      <c r="AA145" s="1660"/>
      <c r="AB145" s="1184"/>
      <c r="AC145" s="2399"/>
      <c r="AD145" s="653"/>
      <c r="AE145" s="1184"/>
      <c r="AF145" s="1184"/>
      <c r="AG145" s="1660"/>
      <c r="AH145" s="1660"/>
      <c r="AI145" s="1660"/>
      <c r="AJ145" s="1660"/>
      <c r="AK145" s="1660"/>
      <c r="AL145" s="1660"/>
      <c r="AM145" s="1660"/>
      <c r="AN145" s="1660"/>
      <c r="AO145" s="1660"/>
      <c r="AP145" s="1660"/>
      <c r="AQ145" s="1660"/>
      <c r="AR145" s="1660"/>
      <c r="AS145" s="1660"/>
      <c r="AT145" s="1660"/>
      <c r="AU145" s="1660"/>
      <c r="AV145" s="1660"/>
      <c r="AW145" s="1660"/>
      <c r="AX145" s="1660"/>
      <c r="AY145" s="1660"/>
      <c r="AZ145" s="1660"/>
      <c r="BA145" s="1660"/>
      <c r="BB145" s="1660"/>
      <c r="BC145" s="1660"/>
      <c r="BD145" s="1660"/>
      <c r="BE145" s="1660"/>
      <c r="BF145" s="1660"/>
      <c r="BG145" s="1660"/>
      <c r="BH145" s="1660"/>
      <c r="BI145" s="1660"/>
      <c r="BJ145" s="1660"/>
      <c r="BK145" s="1660"/>
      <c r="BL145" s="1660"/>
      <c r="BM145" s="1660"/>
      <c r="BN145" s="1660"/>
      <c r="BO145" s="1660"/>
      <c r="BP145" s="1660"/>
      <c r="BQ145" s="1660"/>
      <c r="BR145" s="1660"/>
      <c r="BS145" s="1660"/>
      <c r="BT145" s="1660"/>
      <c r="BU145" s="1660"/>
      <c r="BV145" s="1184"/>
      <c r="BW145" s="1184"/>
      <c r="BX145" s="1184"/>
      <c r="BY145" s="1184"/>
      <c r="BZ145" s="1184"/>
      <c r="CA145" s="1184"/>
      <c r="CB145" s="1184"/>
      <c r="CC145" s="1184"/>
      <c r="CD145" s="1184"/>
      <c r="CE145" s="1184"/>
      <c r="CF145" s="1874"/>
    </row>
    <row customHeight="1" ht="5.25" hidden="1">
      <c r="A146" s="1817"/>
      <c r="B146" s="1660"/>
      <c r="C146" s="1660"/>
      <c r="D146" s="2603"/>
      <c r="E146" s="1063"/>
      <c r="F146" s="1063"/>
      <c r="G146" s="1063"/>
      <c r="H146" s="1063"/>
      <c r="I146" s="1063"/>
      <c r="J146" s="1063"/>
      <c r="K146" s="1063"/>
      <c r="L146" s="1063"/>
      <c r="M146" s="1063"/>
      <c r="N146" s="1063"/>
      <c r="O146" s="1063"/>
      <c r="P146" s="1063"/>
      <c r="Q146" s="1064"/>
      <c r="R146" s="1065"/>
      <c r="S146" s="1066"/>
      <c r="T146" s="741" t="s">
        <v>696</v>
      </c>
      <c r="U146" s="2398">
        <v>1</v>
      </c>
      <c r="V146" s="2398" t="s">
        <v>659</v>
      </c>
      <c r="W146" s="1660"/>
      <c r="X146" s="1660"/>
      <c r="Y146" s="1660"/>
      <c r="Z146" s="1660"/>
      <c r="AA146" s="1660"/>
      <c r="AB146" s="1660"/>
      <c r="AC146" s="1061"/>
      <c r="AD146" s="1062"/>
      <c r="AE146" s="1660"/>
      <c r="AF146" s="1660"/>
      <c r="AG146" s="1660"/>
      <c r="AH146" s="1660"/>
      <c r="AI146" s="1660"/>
      <c r="AJ146" s="1660"/>
      <c r="AK146" s="1660"/>
      <c r="AL146" s="1660"/>
      <c r="AM146" s="1660"/>
      <c r="AN146" s="1660"/>
      <c r="AO146" s="1660"/>
      <c r="AP146" s="1660"/>
      <c r="AQ146" s="1660"/>
      <c r="AR146" s="1660"/>
      <c r="AS146" s="1660"/>
      <c r="AT146" s="1660"/>
      <c r="AU146" s="1660"/>
      <c r="AV146" s="1660"/>
      <c r="AW146" s="1660"/>
      <c r="AX146" s="1660"/>
      <c r="AY146" s="1660"/>
      <c r="AZ146" s="1660"/>
      <c r="BA146" s="1660"/>
      <c r="BB146" s="1660"/>
      <c r="BC146" s="1660"/>
      <c r="BD146" s="1660"/>
      <c r="BE146" s="1660"/>
      <c r="BF146" s="1660"/>
      <c r="BG146" s="1660"/>
      <c r="BH146" s="1660"/>
      <c r="BI146" s="1660"/>
      <c r="BJ146" s="1660"/>
      <c r="BK146" s="1660"/>
      <c r="BL146" s="1660"/>
      <c r="BM146" s="1660"/>
      <c r="BN146" s="1660"/>
      <c r="BO146" s="1660"/>
      <c r="BP146" s="1660"/>
      <c r="BQ146" s="1660"/>
      <c r="BR146" s="1660"/>
      <c r="BS146" s="1660"/>
      <c r="BT146" s="1660"/>
      <c r="BU146" s="1660"/>
      <c r="BV146" s="1660"/>
      <c r="BW146" s="1660"/>
      <c r="BX146" s="1660"/>
      <c r="BY146" s="1660"/>
      <c r="BZ146" s="1660"/>
      <c r="CA146" s="1660"/>
      <c r="CB146" s="1660"/>
      <c r="CC146" s="1660"/>
      <c r="CD146" s="1660"/>
      <c r="CE146" s="1660"/>
      <c r="CF146" s="1340"/>
    </row>
    <row customHeight="1" ht="5.25" hidden="1">
      <c r="A147" s="1817"/>
      <c r="B147" s="1660"/>
      <c r="C147" s="1660"/>
      <c r="D147" s="2603"/>
      <c r="E147" s="659"/>
      <c r="F147" s="659"/>
      <c r="G147" s="659"/>
      <c r="H147" s="659"/>
      <c r="I147" s="659"/>
      <c r="J147" s="659"/>
      <c r="K147" s="659"/>
      <c r="L147" s="659"/>
      <c r="M147" s="659"/>
      <c r="N147" s="659"/>
      <c r="O147" s="659"/>
      <c r="P147" s="659"/>
      <c r="Q147" s="659"/>
      <c r="R147" s="659"/>
      <c r="S147" s="660"/>
      <c r="T147" s="742"/>
      <c r="U147" s="2398"/>
      <c r="V147" s="2398"/>
      <c r="W147" s="1660"/>
      <c r="X147" s="1660"/>
      <c r="Y147" s="1660"/>
      <c r="Z147" s="1660"/>
      <c r="AA147" s="1660"/>
      <c r="AB147" s="1660"/>
      <c r="AC147" s="1061"/>
      <c r="AD147" s="1062"/>
      <c r="AE147" s="1660"/>
      <c r="AF147" s="1660"/>
      <c r="AG147" s="1660"/>
      <c r="AH147" s="1660"/>
      <c r="AI147" s="1660"/>
      <c r="AJ147" s="1660"/>
      <c r="AK147" s="1660"/>
      <c r="AL147" s="1660"/>
      <c r="AM147" s="1660"/>
      <c r="AN147" s="1660"/>
      <c r="AO147" s="1660"/>
      <c r="AP147" s="1660"/>
      <c r="AQ147" s="1660"/>
      <c r="AR147" s="1660"/>
      <c r="AS147" s="1660"/>
      <c r="AT147" s="1660"/>
      <c r="AU147" s="1660"/>
      <c r="AV147" s="1660"/>
      <c r="AW147" s="1660"/>
      <c r="AX147" s="1660"/>
      <c r="AY147" s="1660"/>
      <c r="AZ147" s="1660"/>
      <c r="BA147" s="1660"/>
      <c r="BB147" s="1660"/>
      <c r="BC147" s="1660"/>
      <c r="BD147" s="1660"/>
      <c r="BE147" s="1660"/>
      <c r="BF147" s="1660"/>
      <c r="BG147" s="1660"/>
      <c r="BH147" s="1660"/>
      <c r="BI147" s="1660"/>
      <c r="BJ147" s="1660"/>
      <c r="BK147" s="1660"/>
      <c r="BL147" s="1660"/>
      <c r="BM147" s="1660"/>
      <c r="BN147" s="1660"/>
      <c r="BO147" s="1660"/>
      <c r="BP147" s="1660"/>
      <c r="BQ147" s="1660"/>
      <c r="BR147" s="1660"/>
      <c r="BS147" s="1660"/>
      <c r="BT147" s="1660"/>
      <c r="BU147" s="1660"/>
      <c r="BV147" s="1660"/>
      <c r="BW147" s="1660"/>
      <c r="BX147" s="1660"/>
      <c r="BY147" s="1660"/>
      <c r="BZ147" s="1660"/>
      <c r="CA147" s="1660"/>
      <c r="CB147" s="1660"/>
      <c r="CC147" s="1660"/>
      <c r="CD147" s="1660"/>
      <c r="CE147" s="1660"/>
      <c r="CF147" s="1340"/>
    </row>
    <row customHeight="1" ht="5.25" hidden="1">
      <c r="A148" s="1817"/>
      <c r="B148" s="1660"/>
      <c r="C148" s="1660"/>
      <c r="D148" s="2604"/>
      <c r="E148" s="1067"/>
      <c r="F148" s="1068"/>
      <c r="G148" s="1068"/>
      <c r="H148" s="1069"/>
      <c r="I148" s="1069"/>
      <c r="J148" s="1069"/>
      <c r="K148" s="1069"/>
      <c r="L148" s="1069"/>
      <c r="M148" s="1069"/>
      <c r="N148" s="1069"/>
      <c r="O148" s="1069"/>
      <c r="P148" s="1069"/>
      <c r="Q148" s="1069"/>
      <c r="R148" s="970"/>
      <c r="S148" s="1070"/>
      <c r="T148" s="742"/>
      <c r="U148" s="2398"/>
      <c r="V148" s="2398"/>
      <c r="W148" s="1660"/>
      <c r="X148" s="1660"/>
      <c r="Y148" s="1660"/>
      <c r="Z148" s="1660"/>
      <c r="AA148" s="1660"/>
      <c r="AB148" s="1660"/>
      <c r="AC148" s="1061"/>
      <c r="AD148" s="1062"/>
      <c r="AE148" s="1660"/>
      <c r="AF148" s="1660"/>
      <c r="AG148" s="1660"/>
      <c r="AH148" s="1660"/>
      <c r="AI148" s="1660"/>
      <c r="AJ148" s="1660"/>
      <c r="AK148" s="1660"/>
      <c r="AL148" s="1660"/>
      <c r="AM148" s="1660"/>
      <c r="AN148" s="1660"/>
      <c r="AO148" s="1660"/>
      <c r="AP148" s="1660"/>
      <c r="AQ148" s="1660"/>
      <c r="AR148" s="1660"/>
      <c r="AS148" s="1660"/>
      <c r="AT148" s="1660"/>
      <c r="AU148" s="1660"/>
      <c r="AV148" s="1660"/>
      <c r="AW148" s="1660"/>
      <c r="AX148" s="1660"/>
      <c r="AY148" s="1660"/>
      <c r="AZ148" s="1660"/>
      <c r="BA148" s="1660"/>
      <c r="BB148" s="1660"/>
      <c r="BC148" s="1660"/>
      <c r="BD148" s="1660"/>
      <c r="BE148" s="1660"/>
      <c r="BF148" s="1660"/>
      <c r="BG148" s="1660"/>
      <c r="BH148" s="1660"/>
      <c r="BI148" s="1660"/>
      <c r="BJ148" s="1660"/>
      <c r="BK148" s="1660"/>
      <c r="BL148" s="1660"/>
      <c r="BM148" s="1660"/>
      <c r="BN148" s="1660"/>
      <c r="BO148" s="1660"/>
      <c r="BP148" s="1660"/>
      <c r="BQ148" s="1660"/>
      <c r="BR148" s="1660"/>
      <c r="BS148" s="1660"/>
      <c r="BT148" s="1660"/>
      <c r="BU148" s="1660"/>
      <c r="BV148" s="1660"/>
      <c r="BW148" s="1660"/>
      <c r="BX148" s="1660"/>
      <c r="BY148" s="1660"/>
      <c r="BZ148" s="1660"/>
      <c r="CA148" s="1660"/>
      <c r="CB148" s="1660"/>
      <c r="CC148" s="1660"/>
      <c r="CD148" s="1660"/>
      <c r="CE148" s="1660"/>
      <c r="CF148" s="1340"/>
    </row>
    <row customHeight="1" ht="19.95">
      <c r="D149" s="1071"/>
      <c r="E149" s="1071"/>
      <c r="F149" s="1071"/>
      <c r="G149" s="1071"/>
      <c r="H149" s="1071"/>
      <c r="I149" s="1071"/>
      <c r="J149" s="1071"/>
      <c r="K149" s="1071"/>
      <c r="L149" s="1071"/>
      <c r="M149" s="1071"/>
      <c r="N149" s="1071"/>
      <c r="O149" s="1071"/>
      <c r="P149" s="1071"/>
      <c r="Q149" s="1071"/>
      <c r="R149" s="1071"/>
      <c r="S149" s="1071"/>
      <c r="T149" s="358"/>
      <c r="CF149" s="529">
        <v>19</v>
      </c>
    </row>
    <row customHeight="1" ht="11.549999999999999">
      <c r="D150" s="533"/>
      <c r="CF150" s="529">
        <v>11</v>
      </c>
    </row>
    <row customHeight="1" ht="11.549999999999999">
      <c r="D151" s="678"/>
      <c r="E151" s="678"/>
      <c r="F151" s="678"/>
      <c r="G151" s="679"/>
      <c r="CF151" s="529">
        <v>11</v>
      </c>
    </row>
    <row customHeight="1" ht="11.549999999999999">
      <c r="CF152" s="529">
        <v>11</v>
      </c>
    </row>
    <row customHeight="1" ht="11.549999999999999">
      <c r="D153" s="680"/>
      <c r="E153" s="2408"/>
      <c r="F153" s="2408"/>
      <c r="G153" s="2408"/>
      <c r="H153" s="2408"/>
      <c r="I153" s="2408"/>
      <c r="J153" s="2408"/>
      <c r="K153" s="2408"/>
      <c r="L153" s="2408"/>
      <c r="M153" s="2408"/>
      <c r="N153" s="2408"/>
      <c r="O153" s="2408"/>
      <c r="P153" s="2408"/>
      <c r="Q153" s="2408"/>
      <c r="R153" s="2408"/>
      <c r="CF153" s="529">
        <v>11</v>
      </c>
    </row>
    <row customHeight="1" ht="11.549999999999999">
      <c r="F154" s="782"/>
      <c r="G154" s="782"/>
      <c r="CF154" s="529">
        <v>11</v>
      </c>
    </row>
    <row customHeight="1" ht="11.25" hidden="1">
      <c r="A155" s="634" t="s">
        <v>82</v>
      </c>
      <c r="B155" s="473">
        <v>0</v>
      </c>
      <c r="C155" s="529">
        <v>3</v>
      </c>
      <c r="D155" s="529">
        <v>0</v>
      </c>
      <c r="E155" s="529">
        <v>7</v>
      </c>
      <c r="F155" s="529">
        <v>7</v>
      </c>
      <c r="G155" s="529">
        <v>29</v>
      </c>
      <c r="H155" s="529">
        <v>3</v>
      </c>
      <c r="I155" s="529">
        <v>5</v>
      </c>
      <c r="J155" s="529">
        <v>24</v>
      </c>
      <c r="K155" s="529">
        <v>24</v>
      </c>
      <c r="L155" s="529">
        <v>3</v>
      </c>
      <c r="M155" s="529">
        <v>6</v>
      </c>
      <c r="N155" s="529">
        <v>25</v>
      </c>
      <c r="O155" s="529">
        <v>18</v>
      </c>
      <c r="P155" s="529">
        <v>18</v>
      </c>
      <c r="Q155" s="529">
        <v>18</v>
      </c>
      <c r="R155" s="529">
        <v>18</v>
      </c>
      <c r="S155" s="529">
        <v>93</v>
      </c>
      <c r="T155" s="529">
        <v>10</v>
      </c>
      <c r="U155" s="635">
        <v>10</v>
      </c>
      <c r="V155" s="635">
        <v>11</v>
      </c>
      <c r="W155" s="636">
        <v>10</v>
      </c>
      <c r="X155" s="473">
        <v>10</v>
      </c>
      <c r="Y155" s="473">
        <v>10</v>
      </c>
      <c r="Z155" s="473">
        <v>10</v>
      </c>
      <c r="AA155" s="473">
        <v>10</v>
      </c>
      <c r="AB155" s="529">
        <v>8</v>
      </c>
      <c r="AC155" s="529">
        <v>8</v>
      </c>
      <c r="AD155" s="529">
        <v>8</v>
      </c>
      <c r="AE155" s="529">
        <v>8</v>
      </c>
      <c r="AF155" s="529">
        <v>8</v>
      </c>
      <c r="AG155" s="529">
        <v>8</v>
      </c>
      <c r="AH155" s="529">
        <v>8</v>
      </c>
      <c r="AI155" s="529">
        <v>8</v>
      </c>
      <c r="AJ155" s="529">
        <v>8</v>
      </c>
      <c r="AK155" s="529">
        <v>8</v>
      </c>
      <c r="AL155" s="529">
        <v>8</v>
      </c>
      <c r="AM155" s="529">
        <v>8</v>
      </c>
      <c r="AN155" s="529">
        <v>8</v>
      </c>
      <c r="AO155" s="529">
        <v>8</v>
      </c>
      <c r="AP155" s="529">
        <v>8</v>
      </c>
      <c r="AQ155" s="529">
        <v>8</v>
      </c>
      <c r="AR155" s="529">
        <v>8</v>
      </c>
      <c r="AS155" s="529">
        <v>8</v>
      </c>
      <c r="AT155" s="529">
        <v>8</v>
      </c>
      <c r="AU155" s="529">
        <v>8</v>
      </c>
      <c r="AV155" s="529">
        <v>8</v>
      </c>
      <c r="AW155" s="529">
        <v>8</v>
      </c>
      <c r="AX155" s="529">
        <v>8</v>
      </c>
      <c r="AY155" s="529">
        <v>8</v>
      </c>
      <c r="AZ155" s="529">
        <v>8</v>
      </c>
      <c r="BA155" s="529">
        <v>8</v>
      </c>
      <c r="BB155" s="529">
        <v>8</v>
      </c>
      <c r="BC155" s="529">
        <v>8</v>
      </c>
      <c r="BD155" s="529">
        <v>8</v>
      </c>
      <c r="BE155" s="529">
        <v>8</v>
      </c>
      <c r="BF155" s="529">
        <v>8</v>
      </c>
      <c r="BG155" s="529">
        <v>8</v>
      </c>
      <c r="BH155" s="529">
        <v>8</v>
      </c>
      <c r="BI155" s="529">
        <v>8</v>
      </c>
      <c r="BJ155" s="529">
        <v>8</v>
      </c>
      <c r="BK155" s="529">
        <v>8</v>
      </c>
      <c r="BL155" s="529">
        <v>8</v>
      </c>
      <c r="BM155" s="529">
        <v>8</v>
      </c>
      <c r="BN155" s="529">
        <v>8</v>
      </c>
      <c r="BO155" s="529">
        <v>8</v>
      </c>
      <c r="BP155" s="529">
        <v>8</v>
      </c>
      <c r="BQ155" s="529">
        <v>8</v>
      </c>
      <c r="BR155" s="529">
        <v>8</v>
      </c>
      <c r="BS155" s="529">
        <v>8</v>
      </c>
      <c r="BT155" s="529">
        <v>8</v>
      </c>
      <c r="BU155" s="529">
        <v>8</v>
      </c>
      <c r="BV155" s="529">
        <v>8</v>
      </c>
      <c r="BW155" s="529">
        <v>8</v>
      </c>
      <c r="BX155" s="529">
        <v>8</v>
      </c>
      <c r="BY155" s="529">
        <v>8</v>
      </c>
      <c r="BZ155" s="529">
        <v>8</v>
      </c>
      <c r="CA155" s="529">
        <v>8</v>
      </c>
      <c r="CB155" s="529">
        <v>8</v>
      </c>
      <c r="CC155" s="529">
        <v>8</v>
      </c>
      <c r="CD155" s="529">
        <v>8</v>
      </c>
      <c r="CE155" s="529">
        <v>8</v>
      </c>
      <c r="CF155" s="529">
        <v>11</v>
      </c>
    </row>
  </sheetData>
  <sheetProtection sheet="1" formatColumns="0" formatRows="0" autoFilter="0" sort="1" insertRows="1" insertColumns="1" deleteRows="1" deleteColumns="1"/>
  <mergeCells count="204">
    <mergeCell ref="E5:K5"/>
    <mergeCell ref="E6:K6"/>
    <mergeCell ref="E9:R9"/>
    <mergeCell ref="S9:S10"/>
    <mergeCell ref="E10:F10"/>
    <mergeCell ref="H10:I10"/>
    <mergeCell ref="L10:M10"/>
    <mergeCell ref="D14:D22"/>
    <mergeCell ref="H14:R14"/>
    <mergeCell ref="H15:R15"/>
    <mergeCell ref="H16:R16"/>
    <mergeCell ref="E153:R153"/>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 ref="U65:U67"/>
    <mergeCell ref="V65:V67"/>
    <mergeCell ref="U62:U64"/>
    <mergeCell ref="V62:V64"/>
    <mergeCell ref="D59:D67"/>
    <mergeCell ref="E59:G59"/>
    <mergeCell ref="H59:R59"/>
    <mergeCell ref="AC59:AC64"/>
    <mergeCell ref="E60:G60"/>
    <mergeCell ref="H60:R60"/>
    <mergeCell ref="E61:G61"/>
    <mergeCell ref="H61:R61"/>
    <mergeCell ref="E62:P62"/>
    <mergeCell ref="U74:U76"/>
    <mergeCell ref="V74:V76"/>
    <mergeCell ref="U71:U73"/>
    <mergeCell ref="V71:V73"/>
    <mergeCell ref="D68:D76"/>
    <mergeCell ref="E68:G68"/>
    <mergeCell ref="H68:R68"/>
    <mergeCell ref="AC68:AC73"/>
    <mergeCell ref="E69:G69"/>
    <mergeCell ref="H69:R69"/>
    <mergeCell ref="E70:G70"/>
    <mergeCell ref="H70:R70"/>
    <mergeCell ref="E71:P71"/>
    <mergeCell ref="U83:U85"/>
    <mergeCell ref="V83:V85"/>
    <mergeCell ref="U80:U82"/>
    <mergeCell ref="V80:V82"/>
    <mergeCell ref="D77:D85"/>
    <mergeCell ref="E77:G77"/>
    <mergeCell ref="H77:R77"/>
    <mergeCell ref="AC77:AC82"/>
    <mergeCell ref="E78:G78"/>
    <mergeCell ref="H78:R78"/>
    <mergeCell ref="E79:G79"/>
    <mergeCell ref="H79:R79"/>
    <mergeCell ref="E80:P80"/>
    <mergeCell ref="U92:U94"/>
    <mergeCell ref="V92:V94"/>
    <mergeCell ref="U89:U91"/>
    <mergeCell ref="V89:V91"/>
    <mergeCell ref="D86:D94"/>
    <mergeCell ref="E86:G86"/>
    <mergeCell ref="H86:R86"/>
    <mergeCell ref="AC86:AC91"/>
    <mergeCell ref="E87:G87"/>
    <mergeCell ref="H87:R87"/>
    <mergeCell ref="E88:G88"/>
    <mergeCell ref="H88:R88"/>
    <mergeCell ref="E89:P89"/>
    <mergeCell ref="U101:U103"/>
    <mergeCell ref="V101:V103"/>
    <mergeCell ref="U98:U100"/>
    <mergeCell ref="V98:V100"/>
    <mergeCell ref="D95:D103"/>
    <mergeCell ref="E95:G95"/>
    <mergeCell ref="H95:R95"/>
    <mergeCell ref="AC95:AC100"/>
    <mergeCell ref="E96:G96"/>
    <mergeCell ref="H96:R96"/>
    <mergeCell ref="E97:G97"/>
    <mergeCell ref="H97:R97"/>
    <mergeCell ref="E98:P98"/>
    <mergeCell ref="U110:U112"/>
    <mergeCell ref="V110:V112"/>
    <mergeCell ref="U107:U109"/>
    <mergeCell ref="V107:V109"/>
    <mergeCell ref="D104:D112"/>
    <mergeCell ref="E104:G104"/>
    <mergeCell ref="H104:R104"/>
    <mergeCell ref="AC104:AC109"/>
    <mergeCell ref="E105:G105"/>
    <mergeCell ref="H105:R105"/>
    <mergeCell ref="E106:G106"/>
    <mergeCell ref="H106:R106"/>
    <mergeCell ref="E107:P107"/>
    <mergeCell ref="U119:U121"/>
    <mergeCell ref="V119:V121"/>
    <mergeCell ref="U116:U118"/>
    <mergeCell ref="V116:V118"/>
    <mergeCell ref="D113:D121"/>
    <mergeCell ref="E113:G113"/>
    <mergeCell ref="H113:R113"/>
    <mergeCell ref="AC113:AC118"/>
    <mergeCell ref="E114:G114"/>
    <mergeCell ref="H114:R114"/>
    <mergeCell ref="E115:G115"/>
    <mergeCell ref="H115:R115"/>
    <mergeCell ref="E116:P116"/>
    <mergeCell ref="U128:U130"/>
    <mergeCell ref="V128:V130"/>
    <mergeCell ref="U125:U127"/>
    <mergeCell ref="V125:V127"/>
    <mergeCell ref="D122:D130"/>
    <mergeCell ref="E122:G122"/>
    <mergeCell ref="H122:R122"/>
    <mergeCell ref="AC122:AC127"/>
    <mergeCell ref="E123:G123"/>
    <mergeCell ref="H123:R123"/>
    <mergeCell ref="E124:G124"/>
    <mergeCell ref="H124:R124"/>
    <mergeCell ref="E125:P125"/>
    <mergeCell ref="U137:U139"/>
    <mergeCell ref="V137:V139"/>
    <mergeCell ref="U134:U136"/>
    <mergeCell ref="V134:V136"/>
    <mergeCell ref="D131:D139"/>
    <mergeCell ref="E131:G131"/>
    <mergeCell ref="H131:R131"/>
    <mergeCell ref="AC131:AC136"/>
    <mergeCell ref="E132:G132"/>
    <mergeCell ref="H132:R132"/>
    <mergeCell ref="E133:G133"/>
    <mergeCell ref="H133:R133"/>
    <mergeCell ref="E134:P134"/>
    <mergeCell ref="U146:U148"/>
    <mergeCell ref="V146:V148"/>
    <mergeCell ref="U143:U145"/>
    <mergeCell ref="V143:V145"/>
    <mergeCell ref="D140:D148"/>
    <mergeCell ref="E140:G140"/>
    <mergeCell ref="H140:R140"/>
    <mergeCell ref="AC140:AC145"/>
    <mergeCell ref="E141:G141"/>
    <mergeCell ref="H141:R141"/>
    <mergeCell ref="E142:G142"/>
    <mergeCell ref="H142:R142"/>
    <mergeCell ref="E143:P143"/>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54D705-D48F-C76D-4B18-0.0B05964E}" mc:Ignorable="x14ac xr xr2 xr3">
  <sheetPr>
    <tabColor theme="9" tint="-0.25"/>
  </sheetPr>
  <dimension ref="A1:AY204"/>
  <sheetViews>
    <sheetView showGridLines="0" zoomScale="90" workbookViewId="0">
      <pane xSplit="12" ySplit="14" topLeftCell="AA15" activePane="bottomRight" state="frozen"/>
      <selection pane="bottomLeft" activeCell="A15" sqref="A15"/>
      <selection pane="topRight" activeCell="M1" sqref="M1"/>
      <selection pane="bottomRight" activeCell="AA9" sqref="AA9"/>
    </sheetView>
  </sheetViews>
  <sheetFormatPr defaultColWidth="9.140625" customHeight="1" defaultRowHeight="11.25"/>
  <cols>
    <col min="1" max="5" style="1011" width="10.7109375" hidden="1" customWidth="1"/>
    <col min="6" max="6" style="1390" width="16.8515625" hidden="1" customWidth="1"/>
    <col min="7" max="7" style="1666" width="5.57421875" hidden="1" customWidth="1"/>
    <col min="8" max="8" style="1659" width="3.00390625" customWidth="1"/>
    <col min="9" max="9" style="1659" width="7.00390625" customWidth="1"/>
    <col min="10" max="10" style="1659" width="56.00390625" customWidth="1"/>
    <col min="11" max="11" style="1659" width="10.00390625" customWidth="1"/>
    <col min="12" max="12" style="1659" width="40.57421875" hidden="1" customWidth="1"/>
    <col min="13" max="13" style="1659" width="40.7109375" customWidth="1"/>
    <col min="14" max="27" style="1659" width="40.57421875" customWidth="1"/>
    <col min="28" max="28" style="1390" width="9.7109375" hidden="1" customWidth="1"/>
    <col min="29" max="29" style="1659" width="102.00390625" customWidth="1"/>
    <col min="30" max="30" style="1390" width="9.00390625" customWidth="1"/>
    <col min="31" max="31" style="1666" width="5.00390625" customWidth="1"/>
    <col min="32" max="32" style="1666" width="3.00390625" customWidth="1"/>
    <col min="33" max="36" style="1390" width="3.00390625" customWidth="1"/>
    <col min="37" max="37" style="1666" width="10.00390625" customWidth="1"/>
    <col min="38" max="38" style="1390" width="34.00390625" customWidth="1"/>
    <col min="39" max="39" style="1390" width="9.00390625" customWidth="1"/>
    <col min="40" max="40" style="760" width="8.00390625" customWidth="1"/>
    <col min="41" max="45" style="1390" width="8.00390625" customWidth="1"/>
    <col min="46" max="50" style="1656" width="8.00390625" customWidth="1"/>
    <col min="51" max="51" style="1659" width="5.421875" hidden="1" customWidth="1"/>
  </cols>
  <sheetData>
    <row s="1390" customFormat="1" customHeight="1" ht="33.75" hidden="1">
      <c r="A1" s="1011"/>
      <c r="B1" s="1011"/>
      <c r="C1" s="1011"/>
      <c r="D1" s="1011"/>
      <c r="E1" s="1011"/>
      <c r="G1" s="1660"/>
      <c r="H1" s="902"/>
      <c r="L1" s="1390">
        <v>4</v>
      </c>
      <c r="M1" s="1390">
        <v>4</v>
      </c>
      <c r="N1" s="1390">
        <v>4</v>
      </c>
      <c r="O1" s="1390">
        <v>4</v>
      </c>
      <c r="P1" s="1390">
        <v>4</v>
      </c>
      <c r="Q1" s="1390">
        <v>4</v>
      </c>
      <c r="R1" s="1390">
        <v>4</v>
      </c>
      <c r="S1" s="1390">
        <v>4</v>
      </c>
      <c r="T1" s="1390">
        <v>4</v>
      </c>
      <c r="U1" s="1390">
        <v>4</v>
      </c>
      <c r="V1" s="1390">
        <v>4</v>
      </c>
      <c r="W1" s="1390">
        <v>4</v>
      </c>
      <c r="X1" s="1390">
        <v>4</v>
      </c>
      <c r="Y1" s="1390">
        <v>4</v>
      </c>
      <c r="Z1" s="1390">
        <v>4</v>
      </c>
      <c r="AA1" s="1390">
        <v>4</v>
      </c>
      <c r="AE1" s="1660"/>
      <c r="AF1" s="1660"/>
      <c r="AK1" s="1660"/>
      <c r="AY1" s="1390" t="s">
        <v>14</v>
      </c>
    </row>
    <row s="1390" customFormat="1" customHeight="1" ht="78.75" hidden="1">
      <c r="A2" s="1011"/>
      <c r="B2" s="2077" t="s">
        <v>713</v>
      </c>
      <c r="C2" s="2077" t="s">
        <v>714</v>
      </c>
      <c r="D2" s="2076" t="s">
        <v>715</v>
      </c>
      <c r="E2" s="2080">
        <f>RIGHT(I2,LEN(I2)-SEARCH("#",SUBSTITUTE(I2,".","#",LEN(I2)-LEN(SUBSTITUTE(I2,".","")))))</f>
      </c>
      <c r="F2" s="2082">
        <f>J2</f>
        <v>0</v>
      </c>
      <c r="G2" s="1660"/>
      <c r="H2" s="2083"/>
      <c r="I2" s="2073"/>
      <c r="J2" s="564"/>
      <c r="K2" s="2043" t="s">
        <v>640</v>
      </c>
      <c r="L2" s="775"/>
      <c r="M2" s="775"/>
      <c r="N2" s="775"/>
      <c r="O2" s="775"/>
      <c r="P2" s="775"/>
      <c r="Q2" s="775"/>
      <c r="R2" s="775"/>
      <c r="S2" s="775"/>
      <c r="T2" s="775"/>
      <c r="U2" s="775"/>
      <c r="V2" s="775"/>
      <c r="W2" s="775"/>
      <c r="X2" s="775"/>
      <c r="Y2" s="775"/>
      <c r="Z2" s="775"/>
      <c r="AA2" s="775"/>
      <c r="AB2" s="567"/>
      <c r="AC2" s="1549" t="s">
        <v>641</v>
      </c>
      <c r="AD2" s="567"/>
      <c r="AE2" s="1660"/>
      <c r="AF2" s="1660"/>
      <c r="AK2" s="1660"/>
      <c r="AN2" s="568"/>
      <c r="AT2" s="1656"/>
      <c r="AU2" s="1656"/>
      <c r="AV2" s="1656"/>
      <c r="AW2" s="1656"/>
      <c r="AX2" s="1656"/>
      <c r="AY2" s="1390">
        <v>0</v>
      </c>
    </row>
    <row customHeight="1" ht="11.25" hidden="1">
      <c r="E3" s="2075" t="s">
        <v>716</v>
      </c>
      <c r="L3" s="1655">
        <f>0</f>
        <v>0</v>
      </c>
      <c r="M3" s="1655">
        <v>1</v>
      </c>
      <c r="N3" s="1659">
        <f>0</f>
        <v>0</v>
      </c>
      <c r="O3" s="1659">
        <f>0</f>
        <v>0</v>
      </c>
      <c r="P3" s="1659">
        <f>0</f>
        <v>0</v>
      </c>
      <c r="Q3" s="1659">
        <f>0</f>
        <v>0</v>
      </c>
      <c r="R3" s="1659">
        <f>0</f>
        <v>0</v>
      </c>
      <c r="S3" s="1659">
        <f>0</f>
        <v>0</v>
      </c>
      <c r="T3" s="1659">
        <f>0</f>
        <v>0</v>
      </c>
      <c r="U3" s="1659">
        <f>0</f>
        <v>0</v>
      </c>
      <c r="V3" s="1659">
        <f>0</f>
        <v>0</v>
      </c>
      <c r="W3" s="1659">
        <f>0</f>
        <v>0</v>
      </c>
      <c r="X3" s="1659">
        <f>0</f>
        <v>0</v>
      </c>
      <c r="Y3" s="1659">
        <f>0</f>
        <v>0</v>
      </c>
      <c r="Z3" s="1659">
        <f>0</f>
        <v>0</v>
      </c>
      <c r="AA3" s="1659">
        <f>0</f>
        <v>0</v>
      </c>
      <c r="AY3" s="1655">
        <v>0</v>
      </c>
    </row>
    <row s="1656" customFormat="1" customHeight="1" ht="11.25" hidden="1">
      <c r="A4" s="1011"/>
      <c r="B4" s="1011"/>
      <c r="C4" s="1011"/>
      <c r="E4" s="1011"/>
      <c r="F4" s="1390"/>
      <c r="G4" s="1660"/>
      <c r="H4" s="644"/>
      <c r="N4" s="1656"/>
      <c r="O4" s="1656"/>
      <c r="P4" s="1656"/>
      <c r="Q4" s="1656"/>
      <c r="R4" s="1656"/>
      <c r="S4" s="1656"/>
      <c r="T4" s="1656"/>
      <c r="U4" s="1656"/>
      <c r="V4" s="1656"/>
      <c r="W4" s="1656"/>
      <c r="X4" s="1656"/>
      <c r="Y4" s="1656"/>
      <c r="Z4" s="1656"/>
      <c r="AA4" s="1656"/>
      <c r="AB4" s="1390"/>
      <c r="AC4" s="1656">
        <v>4</v>
      </c>
      <c r="AD4" s="1390"/>
      <c r="AE4" s="1660"/>
      <c r="AF4" s="1660"/>
      <c r="AG4" s="1390"/>
      <c r="AH4" s="1390"/>
      <c r="AI4" s="1390"/>
      <c r="AJ4" s="1390"/>
      <c r="AK4" s="1660"/>
      <c r="AL4" s="1390"/>
      <c r="AM4" s="1390"/>
      <c r="AN4" s="568"/>
      <c r="AO4" s="1390"/>
      <c r="AP4" s="1390"/>
      <c r="AQ4" s="1390"/>
      <c r="AR4" s="1390"/>
      <c r="AS4" s="1390"/>
      <c r="AY4" s="1656">
        <v>0</v>
      </c>
    </row>
    <row customHeight="1" ht="11.549999999999999">
      <c r="N5" s="1659"/>
      <c r="O5" s="1659"/>
      <c r="P5" s="1659"/>
      <c r="Q5" s="1659"/>
      <c r="R5" s="1659"/>
      <c r="S5" s="1659"/>
      <c r="T5" s="1659"/>
      <c r="U5" s="1659"/>
      <c r="V5" s="1659"/>
      <c r="W5" s="1659"/>
      <c r="X5" s="1659"/>
      <c r="Y5" s="1659"/>
      <c r="Z5" s="1659"/>
      <c r="AA5" s="1659"/>
      <c r="AY5" s="1655">
        <v>11</v>
      </c>
    </row>
    <row customHeight="1" ht="57.75">
      <c r="I6" s="2331" t="s">
        <v>717</v>
      </c>
      <c r="J6" s="2331"/>
      <c r="K6" s="2331"/>
      <c r="L6" s="2331"/>
      <c r="M6" s="2331"/>
      <c r="N6" s="2331"/>
      <c r="O6" s="2331"/>
      <c r="P6" s="2331"/>
      <c r="Q6" s="2331"/>
      <c r="R6" s="2331"/>
      <c r="S6" s="2331"/>
      <c r="T6" s="2331"/>
      <c r="U6" s="2331"/>
      <c r="V6" s="2331"/>
      <c r="W6" s="2331"/>
      <c r="X6" s="2331"/>
      <c r="Y6" s="2331"/>
      <c r="Z6" s="2331"/>
      <c r="AA6" s="2331"/>
      <c r="AC6" s="580"/>
      <c r="AY6" s="1655">
        <v>55</v>
      </c>
    </row>
    <row customHeight="1" ht="25.2">
      <c r="I7" s="2273" t="str">
        <f>IF(org=0,"Не определено",org)</f>
        <v>АО "ДГК"</v>
      </c>
      <c r="J7" s="2273"/>
      <c r="K7" s="2273"/>
      <c r="L7" s="2273"/>
      <c r="M7" s="2273"/>
      <c r="N7" s="2273"/>
      <c r="O7" s="2273"/>
      <c r="P7" s="2273"/>
      <c r="Q7" s="2273"/>
      <c r="R7" s="2273"/>
      <c r="S7" s="2273"/>
      <c r="T7" s="2273"/>
      <c r="U7" s="2273"/>
      <c r="V7" s="2273"/>
      <c r="W7" s="2273"/>
      <c r="X7" s="2273"/>
      <c r="Y7" s="2273"/>
      <c r="Z7" s="2273"/>
      <c r="AA7" s="2273"/>
      <c r="AY7" s="1655">
        <v>24</v>
      </c>
    </row>
    <row customHeight="1" ht="11.549999999999999">
      <c r="I8" s="1159"/>
      <c r="J8" s="1159"/>
      <c r="K8" s="1159"/>
      <c r="L8" s="1159"/>
      <c r="M8" s="1159"/>
      <c r="N8" s="1160" t="s">
        <v>22</v>
      </c>
      <c r="O8" s="1160" t="s">
        <v>22</v>
      </c>
      <c r="P8" s="1160" t="s">
        <v>22</v>
      </c>
      <c r="Q8" s="1160" t="s">
        <v>22</v>
      </c>
      <c r="R8" s="1160" t="s">
        <v>22</v>
      </c>
      <c r="S8" s="1160" t="s">
        <v>22</v>
      </c>
      <c r="T8" s="1160" t="s">
        <v>22</v>
      </c>
      <c r="U8" s="1160" t="s">
        <v>22</v>
      </c>
      <c r="V8" s="1160" t="s">
        <v>22</v>
      </c>
      <c r="W8" s="1160" t="s">
        <v>22</v>
      </c>
      <c r="X8" s="1160" t="s">
        <v>22</v>
      </c>
      <c r="Y8" s="1160" t="s">
        <v>22</v>
      </c>
      <c r="Z8" s="1160" t="s">
        <v>22</v>
      </c>
      <c r="AA8" s="1160" t="s">
        <v>22</v>
      </c>
      <c r="AY8" s="1655">
        <v>11</v>
      </c>
    </row>
    <row s="1666" customFormat="1" customHeight="1" ht="30" hidden="1">
      <c r="A9" s="1191"/>
      <c r="B9" s="1191"/>
      <c r="C9" s="1191"/>
      <c r="E9" s="1191"/>
      <c r="H9" s="1666"/>
      <c r="L9" s="913"/>
      <c r="M9" s="913" t="s">
        <v>176</v>
      </c>
      <c r="N9" s="913" t="s">
        <v>181</v>
      </c>
      <c r="O9" s="913" t="s">
        <v>183</v>
      </c>
      <c r="P9" s="913" t="s">
        <v>185</v>
      </c>
      <c r="Q9" s="913" t="s">
        <v>187</v>
      </c>
      <c r="R9" s="913" t="s">
        <v>189</v>
      </c>
      <c r="S9" s="913" t="s">
        <v>191</v>
      </c>
      <c r="T9" s="913" t="s">
        <v>193</v>
      </c>
      <c r="U9" s="913" t="s">
        <v>195</v>
      </c>
      <c r="V9" s="913" t="s">
        <v>197</v>
      </c>
      <c r="W9" s="913" t="s">
        <v>199</v>
      </c>
      <c r="X9" s="913" t="s">
        <v>201</v>
      </c>
      <c r="Y9" s="913" t="s">
        <v>203</v>
      </c>
      <c r="Z9" s="913" t="s">
        <v>205</v>
      </c>
      <c r="AA9" s="913" t="s">
        <v>207</v>
      </c>
      <c r="AY9" s="1660">
        <v>1</v>
      </c>
    </row>
    <row customHeight="1" ht="11.549999999999999">
      <c r="E10" s="2074" t="s">
        <v>718</v>
      </c>
      <c r="I10" s="735"/>
      <c r="J10" s="2391" t="s">
        <v>166</v>
      </c>
      <c r="K10" s="2392"/>
      <c r="L10" s="2053" t="str">
        <f>IF(L9="","",INDEX(DIFFERENTIATION_UNMERGE_VD,MATCH(L9,DIFFERENTIATION_ID_DIFF,0)))</f>
        <v/>
      </c>
      <c r="M10" s="2053" t="str">
        <f>IF(M9="","",INDEX(DIFFERENTIATION_UNMERGE_VD,MATCH(M9,DIFFERENTIATION_ID_DIFF,0)))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N10" s="2417" t="str">
        <f>IF(N9="","",INDEX(DIFFERENTIATION_UNMERGE_VD,MATCH(N9,DIFFERENTIATION_ID_DIFF,0)))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O10" s="2417" t="str">
        <f>IF(O9="","",INDEX(DIFFERENTIATION_UNMERGE_VD,MATCH(O9,DIFFERENTIATION_ID_DIFF,0)))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10" s="2417" t="str">
        <f>IF(P9="","",INDEX(DIFFERENTIATION_UNMERGE_VD,MATCH(P9,DIFFERENTIATION_ID_DIFF,0)))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10" s="2417" t="str">
        <f>IF(Q9="","",INDEX(DIFFERENTIATION_UNMERGE_VD,MATCH(Q9,DIFFERENTIATION_ID_DIFF,0)))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R10" s="2417" t="str">
        <f>IF(R9="","",INDEX(DIFFERENTIATION_UNMERGE_VD,MATCH(R9,DIFFERENTIATION_ID_DIFF,0)))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S10" s="2417" t="str">
        <f>IF(S9="","",INDEX(DIFFERENTIATION_UNMERGE_VD,MATCH(S9,DIFFERENTIATION_ID_DIFF,0)))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T10" s="2417" t="str">
        <f>IF(T9="","",INDEX(DIFFERENTIATION_UNMERGE_VD,MATCH(T9,DIFFERENTIATION_ID_DIFF,0)))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U10" s="2417" t="str">
        <f>IF(U9="","",INDEX(DIFFERENTIATION_UNMERGE_VD,MATCH(U9,DIFFERENTIATION_ID_DIFF,0)))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V10" s="2417" t="str">
        <f>IF(V9="","",INDEX(DIFFERENTIATION_UNMERGE_VD,MATCH(V9,DIFFERENTIATION_ID_DIFF,0)))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W10" s="2417" t="str">
        <f>IF(W9="","",INDEX(DIFFERENTIATION_UNMERGE_VD,MATCH(W9,DIFFERENTIATION_ID_DIFF,0)))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X10" s="2417" t="str">
        <f>IF(X9="","",INDEX(DIFFERENTIATION_UNMERGE_VD,MATCH(X9,DIFFERENTIATION_ID_DIFF,0)))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Y10" s="2417" t="str">
        <f>IF(Y9="","",INDEX(DIFFERENTIATION_UNMERGE_VD,MATCH(Y9,DIFFERENTIATION_ID_DIFF,0)))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Z10" s="2417" t="str">
        <f>IF(Z9="","",INDEX(DIFFERENTIATION_UNMERGE_VD,MATCH(Z9,DIFFERENTIATION_ID_DIFF,0)))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A10" s="2417" t="str">
        <f>IF(AA9="","",INDEX(DIFFERENTIATION_UNMERGE_VD,MATCH(AA9,DIFFERENTIATION_ID_DIFF,0)))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C10" s="2151" t="s">
        <v>385</v>
      </c>
      <c r="AY10" s="1655">
        <v>11</v>
      </c>
    </row>
    <row customHeight="1" ht="11.549999999999999">
      <c r="E11" s="2074" t="s">
        <v>719</v>
      </c>
      <c r="I11" s="735"/>
      <c r="J11" s="2391" t="s">
        <v>648</v>
      </c>
      <c r="K11" s="2392"/>
      <c r="L11" s="2053" t="str">
        <f>IF(L9="","",INDEX(DIFFERENTIATION_UNMERGE_AREA,MATCH(L9,DIFFERENTIATION_ID_DIFF,0)))</f>
        <v/>
      </c>
      <c r="M11" s="2053" t="str">
        <f>IF(M9="","",INDEX(DIFFERENTIATION_UNMERGE_AREA,MATCH(M9,DIFFERENTIATION_ID_DIFF,0)))</f>
        <v>Территория 1</v>
      </c>
      <c r="N11" s="2417" t="str">
        <f>IF(N9="","",INDEX(DIFFERENTIATION_UNMERGE_AREA,MATCH(N9,DIFFERENTIATION_ID_DIFF,0)))</f>
        <v>Территория 2</v>
      </c>
      <c r="O11" s="2417" t="str">
        <f>IF(O9="","",INDEX(DIFFERENTIATION_UNMERGE_AREA,MATCH(O9,DIFFERENTIATION_ID_DIFF,0)))</f>
        <v>Территория 2</v>
      </c>
      <c r="P11" s="2417" t="str">
        <f>IF(P9="","",INDEX(DIFFERENTIATION_UNMERGE_AREA,MATCH(P9,DIFFERENTIATION_ID_DIFF,0)))</f>
        <v>Территория 3</v>
      </c>
      <c r="Q11" s="2417" t="str">
        <f>IF(Q9="","",INDEX(DIFFERENTIATION_UNMERGE_AREA,MATCH(Q9,DIFFERENTIATION_ID_DIFF,0)))</f>
        <v>Территория 3</v>
      </c>
      <c r="R11" s="2417" t="str">
        <f>IF(R9="","",INDEX(DIFFERENTIATION_UNMERGE_AREA,MATCH(R9,DIFFERENTIATION_ID_DIFF,0)))</f>
        <v>Территория 3</v>
      </c>
      <c r="S11" s="2417" t="str">
        <f>IF(S9="","",INDEX(DIFFERENTIATION_UNMERGE_AREA,MATCH(S9,DIFFERENTIATION_ID_DIFF,0)))</f>
        <v>Территория 3</v>
      </c>
      <c r="T11" s="2417" t="str">
        <f>IF(T9="","",INDEX(DIFFERENTIATION_UNMERGE_AREA,MATCH(T9,DIFFERENTIATION_ID_DIFF,0)))</f>
        <v>Территория 4</v>
      </c>
      <c r="U11" s="2417" t="str">
        <f>IF(U9="","",INDEX(DIFFERENTIATION_UNMERGE_AREA,MATCH(U9,DIFFERENTIATION_ID_DIFF,0)))</f>
        <v>Территория 5</v>
      </c>
      <c r="V11" s="2417" t="str">
        <f>IF(V9="","",INDEX(DIFFERENTIATION_UNMERGE_AREA,MATCH(V9,DIFFERENTIATION_ID_DIFF,0)))</f>
        <v>Территория 6</v>
      </c>
      <c r="W11" s="2417" t="str">
        <f>IF(W9="","",INDEX(DIFFERENTIATION_UNMERGE_AREA,MATCH(W9,DIFFERENTIATION_ID_DIFF,0)))</f>
        <v>Территория 7</v>
      </c>
      <c r="X11" s="2417" t="str">
        <f>IF(X9="","",INDEX(DIFFERENTIATION_UNMERGE_AREA,MATCH(X9,DIFFERENTIATION_ID_DIFF,0)))</f>
        <v>Территория 8</v>
      </c>
      <c r="Y11" s="2417" t="str">
        <f>IF(Y9="","",INDEX(DIFFERENTIATION_UNMERGE_AREA,MATCH(Y9,DIFFERENTIATION_ID_DIFF,0)))</f>
        <v>Территория 8</v>
      </c>
      <c r="Z11" s="2417" t="str">
        <f>IF(Z9="","",INDEX(DIFFERENTIATION_UNMERGE_AREA,MATCH(Z9,DIFFERENTIATION_ID_DIFF,0)))</f>
        <v>Территория 9</v>
      </c>
      <c r="AA11" s="2417" t="str">
        <f>IF(AA9="","",INDEX(DIFFERENTIATION_UNMERGE_AREA,MATCH(AA9,DIFFERENTIATION_ID_DIFF,0)))</f>
        <v>Территория 10</v>
      </c>
      <c r="AC11" s="2151"/>
      <c r="AY11" s="1655">
        <v>11</v>
      </c>
    </row>
    <row customHeight="1" ht="11.549999999999999">
      <c r="E12" s="2074" t="s">
        <v>720</v>
      </c>
      <c r="I12" s="1686"/>
      <c r="J12" s="2391" t="s">
        <v>649</v>
      </c>
      <c r="K12" s="2392"/>
      <c r="L12" s="2053" t="str">
        <f>IF(L9="","",INDEX(DIFFERENTIATION_UNMERGE_SYSTEM,MATCH(L9,DIFFERENTIATION_ID_DIFF,0)))</f>
        <v/>
      </c>
      <c r="M12" s="2053" t="str">
        <f>IF(M9="","",INDEX(DIFFERENTIATION_UNMERGE_SYSTEM,MATCH(M9,DIFFERENTIATION_ID_DIFF,0)))</f>
        <v>Амурская ТЭЦ-1 (г. Амурск)</v>
      </c>
      <c r="N12" s="2417" t="str">
        <f>IF(N9="","",INDEX(DIFFERENTIATION_UNMERGE_SYSTEM,MATCH(N9,DIFFERENTIATION_ID_DIFF,0)))</f>
        <v>Николаевская ТЭЦ (г. Николаевск)</v>
      </c>
      <c r="O12" s="2417" t="str">
        <f>IF(O9="","",INDEX(DIFFERENTIATION_UNMERGE_SYSTEM,MATCH(O9,DIFFERENTIATION_ID_DIFF,0)))</f>
        <v>котельная "Аэропорт"</v>
      </c>
      <c r="P12" s="2417" t="str">
        <f>IF(P9="","",INDEX(DIFFERENTIATION_UNMERGE_SYSTEM,MATCH(P9,DIFFERENTIATION_ID_DIFF,0)))</f>
        <v>Комсомольская ТЭЦ-1 (г. Комсомольск)</v>
      </c>
      <c r="Q12" s="2417" t="str">
        <f>IF(Q9="","",INDEX(DIFFERENTIATION_UNMERGE_SYSTEM,MATCH(Q9,DIFFERENTIATION_ID_DIFF,0)))</f>
        <v>Комсомольская ТЭЦ-2 (г. Комсомольск)</v>
      </c>
      <c r="R12" s="2417" t="str">
        <f>IF(R9="","",INDEX(DIFFERENTIATION_UNMERGE_SYSTEM,MATCH(R9,DIFFERENTIATION_ID_DIFF,0)))</f>
        <v>Комсомольская ТЭЦ-3 (г. Комсомольск)</v>
      </c>
      <c r="S12" s="2417" t="str">
        <f>IF(S9="","",INDEX(DIFFERENTIATION_UNMERGE_SYSTEM,MATCH(S9,DIFFERENTIATION_ID_DIFF,0)))</f>
        <v>ВК "Дземги" (г. Комсомольск)</v>
      </c>
      <c r="T12" s="2417" t="str">
        <f>IF(T9="","",INDEX(DIFFERENTIATION_UNMERGE_SYSTEM,MATCH(T9,DIFFERENTIATION_ID_DIFF,0)))</f>
        <v>ТЭЦ в г. Советская Гавань</v>
      </c>
      <c r="U12" s="2417" t="str">
        <f>IF(U9="","",INDEX(DIFFERENTIATION_UNMERGE_SYSTEM,MATCH(U9,DIFFERENTIATION_ID_DIFF,0)))</f>
        <v>Майская котельная </v>
      </c>
      <c r="V12" s="2417" t="str">
        <f>IF(V9="","",INDEX(DIFFERENTIATION_UNMERGE_SYSTEM,MATCH(V9,DIFFERENTIATION_ID_DIFF,0)))</f>
        <v>Ургальская котельная (п. Чегдомын)</v>
      </c>
      <c r="W12" s="2417" t="str">
        <f>IF(W9="","",INDEX(DIFFERENTIATION_UNMERGE_SYSTEM,MATCH(W9,DIFFERENTIATION_ID_DIFF,0)))</f>
        <v>Хабаровская ТЭЦ-1 (г. Хабаровск, с. Ильинское, п. Корфовский, с. Ракитненское)</v>
      </c>
      <c r="X12" s="2417" t="str">
        <f>IF(X9="","",INDEX(DIFFERENTIATION_UNMERGE_SYSTEM,MATCH(X9,DIFFERENTIATION_ID_DIFF,0)))</f>
        <v>Хабаровская ТЭЦ-2 (г. Хабаровск)</v>
      </c>
      <c r="Y12" s="2417" t="str">
        <f>IF(Y9="","",INDEX(DIFFERENTIATION_UNMERGE_SYSTEM,MATCH(Y9,DIFFERENTIATION_ID_DIFF,0)))</f>
        <v>Котельная в Волочаевском городке</v>
      </c>
      <c r="Z12" s="2417" t="str">
        <f>IF(Z9="","",INDEX(DIFFERENTIATION_UNMERGE_SYSTEM,MATCH(Z9,DIFFERENTIATION_ID_DIFF,0)))</f>
        <v>Хабаровская ТЭЦ-3 (г. Хабаровск, с. Восточное, с. Мирненское, с. Тополевское)</v>
      </c>
      <c r="AA12" s="2417" t="str">
        <f>IF(AA9="","",INDEX(DIFFERENTIATION_UNMERGE_SYSTEM,MATCH(AA9,DIFFERENTIATION_ID_DIFF,0)))</f>
        <v>Котельная в с. Некрасовка (с. Дружбинское, с. Некрасовское) </v>
      </c>
      <c r="AC12" s="2151"/>
      <c r="AY12" s="1655">
        <v>11</v>
      </c>
    </row>
    <row customHeight="1" ht="11.549999999999999">
      <c r="E13" s="2074" t="s">
        <v>721</v>
      </c>
      <c r="F13" s="2074" t="s">
        <v>722</v>
      </c>
      <c r="I13" s="2393" t="s">
        <v>384</v>
      </c>
      <c r="J13" s="2394"/>
      <c r="K13" s="2394"/>
      <c r="L13" s="2051"/>
      <c r="M13" s="2091"/>
      <c r="N13" s="2391"/>
      <c r="O13" s="2391"/>
      <c r="P13" s="2391"/>
      <c r="Q13" s="2391"/>
      <c r="R13" s="2391"/>
      <c r="S13" s="2391"/>
      <c r="T13" s="2391"/>
      <c r="U13" s="2391"/>
      <c r="V13" s="2391"/>
      <c r="W13" s="2391"/>
      <c r="X13" s="2391"/>
      <c r="Y13" s="2391"/>
      <c r="Z13" s="2391"/>
      <c r="AA13" s="2391"/>
      <c r="AC13" s="2151"/>
      <c r="AY13" s="1655">
        <v>11</v>
      </c>
    </row>
    <row customHeight="1" ht="24">
      <c r="I14" s="2044" t="s">
        <v>88</v>
      </c>
      <c r="J14" s="2044" t="s">
        <v>386</v>
      </c>
      <c r="K14" s="2044" t="s">
        <v>650</v>
      </c>
      <c r="L14" s="2084" t="s">
        <v>387</v>
      </c>
      <c r="M14" s="2085" t="s">
        <v>387</v>
      </c>
      <c r="N14" s="2286" t="s">
        <v>387</v>
      </c>
      <c r="O14" s="2286" t="s">
        <v>387</v>
      </c>
      <c r="P14" s="2286" t="s">
        <v>387</v>
      </c>
      <c r="Q14" s="2286" t="s">
        <v>387</v>
      </c>
      <c r="R14" s="2286" t="s">
        <v>387</v>
      </c>
      <c r="S14" s="2286" t="s">
        <v>387</v>
      </c>
      <c r="T14" s="2286" t="s">
        <v>387</v>
      </c>
      <c r="U14" s="2286" t="s">
        <v>387</v>
      </c>
      <c r="V14" s="2286" t="s">
        <v>387</v>
      </c>
      <c r="W14" s="2286" t="s">
        <v>387</v>
      </c>
      <c r="X14" s="2286" t="s">
        <v>387</v>
      </c>
      <c r="Y14" s="2286" t="s">
        <v>387</v>
      </c>
      <c r="Z14" s="2286" t="s">
        <v>387</v>
      </c>
      <c r="AA14" s="2286" t="s">
        <v>387</v>
      </c>
      <c r="AC14" s="2151"/>
      <c r="AY14" s="1655">
        <v>23</v>
      </c>
    </row>
    <row customHeight="1" ht="24">
      <c r="A15" s="2078"/>
      <c r="B15" s="2077" t="s">
        <v>723</v>
      </c>
      <c r="C15" s="2077" t="s">
        <v>724</v>
      </c>
      <c r="D15" s="2076" t="s">
        <v>725</v>
      </c>
      <c r="E15" s="2080" t="s">
        <v>726</v>
      </c>
      <c r="F15" s="2080" t="s">
        <v>726</v>
      </c>
      <c r="G15" s="1660" t="s">
        <v>672</v>
      </c>
      <c r="H15" s="2045"/>
      <c r="I15" s="1654">
        <v>1</v>
      </c>
      <c r="J15" s="2046" t="s">
        <v>727</v>
      </c>
      <c r="K15" s="2044" t="s">
        <v>390</v>
      </c>
      <c r="L15" s="686"/>
      <c r="M15" s="842"/>
      <c r="N15" s="686"/>
      <c r="O15" s="686"/>
      <c r="P15" s="686"/>
      <c r="Q15" s="686"/>
      <c r="R15" s="686"/>
      <c r="S15" s="686"/>
      <c r="T15" s="686"/>
      <c r="U15" s="686"/>
      <c r="V15" s="686"/>
      <c r="W15" s="686"/>
      <c r="X15" s="686"/>
      <c r="Y15" s="686"/>
      <c r="Z15" s="686"/>
      <c r="AA15" s="686"/>
      <c r="AB15" s="567" t="s">
        <v>728</v>
      </c>
      <c r="AC15" s="1549" t="s">
        <v>729</v>
      </c>
      <c r="AD15" s="567" t="s">
        <v>728</v>
      </c>
      <c r="AY15" s="1655">
        <v>23</v>
      </c>
    </row>
    <row customHeight="1" ht="35.699999999999996">
      <c r="A16" s="2078"/>
      <c r="B16" s="2077" t="s">
        <v>730</v>
      </c>
      <c r="C16" s="2077" t="s">
        <v>731</v>
      </c>
      <c r="D16" s="2076" t="s">
        <v>715</v>
      </c>
      <c r="E16" s="2080" t="s">
        <v>726</v>
      </c>
      <c r="F16" s="2080" t="s">
        <v>726</v>
      </c>
      <c r="H16" s="2045"/>
      <c r="I16" s="1653">
        <v>2</v>
      </c>
      <c r="J16" s="2087" t="s">
        <v>732</v>
      </c>
      <c r="K16" s="2086" t="s">
        <v>640</v>
      </c>
      <c r="L16" s="2092"/>
      <c r="M16" s="1700"/>
      <c r="N16" s="2092"/>
      <c r="O16" s="2092"/>
      <c r="P16" s="2092"/>
      <c r="Q16" s="2092"/>
      <c r="R16" s="2092"/>
      <c r="S16" s="2092"/>
      <c r="T16" s="2092"/>
      <c r="U16" s="2092"/>
      <c r="V16" s="2092"/>
      <c r="W16" s="2092"/>
      <c r="X16" s="2092"/>
      <c r="Y16" s="2092"/>
      <c r="Z16" s="2092"/>
      <c r="AA16" s="2092"/>
      <c r="AB16" s="567" t="s">
        <v>728</v>
      </c>
      <c r="AC16" s="1549" t="s">
        <v>733</v>
      </c>
      <c r="AD16" s="567" t="s">
        <v>728</v>
      </c>
      <c r="AY16" s="1655">
        <v>34</v>
      </c>
    </row>
    <row s="1666" customFormat="1" customHeight="1" ht="17.25" hidden="1">
      <c r="A17" s="1191"/>
      <c r="B17" s="1191"/>
      <c r="C17" s="1191"/>
      <c r="D17" s="1191"/>
      <c r="E17" s="1191"/>
      <c r="H17" s="1348"/>
      <c r="I17" s="1037" t="s">
        <v>734</v>
      </c>
      <c r="J17" s="1015"/>
      <c r="K17" s="1037"/>
      <c r="L17" s="1016"/>
      <c r="M17" s="1016"/>
      <c r="N17" s="1016"/>
      <c r="O17" s="1016"/>
      <c r="P17" s="1016"/>
      <c r="Q17" s="1016"/>
      <c r="R17" s="1016"/>
      <c r="S17" s="1016"/>
      <c r="T17" s="1016"/>
      <c r="U17" s="1016"/>
      <c r="V17" s="1016"/>
      <c r="W17" s="1016"/>
      <c r="X17" s="1016"/>
      <c r="Y17" s="1016"/>
      <c r="Z17" s="1016"/>
      <c r="AA17" s="1016"/>
      <c r="AC17" s="1409"/>
      <c r="AY17" s="1660">
        <v>1</v>
      </c>
    </row>
    <row s="1390" customFormat="1" customHeight="1" ht="24">
      <c r="A18" s="1011"/>
      <c r="B18" s="1011"/>
      <c r="C18" s="1011"/>
      <c r="D18" s="1011"/>
      <c r="E18" s="1011"/>
      <c r="G18" s="1660"/>
      <c r="H18" s="1657"/>
      <c r="I18" s="594"/>
      <c r="J18" s="595" t="s">
        <v>670</v>
      </c>
      <c r="K18" s="596"/>
      <c r="L18" s="2094"/>
      <c r="M18" s="597"/>
      <c r="N18" s="2741"/>
      <c r="O18" s="2742"/>
      <c r="P18" s="2743"/>
      <c r="Q18" s="2744"/>
      <c r="R18" s="2745"/>
      <c r="S18" s="2746"/>
      <c r="T18" s="2747"/>
      <c r="U18" s="2748"/>
      <c r="V18" s="2749"/>
      <c r="W18" s="2750"/>
      <c r="X18" s="2751"/>
      <c r="Y18" s="2752"/>
      <c r="Z18" s="2753"/>
      <c r="AA18" s="2754"/>
      <c r="AB18" s="567"/>
      <c r="AC18" s="1549" t="s">
        <v>671</v>
      </c>
      <c r="AD18" s="567"/>
      <c r="AE18" s="1660"/>
      <c r="AF18" s="1660"/>
      <c r="AK18" s="1660"/>
      <c r="AN18" s="568"/>
      <c r="AT18" s="1656"/>
      <c r="AU18" s="1656"/>
      <c r="AV18" s="1656"/>
      <c r="AW18" s="1656"/>
      <c r="AX18" s="1656"/>
      <c r="AY18" s="1390">
        <v>23</v>
      </c>
    </row>
    <row customHeight="1" ht="19.95">
      <c r="A19" s="2078"/>
      <c r="B19" s="2077" t="s">
        <v>735</v>
      </c>
      <c r="C19" s="2077" t="s">
        <v>736</v>
      </c>
      <c r="D19" s="2076" t="s">
        <v>715</v>
      </c>
      <c r="E19" s="2080" t="s">
        <v>726</v>
      </c>
      <c r="F19" s="2080" t="s">
        <v>726</v>
      </c>
      <c r="H19" s="2045"/>
      <c r="I19" s="1688">
        <v>3</v>
      </c>
      <c r="J19" s="2046" t="s">
        <v>736</v>
      </c>
      <c r="K19" s="2042" t="s">
        <v>640</v>
      </c>
      <c r="L19" s="751"/>
      <c r="M19" s="581"/>
      <c r="N19" s="751"/>
      <c r="O19" s="751"/>
      <c r="P19" s="751"/>
      <c r="Q19" s="751"/>
      <c r="R19" s="751"/>
      <c r="S19" s="751"/>
      <c r="T19" s="751"/>
      <c r="U19" s="751"/>
      <c r="V19" s="751"/>
      <c r="W19" s="751"/>
      <c r="X19" s="751"/>
      <c r="Y19" s="751"/>
      <c r="Z19" s="751"/>
      <c r="AA19" s="751"/>
      <c r="AB19" s="567"/>
      <c r="AC19" s="1549" t="s">
        <v>737</v>
      </c>
      <c r="AD19" s="567"/>
      <c r="AY19" s="1655">
        <v>19</v>
      </c>
    </row>
    <row customHeight="1" ht="77.7">
      <c r="A20" s="2078"/>
      <c r="B20" s="2077" t="s">
        <v>738</v>
      </c>
      <c r="C20" s="2077" t="s">
        <v>739</v>
      </c>
      <c r="D20" s="2076" t="s">
        <v>715</v>
      </c>
      <c r="E20" s="2080" t="s">
        <v>726</v>
      </c>
      <c r="F20" s="2080" t="s">
        <v>726</v>
      </c>
      <c r="H20" s="2045"/>
      <c r="I20" s="1688">
        <v>4</v>
      </c>
      <c r="J20" s="2046" t="s">
        <v>740</v>
      </c>
      <c r="K20" s="2042" t="s">
        <v>667</v>
      </c>
      <c r="L20" s="751"/>
      <c r="M20" s="581"/>
      <c r="N20" s="751"/>
      <c r="O20" s="751"/>
      <c r="P20" s="751"/>
      <c r="Q20" s="751"/>
      <c r="R20" s="751"/>
      <c r="S20" s="751"/>
      <c r="T20" s="751"/>
      <c r="U20" s="751"/>
      <c r="V20" s="751"/>
      <c r="W20" s="751"/>
      <c r="X20" s="751"/>
      <c r="Y20" s="751"/>
      <c r="Z20" s="751"/>
      <c r="AA20" s="751"/>
      <c r="AB20" s="567"/>
      <c r="AC20" s="1549"/>
      <c r="AD20" s="567"/>
      <c r="AY20" s="1655">
        <v>74</v>
      </c>
    </row>
    <row customHeight="1" ht="35.699999999999996">
      <c r="A21" s="2078"/>
      <c r="B21" s="2077" t="s">
        <v>741</v>
      </c>
      <c r="C21" s="2077" t="s">
        <v>742</v>
      </c>
      <c r="D21" s="2076" t="s">
        <v>715</v>
      </c>
      <c r="E21" s="2080" t="s">
        <v>726</v>
      </c>
      <c r="F21" s="2080" t="s">
        <v>726</v>
      </c>
      <c r="H21" s="2045"/>
      <c r="I21" s="1688">
        <v>5</v>
      </c>
      <c r="J21" s="2046" t="s">
        <v>743</v>
      </c>
      <c r="K21" s="2042" t="s">
        <v>667</v>
      </c>
      <c r="L21" s="751"/>
      <c r="M21" s="581"/>
      <c r="N21" s="751"/>
      <c r="O21" s="751"/>
      <c r="P21" s="751"/>
      <c r="Q21" s="751"/>
      <c r="R21" s="751"/>
      <c r="S21" s="751"/>
      <c r="T21" s="751"/>
      <c r="U21" s="751"/>
      <c r="V21" s="751"/>
      <c r="W21" s="751"/>
      <c r="X21" s="751"/>
      <c r="Y21" s="751"/>
      <c r="Z21" s="751"/>
      <c r="AA21" s="751"/>
      <c r="AB21" s="567"/>
      <c r="AC21" s="1549" t="s">
        <v>737</v>
      </c>
      <c r="AD21" s="567"/>
      <c r="AY21" s="1655">
        <v>34</v>
      </c>
    </row>
    <row customHeight="1" ht="48.29999999999999">
      <c r="A22" s="2078"/>
      <c r="B22" s="2077" t="s">
        <v>744</v>
      </c>
      <c r="C22" s="2077" t="s">
        <v>745</v>
      </c>
      <c r="D22" s="2076" t="s">
        <v>715</v>
      </c>
      <c r="E22" s="2080" t="s">
        <v>726</v>
      </c>
      <c r="F22" s="2080" t="s">
        <v>726</v>
      </c>
      <c r="H22" s="2045"/>
      <c r="I22" s="1688">
        <v>6</v>
      </c>
      <c r="J22" s="2046" t="s">
        <v>746</v>
      </c>
      <c r="K22" s="2042" t="s">
        <v>667</v>
      </c>
      <c r="L22" s="751"/>
      <c r="M22" s="581"/>
      <c r="N22" s="751"/>
      <c r="O22" s="751"/>
      <c r="P22" s="751"/>
      <c r="Q22" s="751"/>
      <c r="R22" s="751"/>
      <c r="S22" s="751"/>
      <c r="T22" s="751"/>
      <c r="U22" s="751"/>
      <c r="V22" s="751"/>
      <c r="W22" s="751"/>
      <c r="X22" s="751"/>
      <c r="Y22" s="751"/>
      <c r="Z22" s="751"/>
      <c r="AA22" s="751"/>
      <c r="AB22" s="567"/>
      <c r="AC22" s="1549" t="s">
        <v>747</v>
      </c>
      <c r="AD22" s="567"/>
      <c r="AY22" s="1655">
        <v>46</v>
      </c>
    </row>
    <row customHeight="1" ht="19.95">
      <c r="A23" s="2078"/>
      <c r="B23" s="2077" t="s">
        <v>748</v>
      </c>
      <c r="C23" s="2077" t="s">
        <v>749</v>
      </c>
      <c r="D23" s="2076" t="s">
        <v>715</v>
      </c>
      <c r="E23" s="2080" t="s">
        <v>726</v>
      </c>
      <c r="F23" s="2080" t="s">
        <v>726</v>
      </c>
      <c r="H23" s="2045"/>
      <c r="I23" s="1688" t="s">
        <v>750</v>
      </c>
      <c r="J23" s="1548" t="s">
        <v>751</v>
      </c>
      <c r="K23" s="2042" t="s">
        <v>667</v>
      </c>
      <c r="L23" s="751"/>
      <c r="M23" s="581"/>
      <c r="N23" s="751"/>
      <c r="O23" s="751"/>
      <c r="P23" s="751"/>
      <c r="Q23" s="751"/>
      <c r="R23" s="751"/>
      <c r="S23" s="751"/>
      <c r="T23" s="751"/>
      <c r="U23" s="751"/>
      <c r="V23" s="751"/>
      <c r="W23" s="751"/>
      <c r="X23" s="751"/>
      <c r="Y23" s="751"/>
      <c r="Z23" s="751"/>
      <c r="AA23" s="751"/>
      <c r="AB23" s="567"/>
      <c r="AC23" s="1549" t="s">
        <v>737</v>
      </c>
      <c r="AD23" s="567"/>
      <c r="AY23" s="1655">
        <v>19</v>
      </c>
    </row>
    <row customHeight="1" ht="19.95">
      <c r="A24" s="2078"/>
      <c r="B24" s="2077" t="s">
        <v>752</v>
      </c>
      <c r="C24" s="2077" t="s">
        <v>753</v>
      </c>
      <c r="D24" s="2076" t="s">
        <v>715</v>
      </c>
      <c r="E24" s="2080" t="s">
        <v>726</v>
      </c>
      <c r="F24" s="2080" t="s">
        <v>726</v>
      </c>
      <c r="H24" s="2045"/>
      <c r="I24" s="1688" t="s">
        <v>754</v>
      </c>
      <c r="J24" s="1548" t="s">
        <v>755</v>
      </c>
      <c r="K24" s="2042" t="s">
        <v>667</v>
      </c>
      <c r="L24" s="751"/>
      <c r="M24" s="581"/>
      <c r="N24" s="751"/>
      <c r="O24" s="751"/>
      <c r="P24" s="751"/>
      <c r="Q24" s="751"/>
      <c r="R24" s="751"/>
      <c r="S24" s="751"/>
      <c r="T24" s="751"/>
      <c r="U24" s="751"/>
      <c r="V24" s="751"/>
      <c r="W24" s="751"/>
      <c r="X24" s="751"/>
      <c r="Y24" s="751"/>
      <c r="Z24" s="751"/>
      <c r="AA24" s="751"/>
      <c r="AB24" s="567"/>
      <c r="AC24" s="1549"/>
      <c r="AD24" s="567"/>
      <c r="AY24" s="1655">
        <v>19</v>
      </c>
    </row>
    <row customHeight="1" ht="24">
      <c r="A25" s="2078"/>
      <c r="B25" s="2077" t="s">
        <v>756</v>
      </c>
      <c r="C25" s="2077" t="s">
        <v>757</v>
      </c>
      <c r="D25" s="2076" t="s">
        <v>715</v>
      </c>
      <c r="E25" s="2080" t="s">
        <v>726</v>
      </c>
      <c r="F25" s="2080" t="s">
        <v>726</v>
      </c>
      <c r="H25" s="2045"/>
      <c r="I25" s="1688" t="s">
        <v>758</v>
      </c>
      <c r="J25" s="1548" t="s">
        <v>759</v>
      </c>
      <c r="K25" s="2042" t="s">
        <v>667</v>
      </c>
      <c r="L25" s="751"/>
      <c r="M25" s="581"/>
      <c r="N25" s="751"/>
      <c r="O25" s="751"/>
      <c r="P25" s="751"/>
      <c r="Q25" s="751"/>
      <c r="R25" s="751"/>
      <c r="S25" s="751"/>
      <c r="T25" s="751"/>
      <c r="U25" s="751"/>
      <c r="V25" s="751"/>
      <c r="W25" s="751"/>
      <c r="X25" s="751"/>
      <c r="Y25" s="751"/>
      <c r="Z25" s="751"/>
      <c r="AA25" s="751"/>
      <c r="AB25" s="567"/>
      <c r="AC25" s="1549"/>
      <c r="AD25" s="567"/>
      <c r="AY25" s="1655">
        <v>23</v>
      </c>
    </row>
    <row customHeight="1" ht="24">
      <c r="A26" s="2078"/>
      <c r="B26" s="2077" t="s">
        <v>760</v>
      </c>
      <c r="C26" s="2077" t="s">
        <v>761</v>
      </c>
      <c r="D26" s="2076" t="s">
        <v>715</v>
      </c>
      <c r="E26" s="2080" t="s">
        <v>726</v>
      </c>
      <c r="F26" s="2080" t="s">
        <v>726</v>
      </c>
      <c r="H26" s="2045"/>
      <c r="I26" s="1688">
        <v>7</v>
      </c>
      <c r="J26" s="2046" t="s">
        <v>761</v>
      </c>
      <c r="K26" s="2042" t="s">
        <v>762</v>
      </c>
      <c r="L26" s="751"/>
      <c r="M26" s="581"/>
      <c r="N26" s="751"/>
      <c r="O26" s="751"/>
      <c r="P26" s="751"/>
      <c r="Q26" s="751"/>
      <c r="R26" s="751"/>
      <c r="S26" s="751"/>
      <c r="T26" s="751"/>
      <c r="U26" s="751"/>
      <c r="V26" s="751"/>
      <c r="W26" s="751"/>
      <c r="X26" s="751"/>
      <c r="Y26" s="751"/>
      <c r="Z26" s="751"/>
      <c r="AA26" s="751"/>
      <c r="AB26" s="567"/>
      <c r="AC26" s="1549"/>
      <c r="AD26" s="567"/>
      <c r="AY26" s="1655">
        <v>23</v>
      </c>
    </row>
    <row customHeight="1" ht="24">
      <c r="A27" s="2078"/>
      <c r="B27" s="2077" t="s">
        <v>763</v>
      </c>
      <c r="C27" s="2077" t="s">
        <v>764</v>
      </c>
      <c r="D27" s="2076" t="s">
        <v>715</v>
      </c>
      <c r="E27" s="2080" t="s">
        <v>726</v>
      </c>
      <c r="F27" s="2080" t="s">
        <v>726</v>
      </c>
      <c r="H27" s="2045"/>
      <c r="I27" s="1688">
        <v>8</v>
      </c>
      <c r="J27" s="2046" t="s">
        <v>764</v>
      </c>
      <c r="K27" s="2042" t="s">
        <v>673</v>
      </c>
      <c r="L27" s="751"/>
      <c r="M27" s="581"/>
      <c r="N27" s="751"/>
      <c r="O27" s="751"/>
      <c r="P27" s="751"/>
      <c r="Q27" s="751"/>
      <c r="R27" s="751"/>
      <c r="S27" s="751"/>
      <c r="T27" s="751"/>
      <c r="U27" s="751"/>
      <c r="V27" s="751"/>
      <c r="W27" s="751"/>
      <c r="X27" s="751"/>
      <c r="Y27" s="751"/>
      <c r="Z27" s="751"/>
      <c r="AA27" s="751"/>
      <c r="AB27" s="567"/>
      <c r="AC27" s="1549"/>
      <c r="AD27" s="567"/>
      <c r="AY27" s="1655">
        <v>23</v>
      </c>
    </row>
    <row customHeight="1" ht="35.699999999999996">
      <c r="A28" s="2078"/>
      <c r="B28" s="2077" t="s">
        <v>765</v>
      </c>
      <c r="C28" s="2077" t="s">
        <v>766</v>
      </c>
      <c r="D28" s="2076" t="s">
        <v>715</v>
      </c>
      <c r="E28" s="2080" t="s">
        <v>726</v>
      </c>
      <c r="F28" s="2080" t="s">
        <v>726</v>
      </c>
      <c r="H28" s="2045"/>
      <c r="I28" s="1699">
        <v>9</v>
      </c>
      <c r="J28" s="2046" t="s">
        <v>767</v>
      </c>
      <c r="K28" s="2042" t="s">
        <v>644</v>
      </c>
      <c r="L28" s="751"/>
      <c r="M28" s="581"/>
      <c r="N28" s="751"/>
      <c r="O28" s="751"/>
      <c r="P28" s="751"/>
      <c r="Q28" s="751"/>
      <c r="R28" s="751"/>
      <c r="S28" s="751"/>
      <c r="T28" s="751"/>
      <c r="U28" s="751"/>
      <c r="V28" s="751"/>
      <c r="W28" s="751"/>
      <c r="X28" s="751"/>
      <c r="Y28" s="751"/>
      <c r="Z28" s="751"/>
      <c r="AA28" s="751"/>
      <c r="AB28" s="567"/>
      <c r="AC28" s="1549"/>
      <c r="AD28" s="567"/>
      <c r="AY28" s="1655">
        <v>34</v>
      </c>
    </row>
    <row customHeight="1" ht="35.699999999999996">
      <c r="A29" s="2078"/>
      <c r="B29" s="2077" t="s">
        <v>768</v>
      </c>
      <c r="C29" s="2077" t="s">
        <v>769</v>
      </c>
      <c r="D29" s="2076" t="s">
        <v>715</v>
      </c>
      <c r="E29" s="2080" t="s">
        <v>726</v>
      </c>
      <c r="F29" s="2080" t="s">
        <v>726</v>
      </c>
      <c r="H29" s="2045"/>
      <c r="I29" s="1699">
        <v>10</v>
      </c>
      <c r="J29" s="2046" t="s">
        <v>770</v>
      </c>
      <c r="K29" s="2042" t="s">
        <v>644</v>
      </c>
      <c r="L29" s="751"/>
      <c r="M29" s="581"/>
      <c r="N29" s="751"/>
      <c r="O29" s="751"/>
      <c r="P29" s="751"/>
      <c r="Q29" s="751"/>
      <c r="R29" s="751"/>
      <c r="S29" s="751"/>
      <c r="T29" s="751"/>
      <c r="U29" s="751"/>
      <c r="V29" s="751"/>
      <c r="W29" s="751"/>
      <c r="X29" s="751"/>
      <c r="Y29" s="751"/>
      <c r="Z29" s="751"/>
      <c r="AA29" s="751"/>
      <c r="AB29" s="567"/>
      <c r="AC29" s="1549"/>
      <c r="AD29" s="567"/>
      <c r="AY29" s="1655">
        <v>34</v>
      </c>
    </row>
    <row customHeight="1" ht="24">
      <c r="A30" s="2078"/>
      <c r="B30" s="2077" t="s">
        <v>771</v>
      </c>
      <c r="C30" s="2077" t="s">
        <v>772</v>
      </c>
      <c r="D30" s="2076" t="s">
        <v>715</v>
      </c>
      <c r="E30" s="2080" t="s">
        <v>726</v>
      </c>
      <c r="F30" s="2080" t="s">
        <v>726</v>
      </c>
      <c r="H30" s="2045"/>
      <c r="I30" s="1699">
        <v>11</v>
      </c>
      <c r="J30" s="2046" t="s">
        <v>772</v>
      </c>
      <c r="K30" s="2042" t="s">
        <v>674</v>
      </c>
      <c r="L30" s="2093"/>
      <c r="M30" s="1645"/>
      <c r="N30" s="2093"/>
      <c r="O30" s="2093"/>
      <c r="P30" s="2093"/>
      <c r="Q30" s="2093"/>
      <c r="R30" s="2093"/>
      <c r="S30" s="2093"/>
      <c r="T30" s="2093"/>
      <c r="U30" s="2093"/>
      <c r="V30" s="2093"/>
      <c r="W30" s="2093"/>
      <c r="X30" s="2093"/>
      <c r="Y30" s="2093"/>
      <c r="Z30" s="2093"/>
      <c r="AA30" s="2093"/>
      <c r="AB30" s="567"/>
      <c r="AC30" s="1549"/>
      <c r="AD30" s="567"/>
      <c r="AY30" s="1655">
        <v>23</v>
      </c>
    </row>
    <row customHeight="1" ht="24">
      <c r="A31" s="2078"/>
      <c r="B31" s="2077" t="s">
        <v>773</v>
      </c>
      <c r="C31" s="2077" t="s">
        <v>774</v>
      </c>
      <c r="D31" s="2076" t="s">
        <v>715</v>
      </c>
      <c r="E31" s="2080" t="s">
        <v>726</v>
      </c>
      <c r="F31" s="2080" t="s">
        <v>726</v>
      </c>
      <c r="H31" s="2045"/>
      <c r="I31" s="1699">
        <v>12</v>
      </c>
      <c r="J31" s="2046" t="s">
        <v>774</v>
      </c>
      <c r="K31" s="2042" t="s">
        <v>674</v>
      </c>
      <c r="L31" s="2093"/>
      <c r="M31" s="1645"/>
      <c r="N31" s="2093"/>
      <c r="O31" s="2093"/>
      <c r="P31" s="2093"/>
      <c r="Q31" s="2093"/>
      <c r="R31" s="2093"/>
      <c r="S31" s="2093"/>
      <c r="T31" s="2093"/>
      <c r="U31" s="2093"/>
      <c r="V31" s="2093"/>
      <c r="W31" s="2093"/>
      <c r="X31" s="2093"/>
      <c r="Y31" s="2093"/>
      <c r="Z31" s="2093"/>
      <c r="AA31" s="2093"/>
      <c r="AB31" s="567"/>
      <c r="AC31" s="1549"/>
      <c r="AD31" s="567"/>
      <c r="AY31" s="1655">
        <v>23</v>
      </c>
    </row>
    <row customHeight="1" ht="48.29999999999999">
      <c r="A32" s="2078"/>
      <c r="B32" s="2077" t="s">
        <v>775</v>
      </c>
      <c r="C32" s="2077" t="s">
        <v>776</v>
      </c>
      <c r="D32" s="2076" t="s">
        <v>715</v>
      </c>
      <c r="E32" s="2080" t="s">
        <v>726</v>
      </c>
      <c r="F32" s="2080" t="s">
        <v>726</v>
      </c>
      <c r="H32" s="2045"/>
      <c r="I32" s="1699">
        <v>13</v>
      </c>
      <c r="J32" s="2046" t="s">
        <v>777</v>
      </c>
      <c r="K32" s="2042" t="s">
        <v>684</v>
      </c>
      <c r="L32" s="751"/>
      <c r="M32" s="581"/>
      <c r="N32" s="751"/>
      <c r="O32" s="751"/>
      <c r="P32" s="751"/>
      <c r="Q32" s="751"/>
      <c r="R32" s="751"/>
      <c r="S32" s="751"/>
      <c r="T32" s="751"/>
      <c r="U32" s="751"/>
      <c r="V32" s="751"/>
      <c r="W32" s="751"/>
      <c r="X32" s="751"/>
      <c r="Y32" s="751"/>
      <c r="Z32" s="751"/>
      <c r="AA32" s="751"/>
      <c r="AB32" s="567"/>
      <c r="AC32" s="1549" t="s">
        <v>737</v>
      </c>
      <c r="AD32" s="567"/>
      <c r="AY32" s="1655">
        <v>46</v>
      </c>
    </row>
    <row s="1390" customFormat="1" customHeight="1" ht="48.29999999999999">
      <c r="A33" s="2078"/>
      <c r="B33" s="2077" t="s">
        <v>778</v>
      </c>
      <c r="C33" s="2077" t="s">
        <v>779</v>
      </c>
      <c r="D33" s="2076" t="s">
        <v>715</v>
      </c>
      <c r="E33" s="2080" t="s">
        <v>726</v>
      </c>
      <c r="F33" s="2080" t="s">
        <v>726</v>
      </c>
      <c r="G33" s="1660"/>
      <c r="H33" s="2045"/>
      <c r="I33" s="1699">
        <v>14</v>
      </c>
      <c r="J33" s="2058" t="s">
        <v>780</v>
      </c>
      <c r="K33" s="2047" t="s">
        <v>781</v>
      </c>
      <c r="L33" s="751"/>
      <c r="M33" s="581"/>
      <c r="N33" s="751"/>
      <c r="O33" s="751"/>
      <c r="P33" s="751"/>
      <c r="Q33" s="751"/>
      <c r="R33" s="751"/>
      <c r="S33" s="751"/>
      <c r="T33" s="751"/>
      <c r="U33" s="751"/>
      <c r="V33" s="751"/>
      <c r="W33" s="751"/>
      <c r="X33" s="751"/>
      <c r="Y33" s="751"/>
      <c r="Z33" s="751"/>
      <c r="AA33" s="751"/>
      <c r="AB33" s="567"/>
      <c r="AC33" s="1549" t="s">
        <v>737</v>
      </c>
      <c r="AD33" s="567"/>
      <c r="AE33" s="1660"/>
      <c r="AF33" s="1660"/>
      <c r="AK33" s="1660"/>
      <c r="AN33" s="568"/>
      <c r="AT33" s="1656"/>
      <c r="AU33" s="1656"/>
      <c r="AV33" s="1656"/>
      <c r="AW33" s="1656"/>
      <c r="AX33" s="1656"/>
      <c r="AY33" s="1390">
        <v>46</v>
      </c>
    </row>
    <row customHeight="1" ht="108">
      <c r="A34" s="2078"/>
      <c r="B34" s="2077" t="s">
        <v>782</v>
      </c>
      <c r="C34" s="2077" t="s">
        <v>783</v>
      </c>
      <c r="D34" s="2076" t="s">
        <v>725</v>
      </c>
      <c r="E34" s="2080" t="s">
        <v>726</v>
      </c>
      <c r="F34" s="2080" t="s">
        <v>726</v>
      </c>
      <c r="G34" s="1660" t="s">
        <v>672</v>
      </c>
      <c r="H34" s="2045"/>
      <c r="I34" s="2056">
        <v>15</v>
      </c>
      <c r="J34" s="2057" t="s">
        <v>784</v>
      </c>
      <c r="K34" s="2042" t="s">
        <v>390</v>
      </c>
      <c r="L34" s="409"/>
      <c r="M34" s="1188"/>
      <c r="N34" s="409"/>
      <c r="O34" s="409"/>
      <c r="P34" s="409"/>
      <c r="Q34" s="409"/>
      <c r="R34" s="409"/>
      <c r="S34" s="409"/>
      <c r="T34" s="409"/>
      <c r="U34" s="409"/>
      <c r="V34" s="409"/>
      <c r="W34" s="409"/>
      <c r="X34" s="409"/>
      <c r="Y34" s="409"/>
      <c r="Z34" s="409"/>
      <c r="AA34" s="409"/>
      <c r="AB34" s="567"/>
      <c r="AC34" s="1549" t="s">
        <v>729</v>
      </c>
      <c r="AD34" s="567"/>
      <c r="AY34" s="1655">
        <v>103</v>
      </c>
    </row>
    <row s="1665" customFormat="1" customHeight="1" ht="11.549999999999999">
      <c r="A35" s="1011"/>
      <c r="B35" s="1011"/>
      <c r="C35" s="1011"/>
      <c r="D35" s="1011"/>
      <c r="E35" s="1011"/>
      <c r="F35" s="1660"/>
      <c r="G35" s="1660"/>
      <c r="H35" s="375"/>
      <c r="N35" s="1665"/>
      <c r="O35" s="1665"/>
      <c r="P35" s="1665"/>
      <c r="Q35" s="1665"/>
      <c r="R35" s="1665"/>
      <c r="S35" s="1665"/>
      <c r="T35" s="1665"/>
      <c r="U35" s="1665"/>
      <c r="V35" s="1665"/>
      <c r="W35" s="1665"/>
      <c r="X35" s="1665"/>
      <c r="Y35" s="1665"/>
      <c r="Z35" s="1665"/>
      <c r="AA35" s="1665"/>
      <c r="AB35" s="1390"/>
      <c r="AD35" s="1390"/>
      <c r="AE35" s="1660"/>
      <c r="AF35" s="1660"/>
      <c r="AG35" s="1390"/>
      <c r="AH35" s="1390"/>
      <c r="AI35" s="1390"/>
      <c r="AJ35" s="1390"/>
      <c r="AK35" s="1660"/>
      <c r="AL35" s="1390"/>
      <c r="AM35" s="1390"/>
      <c r="AN35" s="568"/>
      <c r="AO35" s="1390"/>
      <c r="AP35" s="1390"/>
      <c r="AQ35" s="1390"/>
      <c r="AR35" s="1390"/>
      <c r="AS35" s="1390"/>
      <c r="AT35" s="1656"/>
      <c r="AU35" s="646"/>
      <c r="AV35" s="646"/>
      <c r="AW35" s="646"/>
      <c r="AX35" s="646"/>
      <c r="AY35" s="1665">
        <v>11</v>
      </c>
    </row>
    <row s="1665" customFormat="1" customHeight="1" ht="11.549999999999999">
      <c r="A36" s="1011"/>
      <c r="B36" s="1011"/>
      <c r="C36" s="1011"/>
      <c r="D36" s="1011"/>
      <c r="E36" s="1011"/>
      <c r="F36" s="1660"/>
      <c r="G36" s="1660"/>
      <c r="H36" s="375"/>
      <c r="N36" s="1665"/>
      <c r="O36" s="1665"/>
      <c r="P36" s="1665"/>
      <c r="Q36" s="1665"/>
      <c r="R36" s="1665"/>
      <c r="S36" s="1665"/>
      <c r="T36" s="1665"/>
      <c r="U36" s="1665"/>
      <c r="V36" s="1665"/>
      <c r="W36" s="1665"/>
      <c r="X36" s="1665"/>
      <c r="Y36" s="1665"/>
      <c r="Z36" s="1665"/>
      <c r="AA36" s="1665"/>
      <c r="AB36" s="1390"/>
      <c r="AD36" s="1390"/>
      <c r="AE36" s="1660"/>
      <c r="AF36" s="1660"/>
      <c r="AG36" s="1390"/>
      <c r="AH36" s="1390"/>
      <c r="AI36" s="1390"/>
      <c r="AJ36" s="1390"/>
      <c r="AK36" s="1660"/>
      <c r="AL36" s="1390"/>
      <c r="AM36" s="1390"/>
      <c r="AN36" s="568"/>
      <c r="AO36" s="1390"/>
      <c r="AP36" s="1390"/>
      <c r="AQ36" s="1390"/>
      <c r="AR36" s="1390"/>
      <c r="AS36" s="1390"/>
      <c r="AT36" s="1656"/>
      <c r="AU36" s="646"/>
      <c r="AV36" s="646"/>
      <c r="AW36" s="646"/>
      <c r="AX36" s="646"/>
      <c r="AY36" s="1665">
        <v>11</v>
      </c>
    </row>
    <row s="1665" customFormat="1" customHeight="1" ht="11.549999999999999">
      <c r="A37" s="1011"/>
      <c r="B37" s="1011"/>
      <c r="C37" s="1011"/>
      <c r="D37" s="1011"/>
      <c r="E37" s="1011"/>
      <c r="F37" s="1660"/>
      <c r="G37" s="1660"/>
      <c r="H37" s="375"/>
      <c r="L37" s="646"/>
      <c r="M37" s="646"/>
      <c r="N37" s="646"/>
      <c r="O37" s="646"/>
      <c r="P37" s="646"/>
      <c r="Q37" s="646"/>
      <c r="R37" s="646"/>
      <c r="S37" s="646"/>
      <c r="T37" s="646"/>
      <c r="U37" s="646"/>
      <c r="V37" s="646"/>
      <c r="W37" s="646"/>
      <c r="X37" s="646"/>
      <c r="Y37" s="646"/>
      <c r="Z37" s="646"/>
      <c r="AA37" s="646"/>
      <c r="AB37" s="1390"/>
      <c r="AD37" s="1390"/>
      <c r="AE37" s="1660"/>
      <c r="AF37" s="1660"/>
      <c r="AG37" s="1390"/>
      <c r="AH37" s="1390"/>
      <c r="AI37" s="1390"/>
      <c r="AJ37" s="1390"/>
      <c r="AK37" s="1660"/>
      <c r="AL37" s="1390"/>
      <c r="AM37" s="1390"/>
      <c r="AN37" s="568"/>
      <c r="AO37" s="1390"/>
      <c r="AP37" s="1390"/>
      <c r="AQ37" s="1390"/>
      <c r="AR37" s="1390"/>
      <c r="AS37" s="1390"/>
      <c r="AT37" s="1656"/>
      <c r="AU37" s="646"/>
      <c r="AV37" s="646"/>
      <c r="AW37" s="646"/>
      <c r="AX37" s="646"/>
      <c r="AY37" s="1665">
        <v>11</v>
      </c>
    </row>
    <row s="1665" customFormat="1" customHeight="1" ht="11.549999999999999">
      <c r="A38" s="1011"/>
      <c r="B38" s="1011"/>
      <c r="C38" s="1011"/>
      <c r="D38" s="1011"/>
      <c r="E38" s="1011"/>
      <c r="F38" s="1660"/>
      <c r="G38" s="1660"/>
      <c r="H38" s="375"/>
      <c r="N38" s="1665"/>
      <c r="O38" s="1665"/>
      <c r="P38" s="1665"/>
      <c r="Q38" s="1665"/>
      <c r="R38" s="1665"/>
      <c r="S38" s="1665"/>
      <c r="T38" s="1665"/>
      <c r="U38" s="1665"/>
      <c r="V38" s="1665"/>
      <c r="W38" s="1665"/>
      <c r="X38" s="1665"/>
      <c r="Y38" s="1665"/>
      <c r="Z38" s="1665"/>
      <c r="AA38" s="1665"/>
      <c r="AB38" s="1390"/>
      <c r="AD38" s="1390"/>
      <c r="AE38" s="1660"/>
      <c r="AF38" s="1660"/>
      <c r="AG38" s="1390"/>
      <c r="AH38" s="1390"/>
      <c r="AI38" s="1390"/>
      <c r="AJ38" s="1390"/>
      <c r="AK38" s="1660"/>
      <c r="AL38" s="1390"/>
      <c r="AM38" s="1390"/>
      <c r="AN38" s="568"/>
      <c r="AO38" s="1390"/>
      <c r="AP38" s="1390"/>
      <c r="AQ38" s="1390"/>
      <c r="AR38" s="1390"/>
      <c r="AS38" s="1390"/>
      <c r="AT38" s="1656"/>
      <c r="AU38" s="646"/>
      <c r="AV38" s="646"/>
      <c r="AW38" s="646"/>
      <c r="AX38" s="646"/>
      <c r="AY38" s="1665">
        <v>11</v>
      </c>
    </row>
    <row s="1665" customFormat="1" customHeight="1" ht="11.549999999999999">
      <c r="A39" s="1011"/>
      <c r="B39" s="1011"/>
      <c r="C39" s="1011"/>
      <c r="D39" s="1011"/>
      <c r="E39" s="1011"/>
      <c r="F39" s="1660"/>
      <c r="G39" s="1660"/>
      <c r="H39" s="375"/>
      <c r="N39" s="1665"/>
      <c r="O39" s="1665"/>
      <c r="P39" s="1665"/>
      <c r="Q39" s="1665"/>
      <c r="R39" s="1665"/>
      <c r="S39" s="1665"/>
      <c r="T39" s="1665"/>
      <c r="U39" s="1665"/>
      <c r="V39" s="1665"/>
      <c r="W39" s="1665"/>
      <c r="X39" s="1665"/>
      <c r="Y39" s="1665"/>
      <c r="Z39" s="1665"/>
      <c r="AA39" s="1665"/>
      <c r="AB39" s="1390"/>
      <c r="AD39" s="1390"/>
      <c r="AE39" s="1660"/>
      <c r="AF39" s="1660"/>
      <c r="AG39" s="1390"/>
      <c r="AH39" s="1390"/>
      <c r="AI39" s="1390"/>
      <c r="AJ39" s="1390"/>
      <c r="AK39" s="1660"/>
      <c r="AL39" s="1390"/>
      <c r="AM39" s="1390"/>
      <c r="AN39" s="568"/>
      <c r="AO39" s="1390"/>
      <c r="AP39" s="1390"/>
      <c r="AQ39" s="1390"/>
      <c r="AR39" s="1390"/>
      <c r="AS39" s="1390"/>
      <c r="AT39" s="1656"/>
      <c r="AU39" s="646"/>
      <c r="AV39" s="646"/>
      <c r="AW39" s="646"/>
      <c r="AX39" s="646"/>
      <c r="AY39" s="1665">
        <v>11</v>
      </c>
    </row>
    <row s="1665" customFormat="1" customHeight="1" ht="11.549999999999999">
      <c r="A40" s="1011"/>
      <c r="B40" s="1011"/>
      <c r="C40" s="1011"/>
      <c r="D40" s="1011"/>
      <c r="E40" s="1011"/>
      <c r="F40" s="1660"/>
      <c r="G40" s="1660"/>
      <c r="H40" s="375"/>
      <c r="N40" s="1665"/>
      <c r="O40" s="1665"/>
      <c r="P40" s="1665"/>
      <c r="Q40" s="1665"/>
      <c r="R40" s="1665"/>
      <c r="S40" s="1665"/>
      <c r="T40" s="1665"/>
      <c r="U40" s="1665"/>
      <c r="V40" s="1665"/>
      <c r="W40" s="1665"/>
      <c r="X40" s="1665"/>
      <c r="Y40" s="1665"/>
      <c r="Z40" s="1665"/>
      <c r="AA40" s="1665"/>
      <c r="AB40" s="1390"/>
      <c r="AD40" s="1390"/>
      <c r="AE40" s="1660"/>
      <c r="AF40" s="1660"/>
      <c r="AG40" s="1390"/>
      <c r="AH40" s="1390"/>
      <c r="AI40" s="1390"/>
      <c r="AJ40" s="1390"/>
      <c r="AK40" s="1660"/>
      <c r="AL40" s="1390"/>
      <c r="AM40" s="1390"/>
      <c r="AN40" s="568"/>
      <c r="AO40" s="1390"/>
      <c r="AP40" s="1390"/>
      <c r="AQ40" s="1390"/>
      <c r="AR40" s="1390"/>
      <c r="AS40" s="1390"/>
      <c r="AT40" s="1656"/>
      <c r="AU40" s="646"/>
      <c r="AV40" s="646"/>
      <c r="AW40" s="646"/>
      <c r="AX40" s="646"/>
      <c r="AY40" s="1665">
        <v>11</v>
      </c>
    </row>
    <row s="1665" customFormat="1" customHeight="1" ht="11.549999999999999">
      <c r="A41" s="1011"/>
      <c r="B41" s="1011"/>
      <c r="C41" s="1011"/>
      <c r="D41" s="1011"/>
      <c r="E41" s="1011"/>
      <c r="F41" s="1660"/>
      <c r="G41" s="1660"/>
      <c r="H41" s="375"/>
      <c r="N41" s="1665"/>
      <c r="O41" s="1665"/>
      <c r="P41" s="1665"/>
      <c r="Q41" s="1665"/>
      <c r="R41" s="1665"/>
      <c r="S41" s="1665"/>
      <c r="T41" s="1665"/>
      <c r="U41" s="1665"/>
      <c r="V41" s="1665"/>
      <c r="W41" s="1665"/>
      <c r="X41" s="1665"/>
      <c r="Y41" s="1665"/>
      <c r="Z41" s="1665"/>
      <c r="AA41" s="1665"/>
      <c r="AB41" s="1390"/>
      <c r="AD41" s="1390"/>
      <c r="AE41" s="1660"/>
      <c r="AF41" s="1660"/>
      <c r="AG41" s="1390"/>
      <c r="AH41" s="1390"/>
      <c r="AI41" s="1390"/>
      <c r="AJ41" s="1390"/>
      <c r="AK41" s="1660"/>
      <c r="AL41" s="1390"/>
      <c r="AM41" s="1390"/>
      <c r="AN41" s="568"/>
      <c r="AO41" s="1390"/>
      <c r="AP41" s="1390"/>
      <c r="AQ41" s="1390"/>
      <c r="AR41" s="1390"/>
      <c r="AS41" s="1390"/>
      <c r="AT41" s="1656"/>
      <c r="AU41" s="646"/>
      <c r="AV41" s="646"/>
      <c r="AW41" s="646"/>
      <c r="AX41" s="646"/>
      <c r="AY41" s="1665">
        <v>11</v>
      </c>
    </row>
    <row s="1665" customFormat="1" customHeight="1" ht="11.549999999999999">
      <c r="A42" s="1011"/>
      <c r="B42" s="1011"/>
      <c r="C42" s="1011"/>
      <c r="D42" s="1011"/>
      <c r="E42" s="1011"/>
      <c r="F42" s="1660"/>
      <c r="G42" s="1660"/>
      <c r="H42" s="375"/>
      <c r="N42" s="1665"/>
      <c r="O42" s="1665"/>
      <c r="P42" s="1665"/>
      <c r="Q42" s="1665"/>
      <c r="R42" s="1665"/>
      <c r="S42" s="1665"/>
      <c r="T42" s="1665"/>
      <c r="U42" s="1665"/>
      <c r="V42" s="1665"/>
      <c r="W42" s="1665"/>
      <c r="X42" s="1665"/>
      <c r="Y42" s="1665"/>
      <c r="Z42" s="1665"/>
      <c r="AA42" s="1665"/>
      <c r="AB42" s="1390"/>
      <c r="AD42" s="1390"/>
      <c r="AE42" s="1660"/>
      <c r="AF42" s="1660"/>
      <c r="AG42" s="1390"/>
      <c r="AH42" s="1390"/>
      <c r="AI42" s="1390"/>
      <c r="AJ42" s="1390"/>
      <c r="AK42" s="1660"/>
      <c r="AL42" s="1390"/>
      <c r="AM42" s="1390"/>
      <c r="AN42" s="568"/>
      <c r="AO42" s="1390"/>
      <c r="AP42" s="1390"/>
      <c r="AQ42" s="1390"/>
      <c r="AR42" s="1390"/>
      <c r="AS42" s="1390"/>
      <c r="AT42" s="1656"/>
      <c r="AU42" s="646"/>
      <c r="AV42" s="646"/>
      <c r="AW42" s="646"/>
      <c r="AX42" s="646"/>
      <c r="AY42" s="1665">
        <v>11</v>
      </c>
    </row>
    <row s="1665" customFormat="1" customHeight="1" ht="11.549999999999999">
      <c r="A43" s="1011"/>
      <c r="B43" s="1011"/>
      <c r="C43" s="1011"/>
      <c r="D43" s="1011"/>
      <c r="E43" s="1011"/>
      <c r="F43" s="1660"/>
      <c r="G43" s="1660"/>
      <c r="H43" s="375"/>
      <c r="N43" s="1665"/>
      <c r="O43" s="1665"/>
      <c r="P43" s="1665"/>
      <c r="Q43" s="1665"/>
      <c r="R43" s="1665"/>
      <c r="S43" s="1665"/>
      <c r="T43" s="1665"/>
      <c r="U43" s="1665"/>
      <c r="V43" s="1665"/>
      <c r="W43" s="1665"/>
      <c r="X43" s="1665"/>
      <c r="Y43" s="1665"/>
      <c r="Z43" s="1665"/>
      <c r="AA43" s="1665"/>
      <c r="AB43" s="1390"/>
      <c r="AD43" s="1390"/>
      <c r="AE43" s="1660"/>
      <c r="AF43" s="1660"/>
      <c r="AG43" s="1390"/>
      <c r="AH43" s="1390"/>
      <c r="AI43" s="1390"/>
      <c r="AJ43" s="1390"/>
      <c r="AK43" s="1660"/>
      <c r="AL43" s="1390"/>
      <c r="AM43" s="1390"/>
      <c r="AN43" s="568"/>
      <c r="AO43" s="1390"/>
      <c r="AP43" s="1390"/>
      <c r="AQ43" s="1390"/>
      <c r="AR43" s="1390"/>
      <c r="AS43" s="1390"/>
      <c r="AT43" s="1656"/>
      <c r="AU43" s="646"/>
      <c r="AV43" s="646"/>
      <c r="AW43" s="646"/>
      <c r="AX43" s="646"/>
      <c r="AY43" s="1665">
        <v>11</v>
      </c>
    </row>
    <row s="1665" customFormat="1" customHeight="1" ht="11.549999999999999">
      <c r="A44" s="1011"/>
      <c r="B44" s="1011"/>
      <c r="C44" s="1011"/>
      <c r="D44" s="1011"/>
      <c r="E44" s="1011"/>
      <c r="F44" s="1660"/>
      <c r="G44" s="1660"/>
      <c r="H44" s="375"/>
      <c r="N44" s="1665"/>
      <c r="O44" s="1665"/>
      <c r="P44" s="1665"/>
      <c r="Q44" s="1665"/>
      <c r="R44" s="1665"/>
      <c r="S44" s="1665"/>
      <c r="T44" s="1665"/>
      <c r="U44" s="1665"/>
      <c r="V44" s="1665"/>
      <c r="W44" s="1665"/>
      <c r="X44" s="1665"/>
      <c r="Y44" s="1665"/>
      <c r="Z44" s="1665"/>
      <c r="AA44" s="1665"/>
      <c r="AB44" s="1390"/>
      <c r="AD44" s="1390"/>
      <c r="AE44" s="1660"/>
      <c r="AF44" s="1660"/>
      <c r="AG44" s="1390"/>
      <c r="AH44" s="1390"/>
      <c r="AI44" s="1390"/>
      <c r="AJ44" s="1390"/>
      <c r="AK44" s="1660"/>
      <c r="AL44" s="1390"/>
      <c r="AM44" s="1390"/>
      <c r="AN44" s="568"/>
      <c r="AO44" s="1390"/>
      <c r="AP44" s="1390"/>
      <c r="AQ44" s="1390"/>
      <c r="AR44" s="1390"/>
      <c r="AS44" s="1390"/>
      <c r="AT44" s="1656"/>
      <c r="AU44" s="646"/>
      <c r="AV44" s="646"/>
      <c r="AW44" s="646"/>
      <c r="AX44" s="646"/>
      <c r="AY44" s="1665">
        <v>11</v>
      </c>
    </row>
    <row s="1665" customFormat="1" customHeight="1" ht="11.549999999999999">
      <c r="A45" s="1011"/>
      <c r="B45" s="1011"/>
      <c r="C45" s="1011"/>
      <c r="D45" s="1011"/>
      <c r="E45" s="1011"/>
      <c r="F45" s="1660"/>
      <c r="G45" s="1660"/>
      <c r="H45" s="375"/>
      <c r="N45" s="1665"/>
      <c r="O45" s="1665"/>
      <c r="P45" s="1665"/>
      <c r="Q45" s="1665"/>
      <c r="R45" s="1665"/>
      <c r="S45" s="1665"/>
      <c r="T45" s="1665"/>
      <c r="U45" s="1665"/>
      <c r="V45" s="1665"/>
      <c r="W45" s="1665"/>
      <c r="X45" s="1665"/>
      <c r="Y45" s="1665"/>
      <c r="Z45" s="1665"/>
      <c r="AA45" s="1665"/>
      <c r="AB45" s="1390"/>
      <c r="AD45" s="1390"/>
      <c r="AE45" s="1660"/>
      <c r="AF45" s="1660"/>
      <c r="AG45" s="1390"/>
      <c r="AH45" s="1390"/>
      <c r="AI45" s="1390"/>
      <c r="AJ45" s="1390"/>
      <c r="AK45" s="1660"/>
      <c r="AL45" s="1390"/>
      <c r="AM45" s="1390"/>
      <c r="AN45" s="568"/>
      <c r="AO45" s="1390"/>
      <c r="AP45" s="1390"/>
      <c r="AQ45" s="1390"/>
      <c r="AR45" s="1390"/>
      <c r="AS45" s="1390"/>
      <c r="AT45" s="1656"/>
      <c r="AU45" s="646"/>
      <c r="AV45" s="646"/>
      <c r="AW45" s="646"/>
      <c r="AX45" s="646"/>
      <c r="AY45" s="1665">
        <v>11</v>
      </c>
    </row>
    <row s="1665" customFormat="1" customHeight="1" ht="11.549999999999999">
      <c r="A46" s="1011"/>
      <c r="B46" s="1011"/>
      <c r="C46" s="1011"/>
      <c r="D46" s="1011"/>
      <c r="E46" s="1011"/>
      <c r="F46" s="1660"/>
      <c r="G46" s="1660"/>
      <c r="H46" s="375"/>
      <c r="N46" s="1665"/>
      <c r="O46" s="1665"/>
      <c r="P46" s="1665"/>
      <c r="Q46" s="1665"/>
      <c r="R46" s="1665"/>
      <c r="S46" s="1665"/>
      <c r="T46" s="1665"/>
      <c r="U46" s="1665"/>
      <c r="V46" s="1665"/>
      <c r="W46" s="1665"/>
      <c r="X46" s="1665"/>
      <c r="Y46" s="1665"/>
      <c r="Z46" s="1665"/>
      <c r="AA46" s="1665"/>
      <c r="AB46" s="1390"/>
      <c r="AD46" s="1390"/>
      <c r="AE46" s="1660"/>
      <c r="AF46" s="1660"/>
      <c r="AG46" s="1390"/>
      <c r="AH46" s="1390"/>
      <c r="AI46" s="1390"/>
      <c r="AJ46" s="1390"/>
      <c r="AK46" s="1660"/>
      <c r="AL46" s="1390"/>
      <c r="AM46" s="1390"/>
      <c r="AN46" s="568"/>
      <c r="AO46" s="1390"/>
      <c r="AP46" s="1390"/>
      <c r="AQ46" s="1390"/>
      <c r="AR46" s="1390"/>
      <c r="AS46" s="1390"/>
      <c r="AT46" s="1656"/>
      <c r="AU46" s="646"/>
      <c r="AV46" s="646"/>
      <c r="AW46" s="646"/>
      <c r="AX46" s="646"/>
      <c r="AY46" s="1665">
        <v>11</v>
      </c>
    </row>
    <row s="1665" customFormat="1" customHeight="1" ht="11.549999999999999">
      <c r="A47" s="1011"/>
      <c r="B47" s="1011"/>
      <c r="C47" s="1011"/>
      <c r="D47" s="1011"/>
      <c r="E47" s="1011"/>
      <c r="F47" s="1660"/>
      <c r="G47" s="1660"/>
      <c r="H47" s="375"/>
      <c r="N47" s="1665"/>
      <c r="O47" s="1665"/>
      <c r="P47" s="1665"/>
      <c r="Q47" s="1665"/>
      <c r="R47" s="1665"/>
      <c r="S47" s="1665"/>
      <c r="T47" s="1665"/>
      <c r="U47" s="1665"/>
      <c r="V47" s="1665"/>
      <c r="W47" s="1665"/>
      <c r="X47" s="1665"/>
      <c r="Y47" s="1665"/>
      <c r="Z47" s="1665"/>
      <c r="AA47" s="1665"/>
      <c r="AB47" s="1390"/>
      <c r="AD47" s="1390"/>
      <c r="AE47" s="1660"/>
      <c r="AF47" s="1660"/>
      <c r="AG47" s="1390"/>
      <c r="AH47" s="1390"/>
      <c r="AI47" s="1390"/>
      <c r="AJ47" s="1390"/>
      <c r="AK47" s="1660"/>
      <c r="AL47" s="1390"/>
      <c r="AM47" s="1390"/>
      <c r="AN47" s="568"/>
      <c r="AO47" s="1390"/>
      <c r="AP47" s="1390"/>
      <c r="AQ47" s="1390"/>
      <c r="AR47" s="1390"/>
      <c r="AS47" s="1390"/>
      <c r="AT47" s="1656"/>
      <c r="AU47" s="646"/>
      <c r="AV47" s="646"/>
      <c r="AW47" s="646"/>
      <c r="AX47" s="646"/>
      <c r="AY47" s="1665">
        <v>11</v>
      </c>
    </row>
    <row s="1665" customFormat="1" customHeight="1" ht="11.549999999999999">
      <c r="A48" s="1011"/>
      <c r="B48" s="1011"/>
      <c r="C48" s="1011"/>
      <c r="D48" s="1011"/>
      <c r="E48" s="1011"/>
      <c r="F48" s="1660"/>
      <c r="G48" s="1660"/>
      <c r="H48" s="375"/>
      <c r="N48" s="1665"/>
      <c r="O48" s="1665"/>
      <c r="P48" s="1665"/>
      <c r="Q48" s="1665"/>
      <c r="R48" s="1665"/>
      <c r="S48" s="1665"/>
      <c r="T48" s="1665"/>
      <c r="U48" s="1665"/>
      <c r="V48" s="1665"/>
      <c r="W48" s="1665"/>
      <c r="X48" s="1665"/>
      <c r="Y48" s="1665"/>
      <c r="Z48" s="1665"/>
      <c r="AA48" s="1665"/>
      <c r="AB48" s="1390"/>
      <c r="AD48" s="1390"/>
      <c r="AE48" s="1660"/>
      <c r="AF48" s="1660"/>
      <c r="AG48" s="1390"/>
      <c r="AH48" s="1390"/>
      <c r="AI48" s="1390"/>
      <c r="AJ48" s="1390"/>
      <c r="AK48" s="1660"/>
      <c r="AL48" s="1390"/>
      <c r="AM48" s="1390"/>
      <c r="AN48" s="568"/>
      <c r="AO48" s="1390"/>
      <c r="AP48" s="1390"/>
      <c r="AQ48" s="1390"/>
      <c r="AR48" s="1390"/>
      <c r="AS48" s="1390"/>
      <c r="AT48" s="1656"/>
      <c r="AU48" s="646"/>
      <c r="AV48" s="646"/>
      <c r="AW48" s="646"/>
      <c r="AX48" s="646"/>
      <c r="AY48" s="1665">
        <v>11</v>
      </c>
    </row>
    <row s="1665" customFormat="1" customHeight="1" ht="11.549999999999999">
      <c r="A49" s="1011"/>
      <c r="B49" s="1011"/>
      <c r="C49" s="1011"/>
      <c r="D49" s="1011"/>
      <c r="E49" s="1011"/>
      <c r="F49" s="1660"/>
      <c r="G49" s="1660"/>
      <c r="H49" s="375"/>
      <c r="N49" s="1665"/>
      <c r="O49" s="1665"/>
      <c r="P49" s="1665"/>
      <c r="Q49" s="1665"/>
      <c r="R49" s="1665"/>
      <c r="S49" s="1665"/>
      <c r="T49" s="1665"/>
      <c r="U49" s="1665"/>
      <c r="V49" s="1665"/>
      <c r="W49" s="1665"/>
      <c r="X49" s="1665"/>
      <c r="Y49" s="1665"/>
      <c r="Z49" s="1665"/>
      <c r="AA49" s="1665"/>
      <c r="AB49" s="1390"/>
      <c r="AD49" s="1390"/>
      <c r="AE49" s="1660"/>
      <c r="AF49" s="1660"/>
      <c r="AG49" s="1390"/>
      <c r="AH49" s="1390"/>
      <c r="AI49" s="1390"/>
      <c r="AJ49" s="1390"/>
      <c r="AK49" s="1660"/>
      <c r="AL49" s="1390"/>
      <c r="AM49" s="1390"/>
      <c r="AN49" s="568"/>
      <c r="AO49" s="1390"/>
      <c r="AP49" s="1390"/>
      <c r="AQ49" s="1390"/>
      <c r="AR49" s="1390"/>
      <c r="AS49" s="1390"/>
      <c r="AT49" s="1656"/>
      <c r="AU49" s="646"/>
      <c r="AV49" s="646"/>
      <c r="AW49" s="646"/>
      <c r="AX49" s="646"/>
      <c r="AY49" s="1665">
        <v>11</v>
      </c>
    </row>
    <row s="1665" customFormat="1" customHeight="1" ht="11.549999999999999">
      <c r="A50" s="1011"/>
      <c r="B50" s="1011"/>
      <c r="C50" s="1011"/>
      <c r="D50" s="1011"/>
      <c r="E50" s="1011"/>
      <c r="F50" s="1660"/>
      <c r="G50" s="1660"/>
      <c r="H50" s="375"/>
      <c r="N50" s="1665"/>
      <c r="O50" s="1665"/>
      <c r="P50" s="1665"/>
      <c r="Q50" s="1665"/>
      <c r="R50" s="1665"/>
      <c r="S50" s="1665"/>
      <c r="T50" s="1665"/>
      <c r="U50" s="1665"/>
      <c r="V50" s="1665"/>
      <c r="W50" s="1665"/>
      <c r="X50" s="1665"/>
      <c r="Y50" s="1665"/>
      <c r="Z50" s="1665"/>
      <c r="AA50" s="1665"/>
      <c r="AB50" s="1390"/>
      <c r="AD50" s="1390"/>
      <c r="AE50" s="1660"/>
      <c r="AF50" s="1660"/>
      <c r="AG50" s="1390"/>
      <c r="AH50" s="1390"/>
      <c r="AI50" s="1390"/>
      <c r="AJ50" s="1390"/>
      <c r="AK50" s="1660"/>
      <c r="AL50" s="1390"/>
      <c r="AM50" s="1390"/>
      <c r="AN50" s="568"/>
      <c r="AO50" s="1390"/>
      <c r="AP50" s="1390"/>
      <c r="AQ50" s="1390"/>
      <c r="AR50" s="1390"/>
      <c r="AS50" s="1390"/>
      <c r="AT50" s="1656"/>
      <c r="AU50" s="646"/>
      <c r="AV50" s="646"/>
      <c r="AW50" s="646"/>
      <c r="AX50" s="646"/>
      <c r="AY50" s="1665">
        <v>11</v>
      </c>
    </row>
    <row s="1665" customFormat="1" customHeight="1" ht="11.549999999999999">
      <c r="A51" s="1011"/>
      <c r="B51" s="1011"/>
      <c r="C51" s="1011"/>
      <c r="D51" s="1011"/>
      <c r="E51" s="1011"/>
      <c r="F51" s="1660"/>
      <c r="G51" s="1660"/>
      <c r="H51" s="375"/>
      <c r="N51" s="1665"/>
      <c r="O51" s="1665"/>
      <c r="P51" s="1665"/>
      <c r="Q51" s="1665"/>
      <c r="R51" s="1665"/>
      <c r="S51" s="1665"/>
      <c r="T51" s="1665"/>
      <c r="U51" s="1665"/>
      <c r="V51" s="1665"/>
      <c r="W51" s="1665"/>
      <c r="X51" s="1665"/>
      <c r="Y51" s="1665"/>
      <c r="Z51" s="1665"/>
      <c r="AA51" s="1665"/>
      <c r="AB51" s="1390"/>
      <c r="AD51" s="1390"/>
      <c r="AE51" s="1660"/>
      <c r="AF51" s="1660"/>
      <c r="AG51" s="1390"/>
      <c r="AH51" s="1390"/>
      <c r="AI51" s="1390"/>
      <c r="AJ51" s="1390"/>
      <c r="AK51" s="1660"/>
      <c r="AL51" s="1390"/>
      <c r="AM51" s="1390"/>
      <c r="AN51" s="568"/>
      <c r="AO51" s="1390"/>
      <c r="AP51" s="1390"/>
      <c r="AQ51" s="1390"/>
      <c r="AR51" s="1390"/>
      <c r="AS51" s="1390"/>
      <c r="AT51" s="1656"/>
      <c r="AU51" s="646"/>
      <c r="AV51" s="646"/>
      <c r="AW51" s="646"/>
      <c r="AX51" s="646"/>
      <c r="AY51" s="1665">
        <v>11</v>
      </c>
    </row>
    <row s="1665" customFormat="1" customHeight="1" ht="11.549999999999999">
      <c r="A52" s="1011"/>
      <c r="B52" s="1011"/>
      <c r="C52" s="1011"/>
      <c r="D52" s="1011"/>
      <c r="E52" s="1011"/>
      <c r="F52" s="1660"/>
      <c r="G52" s="1660"/>
      <c r="H52" s="375"/>
      <c r="N52" s="1665"/>
      <c r="O52" s="1665"/>
      <c r="P52" s="1665"/>
      <c r="Q52" s="1665"/>
      <c r="R52" s="1665"/>
      <c r="S52" s="1665"/>
      <c r="T52" s="1665"/>
      <c r="U52" s="1665"/>
      <c r="V52" s="1665"/>
      <c r="W52" s="1665"/>
      <c r="X52" s="1665"/>
      <c r="Y52" s="1665"/>
      <c r="Z52" s="1665"/>
      <c r="AA52" s="1665"/>
      <c r="AB52" s="1390"/>
      <c r="AD52" s="1390"/>
      <c r="AE52" s="1660"/>
      <c r="AF52" s="1660"/>
      <c r="AG52" s="1390"/>
      <c r="AH52" s="1390"/>
      <c r="AI52" s="1390"/>
      <c r="AJ52" s="1390"/>
      <c r="AK52" s="1660"/>
      <c r="AL52" s="1390"/>
      <c r="AM52" s="1390"/>
      <c r="AN52" s="568"/>
      <c r="AO52" s="1390"/>
      <c r="AP52" s="1390"/>
      <c r="AQ52" s="1390"/>
      <c r="AR52" s="1390"/>
      <c r="AS52" s="1390"/>
      <c r="AT52" s="1656"/>
      <c r="AU52" s="646"/>
      <c r="AV52" s="646"/>
      <c r="AW52" s="646"/>
      <c r="AX52" s="646"/>
      <c r="AY52" s="1665">
        <v>11</v>
      </c>
    </row>
    <row s="1665" customFormat="1" customHeight="1" ht="11.549999999999999">
      <c r="A53" s="1011"/>
      <c r="B53" s="1011"/>
      <c r="C53" s="1011"/>
      <c r="D53" s="1011"/>
      <c r="E53" s="1011"/>
      <c r="F53" s="1660"/>
      <c r="G53" s="1660"/>
      <c r="H53" s="375"/>
      <c r="N53" s="1665"/>
      <c r="O53" s="1665"/>
      <c r="P53" s="1665"/>
      <c r="Q53" s="1665"/>
      <c r="R53" s="1665"/>
      <c r="S53" s="1665"/>
      <c r="T53" s="1665"/>
      <c r="U53" s="1665"/>
      <c r="V53" s="1665"/>
      <c r="W53" s="1665"/>
      <c r="X53" s="1665"/>
      <c r="Y53" s="1665"/>
      <c r="Z53" s="1665"/>
      <c r="AA53" s="1665"/>
      <c r="AB53" s="1390"/>
      <c r="AD53" s="1390"/>
      <c r="AE53" s="1660"/>
      <c r="AF53" s="1660"/>
      <c r="AG53" s="1390"/>
      <c r="AH53" s="1390"/>
      <c r="AI53" s="1390"/>
      <c r="AJ53" s="1390"/>
      <c r="AK53" s="1660"/>
      <c r="AL53" s="1390"/>
      <c r="AM53" s="1390"/>
      <c r="AN53" s="568"/>
      <c r="AO53" s="1390"/>
      <c r="AP53" s="1390"/>
      <c r="AQ53" s="1390"/>
      <c r="AR53" s="1390"/>
      <c r="AS53" s="1390"/>
      <c r="AT53" s="1656"/>
      <c r="AU53" s="646"/>
      <c r="AV53" s="646"/>
      <c r="AW53" s="646"/>
      <c r="AX53" s="646"/>
      <c r="AY53" s="1665">
        <v>11</v>
      </c>
    </row>
    <row s="1665" customFormat="1" customHeight="1" ht="11.549999999999999">
      <c r="A54" s="1011"/>
      <c r="B54" s="1011"/>
      <c r="C54" s="1011"/>
      <c r="D54" s="1011"/>
      <c r="E54" s="1011"/>
      <c r="F54" s="1660"/>
      <c r="G54" s="1660"/>
      <c r="H54" s="375"/>
      <c r="N54" s="1665"/>
      <c r="O54" s="1665"/>
      <c r="P54" s="1665"/>
      <c r="Q54" s="1665"/>
      <c r="R54" s="1665"/>
      <c r="S54" s="1665"/>
      <c r="T54" s="1665"/>
      <c r="U54" s="1665"/>
      <c r="V54" s="1665"/>
      <c r="W54" s="1665"/>
      <c r="X54" s="1665"/>
      <c r="Y54" s="1665"/>
      <c r="Z54" s="1665"/>
      <c r="AA54" s="1665"/>
      <c r="AB54" s="1390"/>
      <c r="AD54" s="1390"/>
      <c r="AE54" s="1660"/>
      <c r="AF54" s="1660"/>
      <c r="AG54" s="1390"/>
      <c r="AH54" s="1390"/>
      <c r="AI54" s="1390"/>
      <c r="AJ54" s="1390"/>
      <c r="AK54" s="1660"/>
      <c r="AL54" s="1390"/>
      <c r="AM54" s="1390"/>
      <c r="AN54" s="568"/>
      <c r="AO54" s="1390"/>
      <c r="AP54" s="1390"/>
      <c r="AQ54" s="1390"/>
      <c r="AR54" s="1390"/>
      <c r="AS54" s="1390"/>
      <c r="AT54" s="1656"/>
      <c r="AU54" s="646"/>
      <c r="AV54" s="646"/>
      <c r="AW54" s="646"/>
      <c r="AX54" s="646"/>
      <c r="AY54" s="1665">
        <v>11</v>
      </c>
    </row>
    <row s="1665" customFormat="1" customHeight="1" ht="11.549999999999999">
      <c r="A55" s="1011"/>
      <c r="B55" s="1011"/>
      <c r="C55" s="1011"/>
      <c r="D55" s="1011"/>
      <c r="E55" s="1011"/>
      <c r="F55" s="1660"/>
      <c r="G55" s="1660"/>
      <c r="H55" s="375"/>
      <c r="N55" s="1665"/>
      <c r="O55" s="1665"/>
      <c r="P55" s="1665"/>
      <c r="Q55" s="1665"/>
      <c r="R55" s="1665"/>
      <c r="S55" s="1665"/>
      <c r="T55" s="1665"/>
      <c r="U55" s="1665"/>
      <c r="V55" s="1665"/>
      <c r="W55" s="1665"/>
      <c r="X55" s="1665"/>
      <c r="Y55" s="1665"/>
      <c r="Z55" s="1665"/>
      <c r="AA55" s="1665"/>
      <c r="AB55" s="1390"/>
      <c r="AD55" s="1390"/>
      <c r="AE55" s="1660"/>
      <c r="AF55" s="1660"/>
      <c r="AG55" s="1390"/>
      <c r="AH55" s="1390"/>
      <c r="AI55" s="1390"/>
      <c r="AJ55" s="1390"/>
      <c r="AK55" s="1660"/>
      <c r="AL55" s="1390"/>
      <c r="AM55" s="1390"/>
      <c r="AN55" s="568"/>
      <c r="AO55" s="1390"/>
      <c r="AP55" s="1390"/>
      <c r="AQ55" s="1390"/>
      <c r="AR55" s="1390"/>
      <c r="AS55" s="1390"/>
      <c r="AT55" s="1656"/>
      <c r="AU55" s="646"/>
      <c r="AV55" s="646"/>
      <c r="AW55" s="646"/>
      <c r="AX55" s="646"/>
      <c r="AY55" s="1665">
        <v>11</v>
      </c>
    </row>
    <row s="1665" customFormat="1" customHeight="1" ht="11.549999999999999">
      <c r="A56" s="1011"/>
      <c r="B56" s="1011"/>
      <c r="C56" s="1011"/>
      <c r="D56" s="1011"/>
      <c r="E56" s="1011"/>
      <c r="F56" s="1660"/>
      <c r="G56" s="1660"/>
      <c r="H56" s="375"/>
      <c r="N56" s="1665"/>
      <c r="O56" s="1665"/>
      <c r="P56" s="1665"/>
      <c r="Q56" s="1665"/>
      <c r="R56" s="1665"/>
      <c r="S56" s="1665"/>
      <c r="T56" s="1665"/>
      <c r="U56" s="1665"/>
      <c r="V56" s="1665"/>
      <c r="W56" s="1665"/>
      <c r="X56" s="1665"/>
      <c r="Y56" s="1665"/>
      <c r="Z56" s="1665"/>
      <c r="AA56" s="1665"/>
      <c r="AB56" s="1390"/>
      <c r="AD56" s="1390"/>
      <c r="AE56" s="1660"/>
      <c r="AF56" s="1660"/>
      <c r="AG56" s="1390"/>
      <c r="AH56" s="1390"/>
      <c r="AI56" s="1390"/>
      <c r="AJ56" s="1390"/>
      <c r="AK56" s="1660"/>
      <c r="AL56" s="1390"/>
      <c r="AM56" s="1390"/>
      <c r="AN56" s="568"/>
      <c r="AO56" s="1390"/>
      <c r="AP56" s="1390"/>
      <c r="AQ56" s="1390"/>
      <c r="AR56" s="1390"/>
      <c r="AS56" s="1390"/>
      <c r="AT56" s="1656"/>
      <c r="AU56" s="646"/>
      <c r="AV56" s="646"/>
      <c r="AW56" s="646"/>
      <c r="AX56" s="646"/>
      <c r="AY56" s="1665">
        <v>11</v>
      </c>
    </row>
    <row s="1665" customFormat="1" customHeight="1" ht="11.549999999999999">
      <c r="A57" s="1011"/>
      <c r="B57" s="1011"/>
      <c r="C57" s="1011"/>
      <c r="D57" s="1011"/>
      <c r="E57" s="1011"/>
      <c r="F57" s="1660"/>
      <c r="G57" s="1660"/>
      <c r="H57" s="375"/>
      <c r="N57" s="1665"/>
      <c r="O57" s="1665"/>
      <c r="P57" s="1665"/>
      <c r="Q57" s="1665"/>
      <c r="R57" s="1665"/>
      <c r="S57" s="1665"/>
      <c r="T57" s="1665"/>
      <c r="U57" s="1665"/>
      <c r="V57" s="1665"/>
      <c r="W57" s="1665"/>
      <c r="X57" s="1665"/>
      <c r="Y57" s="1665"/>
      <c r="Z57" s="1665"/>
      <c r="AA57" s="1665"/>
      <c r="AB57" s="1390"/>
      <c r="AD57" s="1390"/>
      <c r="AE57" s="1660"/>
      <c r="AF57" s="1660"/>
      <c r="AG57" s="1390"/>
      <c r="AH57" s="1390"/>
      <c r="AI57" s="1390"/>
      <c r="AJ57" s="1390"/>
      <c r="AK57" s="1660"/>
      <c r="AL57" s="1390"/>
      <c r="AM57" s="1390"/>
      <c r="AN57" s="568"/>
      <c r="AO57" s="1390"/>
      <c r="AP57" s="1390"/>
      <c r="AQ57" s="1390"/>
      <c r="AR57" s="1390"/>
      <c r="AS57" s="1390"/>
      <c r="AT57" s="1656"/>
      <c r="AU57" s="646"/>
      <c r="AV57" s="646"/>
      <c r="AW57" s="646"/>
      <c r="AX57" s="646"/>
      <c r="AY57" s="1665">
        <v>11</v>
      </c>
    </row>
    <row s="1665" customFormat="1" customHeight="1" ht="11.549999999999999">
      <c r="A58" s="1011"/>
      <c r="B58" s="1011"/>
      <c r="C58" s="1011"/>
      <c r="D58" s="1011"/>
      <c r="E58" s="1011"/>
      <c r="F58" s="1660"/>
      <c r="G58" s="1660"/>
      <c r="H58" s="375"/>
      <c r="N58" s="1665"/>
      <c r="O58" s="1665"/>
      <c r="P58" s="1665"/>
      <c r="Q58" s="1665"/>
      <c r="R58" s="1665"/>
      <c r="S58" s="1665"/>
      <c r="T58" s="1665"/>
      <c r="U58" s="1665"/>
      <c r="V58" s="1665"/>
      <c r="W58" s="1665"/>
      <c r="X58" s="1665"/>
      <c r="Y58" s="1665"/>
      <c r="Z58" s="1665"/>
      <c r="AA58" s="1665"/>
      <c r="AB58" s="1390"/>
      <c r="AD58" s="1390"/>
      <c r="AE58" s="1660"/>
      <c r="AF58" s="1660"/>
      <c r="AG58" s="1390"/>
      <c r="AH58" s="1390"/>
      <c r="AI58" s="1390"/>
      <c r="AJ58" s="1390"/>
      <c r="AK58" s="1660"/>
      <c r="AL58" s="1390"/>
      <c r="AM58" s="1390"/>
      <c r="AN58" s="568"/>
      <c r="AO58" s="1390"/>
      <c r="AP58" s="1390"/>
      <c r="AQ58" s="1390"/>
      <c r="AR58" s="1390"/>
      <c r="AS58" s="1390"/>
      <c r="AT58" s="1656"/>
      <c r="AU58" s="646"/>
      <c r="AV58" s="646"/>
      <c r="AW58" s="646"/>
      <c r="AX58" s="646"/>
      <c r="AY58" s="1665">
        <v>11</v>
      </c>
    </row>
    <row s="1665" customFormat="1" customHeight="1" ht="11.549999999999999">
      <c r="A59" s="1011"/>
      <c r="B59" s="1011"/>
      <c r="C59" s="1011"/>
      <c r="D59" s="1011"/>
      <c r="E59" s="1011"/>
      <c r="F59" s="1660"/>
      <c r="G59" s="1660"/>
      <c r="H59" s="375"/>
      <c r="N59" s="1665"/>
      <c r="O59" s="1665"/>
      <c r="P59" s="1665"/>
      <c r="Q59" s="1665"/>
      <c r="R59" s="1665"/>
      <c r="S59" s="1665"/>
      <c r="T59" s="1665"/>
      <c r="U59" s="1665"/>
      <c r="V59" s="1665"/>
      <c r="W59" s="1665"/>
      <c r="X59" s="1665"/>
      <c r="Y59" s="1665"/>
      <c r="Z59" s="1665"/>
      <c r="AA59" s="1665"/>
      <c r="AB59" s="1390"/>
      <c r="AD59" s="1390"/>
      <c r="AE59" s="1660"/>
      <c r="AF59" s="1660"/>
      <c r="AG59" s="1390"/>
      <c r="AH59" s="1390"/>
      <c r="AI59" s="1390"/>
      <c r="AJ59" s="1390"/>
      <c r="AK59" s="1660"/>
      <c r="AL59" s="1390"/>
      <c r="AM59" s="1390"/>
      <c r="AN59" s="568"/>
      <c r="AO59" s="1390"/>
      <c r="AP59" s="1390"/>
      <c r="AQ59" s="1390"/>
      <c r="AR59" s="1390"/>
      <c r="AS59" s="1390"/>
      <c r="AT59" s="1656"/>
      <c r="AU59" s="646"/>
      <c r="AV59" s="646"/>
      <c r="AW59" s="646"/>
      <c r="AX59" s="646"/>
      <c r="AY59" s="1665">
        <v>11</v>
      </c>
    </row>
    <row s="1665" customFormat="1" customHeight="1" ht="11.549999999999999">
      <c r="A60" s="1011"/>
      <c r="B60" s="1011"/>
      <c r="C60" s="1011"/>
      <c r="D60" s="1011"/>
      <c r="E60" s="1011"/>
      <c r="F60" s="1660"/>
      <c r="G60" s="1660"/>
      <c r="H60" s="375"/>
      <c r="N60" s="1665"/>
      <c r="O60" s="1665"/>
      <c r="P60" s="1665"/>
      <c r="Q60" s="1665"/>
      <c r="R60" s="1665"/>
      <c r="S60" s="1665"/>
      <c r="T60" s="1665"/>
      <c r="U60" s="1665"/>
      <c r="V60" s="1665"/>
      <c r="W60" s="1665"/>
      <c r="X60" s="1665"/>
      <c r="Y60" s="1665"/>
      <c r="Z60" s="1665"/>
      <c r="AA60" s="1665"/>
      <c r="AB60" s="1390"/>
      <c r="AD60" s="1390"/>
      <c r="AE60" s="1660"/>
      <c r="AF60" s="1660"/>
      <c r="AG60" s="1390"/>
      <c r="AH60" s="1390"/>
      <c r="AI60" s="1390"/>
      <c r="AJ60" s="1390"/>
      <c r="AK60" s="1660"/>
      <c r="AL60" s="1390"/>
      <c r="AM60" s="1390"/>
      <c r="AN60" s="568"/>
      <c r="AO60" s="1390"/>
      <c r="AP60" s="1390"/>
      <c r="AQ60" s="1390"/>
      <c r="AR60" s="1390"/>
      <c r="AS60" s="1390"/>
      <c r="AT60" s="1656"/>
      <c r="AU60" s="646"/>
      <c r="AV60" s="646"/>
      <c r="AW60" s="646"/>
      <c r="AX60" s="646"/>
      <c r="AY60" s="1665">
        <v>11</v>
      </c>
    </row>
    <row s="1665" customFormat="1" customHeight="1" ht="11.549999999999999">
      <c r="A61" s="1011"/>
      <c r="B61" s="1011"/>
      <c r="C61" s="1011"/>
      <c r="D61" s="1011"/>
      <c r="E61" s="1011"/>
      <c r="F61" s="1660"/>
      <c r="G61" s="1660"/>
      <c r="H61" s="375"/>
      <c r="N61" s="1665"/>
      <c r="O61" s="1665"/>
      <c r="P61" s="1665"/>
      <c r="Q61" s="1665"/>
      <c r="R61" s="1665"/>
      <c r="S61" s="1665"/>
      <c r="T61" s="1665"/>
      <c r="U61" s="1665"/>
      <c r="V61" s="1665"/>
      <c r="W61" s="1665"/>
      <c r="X61" s="1665"/>
      <c r="Y61" s="1665"/>
      <c r="Z61" s="1665"/>
      <c r="AA61" s="1665"/>
      <c r="AB61" s="1390"/>
      <c r="AD61" s="1390"/>
      <c r="AE61" s="1660"/>
      <c r="AF61" s="1660"/>
      <c r="AG61" s="1390"/>
      <c r="AH61" s="1390"/>
      <c r="AI61" s="1390"/>
      <c r="AJ61" s="1390"/>
      <c r="AK61" s="1660"/>
      <c r="AL61" s="1390"/>
      <c r="AM61" s="1390"/>
      <c r="AN61" s="568"/>
      <c r="AO61" s="1390"/>
      <c r="AP61" s="1390"/>
      <c r="AQ61" s="1390"/>
      <c r="AR61" s="1390"/>
      <c r="AS61" s="1390"/>
      <c r="AT61" s="1656"/>
      <c r="AU61" s="646"/>
      <c r="AV61" s="646"/>
      <c r="AW61" s="646"/>
      <c r="AX61" s="646"/>
      <c r="AY61" s="1665">
        <v>11</v>
      </c>
    </row>
    <row s="1665" customFormat="1" customHeight="1" ht="11.549999999999999">
      <c r="A62" s="1011"/>
      <c r="B62" s="1011"/>
      <c r="C62" s="1011"/>
      <c r="D62" s="1011"/>
      <c r="E62" s="1011"/>
      <c r="F62" s="1660"/>
      <c r="G62" s="1660"/>
      <c r="H62" s="375"/>
      <c r="N62" s="1665"/>
      <c r="O62" s="1665"/>
      <c r="P62" s="1665"/>
      <c r="Q62" s="1665"/>
      <c r="R62" s="1665"/>
      <c r="S62" s="1665"/>
      <c r="T62" s="1665"/>
      <c r="U62" s="1665"/>
      <c r="V62" s="1665"/>
      <c r="W62" s="1665"/>
      <c r="X62" s="1665"/>
      <c r="Y62" s="1665"/>
      <c r="Z62" s="1665"/>
      <c r="AA62" s="1665"/>
      <c r="AB62" s="1390"/>
      <c r="AD62" s="1390"/>
      <c r="AE62" s="1660"/>
      <c r="AF62" s="1660"/>
      <c r="AG62" s="1390"/>
      <c r="AH62" s="1390"/>
      <c r="AI62" s="1390"/>
      <c r="AJ62" s="1390"/>
      <c r="AK62" s="1660"/>
      <c r="AL62" s="1390"/>
      <c r="AM62" s="1390"/>
      <c r="AN62" s="568"/>
      <c r="AO62" s="1390"/>
      <c r="AP62" s="1390"/>
      <c r="AQ62" s="1390"/>
      <c r="AR62" s="1390"/>
      <c r="AS62" s="1390"/>
      <c r="AT62" s="1656"/>
      <c r="AU62" s="646"/>
      <c r="AV62" s="646"/>
      <c r="AW62" s="646"/>
      <c r="AX62" s="646"/>
      <c r="AY62" s="1665">
        <v>11</v>
      </c>
    </row>
    <row s="1665" customFormat="1" customHeight="1" ht="11.549999999999999">
      <c r="A63" s="1011"/>
      <c r="B63" s="1011"/>
      <c r="C63" s="1011"/>
      <c r="D63" s="1011"/>
      <c r="E63" s="1011"/>
      <c r="F63" s="1660"/>
      <c r="G63" s="1660"/>
      <c r="H63" s="375"/>
      <c r="N63" s="1665"/>
      <c r="O63" s="1665"/>
      <c r="P63" s="1665"/>
      <c r="Q63" s="1665"/>
      <c r="R63" s="1665"/>
      <c r="S63" s="1665"/>
      <c r="T63" s="1665"/>
      <c r="U63" s="1665"/>
      <c r="V63" s="1665"/>
      <c r="W63" s="1665"/>
      <c r="X63" s="1665"/>
      <c r="Y63" s="1665"/>
      <c r="Z63" s="1665"/>
      <c r="AA63" s="1665"/>
      <c r="AB63" s="1390"/>
      <c r="AD63" s="1390"/>
      <c r="AE63" s="1660"/>
      <c r="AF63" s="1660"/>
      <c r="AG63" s="1390"/>
      <c r="AH63" s="1390"/>
      <c r="AI63" s="1390"/>
      <c r="AJ63" s="1390"/>
      <c r="AK63" s="1660"/>
      <c r="AL63" s="1390"/>
      <c r="AM63" s="1390"/>
      <c r="AN63" s="568"/>
      <c r="AO63" s="1390"/>
      <c r="AP63" s="1390"/>
      <c r="AQ63" s="1390"/>
      <c r="AR63" s="1390"/>
      <c r="AS63" s="1390"/>
      <c r="AT63" s="1656"/>
      <c r="AU63" s="646"/>
      <c r="AV63" s="646"/>
      <c r="AW63" s="646"/>
      <c r="AX63" s="646"/>
      <c r="AY63" s="1665">
        <v>11</v>
      </c>
    </row>
    <row s="1665" customFormat="1" customHeight="1" ht="11.549999999999999">
      <c r="A64" s="1011"/>
      <c r="B64" s="1011"/>
      <c r="C64" s="1011"/>
      <c r="D64" s="1011"/>
      <c r="E64" s="1011"/>
      <c r="F64" s="1660"/>
      <c r="G64" s="1660"/>
      <c r="H64" s="375"/>
      <c r="N64" s="1665"/>
      <c r="O64" s="1665"/>
      <c r="P64" s="1665"/>
      <c r="Q64" s="1665"/>
      <c r="R64" s="1665"/>
      <c r="S64" s="1665"/>
      <c r="T64" s="1665"/>
      <c r="U64" s="1665"/>
      <c r="V64" s="1665"/>
      <c r="W64" s="1665"/>
      <c r="X64" s="1665"/>
      <c r="Y64" s="1665"/>
      <c r="Z64" s="1665"/>
      <c r="AA64" s="1665"/>
      <c r="AB64" s="1390"/>
      <c r="AD64" s="1390"/>
      <c r="AE64" s="1660"/>
      <c r="AF64" s="1660"/>
      <c r="AG64" s="1390"/>
      <c r="AH64" s="1390"/>
      <c r="AI64" s="1390"/>
      <c r="AJ64" s="1390"/>
      <c r="AK64" s="1660"/>
      <c r="AL64" s="1390"/>
      <c r="AM64" s="1390"/>
      <c r="AN64" s="568"/>
      <c r="AO64" s="1390"/>
      <c r="AP64" s="1390"/>
      <c r="AQ64" s="1390"/>
      <c r="AR64" s="1390"/>
      <c r="AS64" s="1390"/>
      <c r="AT64" s="1656"/>
      <c r="AU64" s="646"/>
      <c r="AV64" s="646"/>
      <c r="AW64" s="646"/>
      <c r="AX64" s="646"/>
      <c r="AY64" s="1665">
        <v>11</v>
      </c>
    </row>
    <row s="1665" customFormat="1" customHeight="1" ht="11.549999999999999">
      <c r="A65" s="1011"/>
      <c r="B65" s="1011"/>
      <c r="C65" s="1011"/>
      <c r="D65" s="1011"/>
      <c r="E65" s="1011"/>
      <c r="F65" s="1660"/>
      <c r="G65" s="1660"/>
      <c r="H65" s="375"/>
      <c r="N65" s="1665"/>
      <c r="O65" s="1665"/>
      <c r="P65" s="1665"/>
      <c r="Q65" s="1665"/>
      <c r="R65" s="1665"/>
      <c r="S65" s="1665"/>
      <c r="T65" s="1665"/>
      <c r="U65" s="1665"/>
      <c r="V65" s="1665"/>
      <c r="W65" s="1665"/>
      <c r="X65" s="1665"/>
      <c r="Y65" s="1665"/>
      <c r="Z65" s="1665"/>
      <c r="AA65" s="1665"/>
      <c r="AB65" s="1390"/>
      <c r="AD65" s="1390"/>
      <c r="AE65" s="1660"/>
      <c r="AF65" s="1660"/>
      <c r="AG65" s="1390"/>
      <c r="AH65" s="1390"/>
      <c r="AI65" s="1390"/>
      <c r="AJ65" s="1390"/>
      <c r="AK65" s="1660"/>
      <c r="AL65" s="1390"/>
      <c r="AM65" s="1390"/>
      <c r="AN65" s="568"/>
      <c r="AO65" s="1390"/>
      <c r="AP65" s="1390"/>
      <c r="AQ65" s="1390"/>
      <c r="AR65" s="1390"/>
      <c r="AS65" s="1390"/>
      <c r="AT65" s="1656"/>
      <c r="AU65" s="646"/>
      <c r="AV65" s="646"/>
      <c r="AW65" s="646"/>
      <c r="AX65" s="646"/>
      <c r="AY65" s="1665">
        <v>11</v>
      </c>
    </row>
    <row s="1665" customFormat="1" customHeight="1" ht="11.549999999999999">
      <c r="A66" s="1011"/>
      <c r="B66" s="1011"/>
      <c r="C66" s="1011"/>
      <c r="D66" s="1011"/>
      <c r="E66" s="1011"/>
      <c r="F66" s="1660"/>
      <c r="G66" s="1660"/>
      <c r="H66" s="375"/>
      <c r="N66" s="1665"/>
      <c r="O66" s="1665"/>
      <c r="P66" s="1665"/>
      <c r="Q66" s="1665"/>
      <c r="R66" s="1665"/>
      <c r="S66" s="1665"/>
      <c r="T66" s="1665"/>
      <c r="U66" s="1665"/>
      <c r="V66" s="1665"/>
      <c r="W66" s="1665"/>
      <c r="X66" s="1665"/>
      <c r="Y66" s="1665"/>
      <c r="Z66" s="1665"/>
      <c r="AA66" s="1665"/>
      <c r="AB66" s="1390"/>
      <c r="AD66" s="1390"/>
      <c r="AE66" s="1660"/>
      <c r="AF66" s="1660"/>
      <c r="AG66" s="1390"/>
      <c r="AH66" s="1390"/>
      <c r="AI66" s="1390"/>
      <c r="AJ66" s="1390"/>
      <c r="AK66" s="1660"/>
      <c r="AL66" s="1390"/>
      <c r="AM66" s="1390"/>
      <c r="AN66" s="568"/>
      <c r="AO66" s="1390"/>
      <c r="AP66" s="1390"/>
      <c r="AQ66" s="1390"/>
      <c r="AR66" s="1390"/>
      <c r="AS66" s="1390"/>
      <c r="AT66" s="1656"/>
      <c r="AU66" s="646"/>
      <c r="AV66" s="646"/>
      <c r="AW66" s="646"/>
      <c r="AX66" s="646"/>
      <c r="AY66" s="1665">
        <v>11</v>
      </c>
    </row>
    <row s="1665" customFormat="1" customHeight="1" ht="11.549999999999999">
      <c r="A67" s="1011"/>
      <c r="B67" s="1011"/>
      <c r="C67" s="1011"/>
      <c r="D67" s="1011"/>
      <c r="E67" s="1011"/>
      <c r="F67" s="1660"/>
      <c r="G67" s="1660"/>
      <c r="H67" s="375"/>
      <c r="N67" s="1665"/>
      <c r="O67" s="1665"/>
      <c r="P67" s="1665"/>
      <c r="Q67" s="1665"/>
      <c r="R67" s="1665"/>
      <c r="S67" s="1665"/>
      <c r="T67" s="1665"/>
      <c r="U67" s="1665"/>
      <c r="V67" s="1665"/>
      <c r="W67" s="1665"/>
      <c r="X67" s="1665"/>
      <c r="Y67" s="1665"/>
      <c r="Z67" s="1665"/>
      <c r="AA67" s="1665"/>
      <c r="AB67" s="1390"/>
      <c r="AD67" s="1390"/>
      <c r="AE67" s="1660"/>
      <c r="AF67" s="1660"/>
      <c r="AG67" s="1390"/>
      <c r="AH67" s="1390"/>
      <c r="AI67" s="1390"/>
      <c r="AJ67" s="1390"/>
      <c r="AK67" s="1660"/>
      <c r="AL67" s="1390"/>
      <c r="AM67" s="1390"/>
      <c r="AN67" s="568"/>
      <c r="AO67" s="1390"/>
      <c r="AP67" s="1390"/>
      <c r="AQ67" s="1390"/>
      <c r="AR67" s="1390"/>
      <c r="AS67" s="1390"/>
      <c r="AT67" s="1656"/>
      <c r="AU67" s="646"/>
      <c r="AV67" s="646"/>
      <c r="AW67" s="646"/>
      <c r="AX67" s="646"/>
      <c r="AY67" s="1665">
        <v>11</v>
      </c>
    </row>
    <row s="1665" customFormat="1" customHeight="1" ht="11.549999999999999">
      <c r="A68" s="1011"/>
      <c r="B68" s="1011"/>
      <c r="C68" s="1011"/>
      <c r="D68" s="1011"/>
      <c r="E68" s="1011"/>
      <c r="F68" s="1660"/>
      <c r="G68" s="1660"/>
      <c r="H68" s="375"/>
      <c r="N68" s="1665"/>
      <c r="O68" s="1665"/>
      <c r="P68" s="1665"/>
      <c r="Q68" s="1665"/>
      <c r="R68" s="1665"/>
      <c r="S68" s="1665"/>
      <c r="T68" s="1665"/>
      <c r="U68" s="1665"/>
      <c r="V68" s="1665"/>
      <c r="W68" s="1665"/>
      <c r="X68" s="1665"/>
      <c r="Y68" s="1665"/>
      <c r="Z68" s="1665"/>
      <c r="AA68" s="1665"/>
      <c r="AB68" s="1390"/>
      <c r="AD68" s="1390"/>
      <c r="AE68" s="1660"/>
      <c r="AF68" s="1660"/>
      <c r="AG68" s="1390"/>
      <c r="AH68" s="1390"/>
      <c r="AI68" s="1390"/>
      <c r="AJ68" s="1390"/>
      <c r="AK68" s="1660"/>
      <c r="AL68" s="1390"/>
      <c r="AM68" s="1390"/>
      <c r="AN68" s="568"/>
      <c r="AO68" s="1390"/>
      <c r="AP68" s="1390"/>
      <c r="AQ68" s="1390"/>
      <c r="AR68" s="1390"/>
      <c r="AS68" s="1390"/>
      <c r="AT68" s="1656"/>
      <c r="AU68" s="646"/>
      <c r="AV68" s="646"/>
      <c r="AW68" s="646"/>
      <c r="AX68" s="646"/>
      <c r="AY68" s="1665">
        <v>11</v>
      </c>
    </row>
    <row s="1665" customFormat="1" customHeight="1" ht="11.549999999999999">
      <c r="A69" s="1011"/>
      <c r="B69" s="1011"/>
      <c r="C69" s="1011"/>
      <c r="D69" s="1011"/>
      <c r="E69" s="1011"/>
      <c r="F69" s="1660"/>
      <c r="G69" s="1660"/>
      <c r="H69" s="375"/>
      <c r="N69" s="1665"/>
      <c r="O69" s="1665"/>
      <c r="P69" s="1665"/>
      <c r="Q69" s="1665"/>
      <c r="R69" s="1665"/>
      <c r="S69" s="1665"/>
      <c r="T69" s="1665"/>
      <c r="U69" s="1665"/>
      <c r="V69" s="1665"/>
      <c r="W69" s="1665"/>
      <c r="X69" s="1665"/>
      <c r="Y69" s="1665"/>
      <c r="Z69" s="1665"/>
      <c r="AA69" s="1665"/>
      <c r="AB69" s="1390"/>
      <c r="AD69" s="1390"/>
      <c r="AE69" s="1660"/>
      <c r="AF69" s="1660"/>
      <c r="AG69" s="1390"/>
      <c r="AH69" s="1390"/>
      <c r="AI69" s="1390"/>
      <c r="AJ69" s="1390"/>
      <c r="AK69" s="1660"/>
      <c r="AL69" s="1390"/>
      <c r="AM69" s="1390"/>
      <c r="AN69" s="568"/>
      <c r="AO69" s="1390"/>
      <c r="AP69" s="1390"/>
      <c r="AQ69" s="1390"/>
      <c r="AR69" s="1390"/>
      <c r="AS69" s="1390"/>
      <c r="AT69" s="1656"/>
      <c r="AU69" s="646"/>
      <c r="AV69" s="646"/>
      <c r="AW69" s="646"/>
      <c r="AX69" s="646"/>
      <c r="AY69" s="1665">
        <v>11</v>
      </c>
    </row>
    <row s="1665" customFormat="1" customHeight="1" ht="11.549999999999999">
      <c r="A70" s="1011"/>
      <c r="B70" s="1011"/>
      <c r="C70" s="1011"/>
      <c r="D70" s="1011"/>
      <c r="E70" s="1011"/>
      <c r="F70" s="1660"/>
      <c r="G70" s="1660"/>
      <c r="H70" s="375"/>
      <c r="N70" s="1665"/>
      <c r="O70" s="1665"/>
      <c r="P70" s="1665"/>
      <c r="Q70" s="1665"/>
      <c r="R70" s="1665"/>
      <c r="S70" s="1665"/>
      <c r="T70" s="1665"/>
      <c r="U70" s="1665"/>
      <c r="V70" s="1665"/>
      <c r="W70" s="1665"/>
      <c r="X70" s="1665"/>
      <c r="Y70" s="1665"/>
      <c r="Z70" s="1665"/>
      <c r="AA70" s="1665"/>
      <c r="AB70" s="1390"/>
      <c r="AD70" s="1390"/>
      <c r="AE70" s="1660"/>
      <c r="AF70" s="1660"/>
      <c r="AG70" s="1390"/>
      <c r="AH70" s="1390"/>
      <c r="AI70" s="1390"/>
      <c r="AJ70" s="1390"/>
      <c r="AK70" s="1660"/>
      <c r="AL70" s="1390"/>
      <c r="AM70" s="1390"/>
      <c r="AN70" s="568"/>
      <c r="AO70" s="1390"/>
      <c r="AP70" s="1390"/>
      <c r="AQ70" s="1390"/>
      <c r="AR70" s="1390"/>
      <c r="AS70" s="1390"/>
      <c r="AT70" s="1656"/>
      <c r="AU70" s="646"/>
      <c r="AV70" s="646"/>
      <c r="AW70" s="646"/>
      <c r="AX70" s="646"/>
      <c r="AY70" s="1665">
        <v>11</v>
      </c>
    </row>
    <row s="1665" customFormat="1" customHeight="1" ht="11.549999999999999">
      <c r="A71" s="1011"/>
      <c r="B71" s="1011"/>
      <c r="C71" s="1011"/>
      <c r="D71" s="1011"/>
      <c r="E71" s="1011"/>
      <c r="F71" s="1660"/>
      <c r="G71" s="1660"/>
      <c r="H71" s="375"/>
      <c r="N71" s="1665"/>
      <c r="O71" s="1665"/>
      <c r="P71" s="1665"/>
      <c r="Q71" s="1665"/>
      <c r="R71" s="1665"/>
      <c r="S71" s="1665"/>
      <c r="T71" s="1665"/>
      <c r="U71" s="1665"/>
      <c r="V71" s="1665"/>
      <c r="W71" s="1665"/>
      <c r="X71" s="1665"/>
      <c r="Y71" s="1665"/>
      <c r="Z71" s="1665"/>
      <c r="AA71" s="1665"/>
      <c r="AB71" s="1390"/>
      <c r="AD71" s="1390"/>
      <c r="AE71" s="1660"/>
      <c r="AF71" s="1660"/>
      <c r="AG71" s="1390"/>
      <c r="AH71" s="1390"/>
      <c r="AI71" s="1390"/>
      <c r="AJ71" s="1390"/>
      <c r="AK71" s="1660"/>
      <c r="AL71" s="1390"/>
      <c r="AM71" s="1390"/>
      <c r="AN71" s="568"/>
      <c r="AO71" s="1390"/>
      <c r="AP71" s="1390"/>
      <c r="AQ71" s="1390"/>
      <c r="AR71" s="1390"/>
      <c r="AS71" s="1390"/>
      <c r="AT71" s="1656"/>
      <c r="AU71" s="646"/>
      <c r="AV71" s="646"/>
      <c r="AW71" s="646"/>
      <c r="AX71" s="646"/>
      <c r="AY71" s="1665">
        <v>11</v>
      </c>
    </row>
    <row s="1665" customFormat="1" customHeight="1" ht="11.549999999999999">
      <c r="A72" s="1011"/>
      <c r="B72" s="1011"/>
      <c r="C72" s="1011"/>
      <c r="D72" s="1011"/>
      <c r="E72" s="1011"/>
      <c r="F72" s="1660"/>
      <c r="G72" s="1660"/>
      <c r="H72" s="375"/>
      <c r="N72" s="1665"/>
      <c r="O72" s="1665"/>
      <c r="P72" s="1665"/>
      <c r="Q72" s="1665"/>
      <c r="R72" s="1665"/>
      <c r="S72" s="1665"/>
      <c r="T72" s="1665"/>
      <c r="U72" s="1665"/>
      <c r="V72" s="1665"/>
      <c r="W72" s="1665"/>
      <c r="X72" s="1665"/>
      <c r="Y72" s="1665"/>
      <c r="Z72" s="1665"/>
      <c r="AA72" s="1665"/>
      <c r="AB72" s="1390"/>
      <c r="AD72" s="1390"/>
      <c r="AE72" s="1660"/>
      <c r="AF72" s="1660"/>
      <c r="AG72" s="1390"/>
      <c r="AH72" s="1390"/>
      <c r="AI72" s="1390"/>
      <c r="AJ72" s="1390"/>
      <c r="AK72" s="1660"/>
      <c r="AL72" s="1390"/>
      <c r="AM72" s="1390"/>
      <c r="AN72" s="568"/>
      <c r="AO72" s="1390"/>
      <c r="AP72" s="1390"/>
      <c r="AQ72" s="1390"/>
      <c r="AR72" s="1390"/>
      <c r="AS72" s="1390"/>
      <c r="AT72" s="1656"/>
      <c r="AU72" s="646"/>
      <c r="AV72" s="646"/>
      <c r="AW72" s="646"/>
      <c r="AX72" s="646"/>
      <c r="AY72" s="1665">
        <v>11</v>
      </c>
    </row>
    <row s="1665" customFormat="1" customHeight="1" ht="11.549999999999999">
      <c r="A73" s="1011"/>
      <c r="B73" s="1011"/>
      <c r="C73" s="1011"/>
      <c r="D73" s="1011"/>
      <c r="E73" s="1011"/>
      <c r="F73" s="1660"/>
      <c r="G73" s="1660"/>
      <c r="H73" s="375"/>
      <c r="N73" s="1665"/>
      <c r="O73" s="1665"/>
      <c r="P73" s="1665"/>
      <c r="Q73" s="1665"/>
      <c r="R73" s="1665"/>
      <c r="S73" s="1665"/>
      <c r="T73" s="1665"/>
      <c r="U73" s="1665"/>
      <c r="V73" s="1665"/>
      <c r="W73" s="1665"/>
      <c r="X73" s="1665"/>
      <c r="Y73" s="1665"/>
      <c r="Z73" s="1665"/>
      <c r="AA73" s="1665"/>
      <c r="AB73" s="1390"/>
      <c r="AD73" s="1390"/>
      <c r="AE73" s="1660"/>
      <c r="AF73" s="1660"/>
      <c r="AG73" s="1390"/>
      <c r="AH73" s="1390"/>
      <c r="AI73" s="1390"/>
      <c r="AJ73" s="1390"/>
      <c r="AK73" s="1660"/>
      <c r="AL73" s="1390"/>
      <c r="AM73" s="1390"/>
      <c r="AN73" s="568"/>
      <c r="AO73" s="1390"/>
      <c r="AP73" s="1390"/>
      <c r="AQ73" s="1390"/>
      <c r="AR73" s="1390"/>
      <c r="AS73" s="1390"/>
      <c r="AT73" s="1656"/>
      <c r="AU73" s="646"/>
      <c r="AV73" s="646"/>
      <c r="AW73" s="646"/>
      <c r="AX73" s="646"/>
      <c r="AY73" s="1665">
        <v>11</v>
      </c>
    </row>
    <row s="1665" customFormat="1" customHeight="1" ht="11.549999999999999">
      <c r="A74" s="1011"/>
      <c r="B74" s="1011"/>
      <c r="C74" s="1011"/>
      <c r="D74" s="1011"/>
      <c r="E74" s="1011"/>
      <c r="F74" s="1660"/>
      <c r="G74" s="1660"/>
      <c r="H74" s="375"/>
      <c r="N74" s="1665"/>
      <c r="O74" s="1665"/>
      <c r="P74" s="1665"/>
      <c r="Q74" s="1665"/>
      <c r="R74" s="1665"/>
      <c r="S74" s="1665"/>
      <c r="T74" s="1665"/>
      <c r="U74" s="1665"/>
      <c r="V74" s="1665"/>
      <c r="W74" s="1665"/>
      <c r="X74" s="1665"/>
      <c r="Y74" s="1665"/>
      <c r="Z74" s="1665"/>
      <c r="AA74" s="1665"/>
      <c r="AB74" s="1390"/>
      <c r="AD74" s="1390"/>
      <c r="AE74" s="1660"/>
      <c r="AF74" s="1660"/>
      <c r="AG74" s="1390"/>
      <c r="AH74" s="1390"/>
      <c r="AI74" s="1390"/>
      <c r="AJ74" s="1390"/>
      <c r="AK74" s="1660"/>
      <c r="AL74" s="1390"/>
      <c r="AM74" s="1390"/>
      <c r="AN74" s="568"/>
      <c r="AO74" s="1390"/>
      <c r="AP74" s="1390"/>
      <c r="AQ74" s="1390"/>
      <c r="AR74" s="1390"/>
      <c r="AS74" s="1390"/>
      <c r="AT74" s="1656"/>
      <c r="AU74" s="646"/>
      <c r="AV74" s="646"/>
      <c r="AW74" s="646"/>
      <c r="AX74" s="646"/>
      <c r="AY74" s="1665">
        <v>11</v>
      </c>
    </row>
    <row s="1665" customFormat="1" customHeight="1" ht="11.549999999999999">
      <c r="A75" s="1011"/>
      <c r="B75" s="1011"/>
      <c r="C75" s="1011"/>
      <c r="D75" s="1011"/>
      <c r="E75" s="1011"/>
      <c r="F75" s="1660"/>
      <c r="G75" s="1660"/>
      <c r="H75" s="375"/>
      <c r="N75" s="1665"/>
      <c r="O75" s="1665"/>
      <c r="P75" s="1665"/>
      <c r="Q75" s="1665"/>
      <c r="R75" s="1665"/>
      <c r="S75" s="1665"/>
      <c r="T75" s="1665"/>
      <c r="U75" s="1665"/>
      <c r="V75" s="1665"/>
      <c r="W75" s="1665"/>
      <c r="X75" s="1665"/>
      <c r="Y75" s="1665"/>
      <c r="Z75" s="1665"/>
      <c r="AA75" s="1665"/>
      <c r="AB75" s="1390"/>
      <c r="AD75" s="1390"/>
      <c r="AE75" s="1660"/>
      <c r="AF75" s="1660"/>
      <c r="AG75" s="1390"/>
      <c r="AH75" s="1390"/>
      <c r="AI75" s="1390"/>
      <c r="AJ75" s="1390"/>
      <c r="AK75" s="1660"/>
      <c r="AL75" s="1390"/>
      <c r="AM75" s="1390"/>
      <c r="AN75" s="568"/>
      <c r="AO75" s="1390"/>
      <c r="AP75" s="1390"/>
      <c r="AQ75" s="1390"/>
      <c r="AR75" s="1390"/>
      <c r="AS75" s="1390"/>
      <c r="AT75" s="1656"/>
      <c r="AU75" s="646"/>
      <c r="AV75" s="646"/>
      <c r="AW75" s="646"/>
      <c r="AX75" s="646"/>
      <c r="AY75" s="1665">
        <v>11</v>
      </c>
    </row>
    <row s="1665" customFormat="1" customHeight="1" ht="11.549999999999999">
      <c r="A76" s="1011"/>
      <c r="B76" s="1011"/>
      <c r="C76" s="1011"/>
      <c r="D76" s="1011"/>
      <c r="E76" s="1011"/>
      <c r="F76" s="1660"/>
      <c r="G76" s="1660"/>
      <c r="H76" s="375"/>
      <c r="N76" s="1665"/>
      <c r="O76" s="1665"/>
      <c r="P76" s="1665"/>
      <c r="Q76" s="1665"/>
      <c r="R76" s="1665"/>
      <c r="S76" s="1665"/>
      <c r="T76" s="1665"/>
      <c r="U76" s="1665"/>
      <c r="V76" s="1665"/>
      <c r="W76" s="1665"/>
      <c r="X76" s="1665"/>
      <c r="Y76" s="1665"/>
      <c r="Z76" s="1665"/>
      <c r="AA76" s="1665"/>
      <c r="AB76" s="1390"/>
      <c r="AD76" s="1390"/>
      <c r="AE76" s="1660"/>
      <c r="AF76" s="1660"/>
      <c r="AG76" s="1390"/>
      <c r="AH76" s="1390"/>
      <c r="AI76" s="1390"/>
      <c r="AJ76" s="1390"/>
      <c r="AK76" s="1660"/>
      <c r="AL76" s="1390"/>
      <c r="AM76" s="1390"/>
      <c r="AN76" s="568"/>
      <c r="AO76" s="1390"/>
      <c r="AP76" s="1390"/>
      <c r="AQ76" s="1390"/>
      <c r="AR76" s="1390"/>
      <c r="AS76" s="1390"/>
      <c r="AT76" s="1656"/>
      <c r="AU76" s="646"/>
      <c r="AV76" s="646"/>
      <c r="AW76" s="646"/>
      <c r="AX76" s="646"/>
      <c r="AY76" s="1665">
        <v>11</v>
      </c>
    </row>
    <row s="1665" customFormat="1" customHeight="1" ht="11.549999999999999">
      <c r="A77" s="1011"/>
      <c r="B77" s="1011"/>
      <c r="C77" s="1011"/>
      <c r="D77" s="1011"/>
      <c r="E77" s="1011"/>
      <c r="F77" s="1660"/>
      <c r="G77" s="1660"/>
      <c r="H77" s="375"/>
      <c r="N77" s="1665"/>
      <c r="O77" s="1665"/>
      <c r="P77" s="1665"/>
      <c r="Q77" s="1665"/>
      <c r="R77" s="1665"/>
      <c r="S77" s="1665"/>
      <c r="T77" s="1665"/>
      <c r="U77" s="1665"/>
      <c r="V77" s="1665"/>
      <c r="W77" s="1665"/>
      <c r="X77" s="1665"/>
      <c r="Y77" s="1665"/>
      <c r="Z77" s="1665"/>
      <c r="AA77" s="1665"/>
      <c r="AB77" s="1390"/>
      <c r="AD77" s="1390"/>
      <c r="AE77" s="1660"/>
      <c r="AF77" s="1660"/>
      <c r="AG77" s="1390"/>
      <c r="AH77" s="1390"/>
      <c r="AI77" s="1390"/>
      <c r="AJ77" s="1390"/>
      <c r="AK77" s="1660"/>
      <c r="AL77" s="1390"/>
      <c r="AM77" s="1390"/>
      <c r="AN77" s="568"/>
      <c r="AO77" s="1390"/>
      <c r="AP77" s="1390"/>
      <c r="AQ77" s="1390"/>
      <c r="AR77" s="1390"/>
      <c r="AS77" s="1390"/>
      <c r="AT77" s="1656"/>
      <c r="AU77" s="646"/>
      <c r="AV77" s="646"/>
      <c r="AW77" s="646"/>
      <c r="AX77" s="646"/>
      <c r="AY77" s="1665">
        <v>11</v>
      </c>
    </row>
    <row s="1665" customFormat="1" customHeight="1" ht="11.549999999999999">
      <c r="A78" s="1011"/>
      <c r="B78" s="1011"/>
      <c r="C78" s="1011"/>
      <c r="D78" s="1011"/>
      <c r="E78" s="1011"/>
      <c r="F78" s="1660"/>
      <c r="G78" s="1660"/>
      <c r="H78" s="375"/>
      <c r="N78" s="1665"/>
      <c r="O78" s="1665"/>
      <c r="P78" s="1665"/>
      <c r="Q78" s="1665"/>
      <c r="R78" s="1665"/>
      <c r="S78" s="1665"/>
      <c r="T78" s="1665"/>
      <c r="U78" s="1665"/>
      <c r="V78" s="1665"/>
      <c r="W78" s="1665"/>
      <c r="X78" s="1665"/>
      <c r="Y78" s="1665"/>
      <c r="Z78" s="1665"/>
      <c r="AA78" s="1665"/>
      <c r="AB78" s="1390"/>
      <c r="AD78" s="1390"/>
      <c r="AE78" s="1660"/>
      <c r="AF78" s="1660"/>
      <c r="AG78" s="1390"/>
      <c r="AH78" s="1390"/>
      <c r="AI78" s="1390"/>
      <c r="AJ78" s="1390"/>
      <c r="AK78" s="1660"/>
      <c r="AL78" s="1390"/>
      <c r="AM78" s="1390"/>
      <c r="AN78" s="568"/>
      <c r="AO78" s="1390"/>
      <c r="AP78" s="1390"/>
      <c r="AQ78" s="1390"/>
      <c r="AR78" s="1390"/>
      <c r="AS78" s="1390"/>
      <c r="AT78" s="1656"/>
      <c r="AU78" s="646"/>
      <c r="AV78" s="646"/>
      <c r="AW78" s="646"/>
      <c r="AX78" s="646"/>
      <c r="AY78" s="1665">
        <v>11</v>
      </c>
    </row>
    <row s="1665" customFormat="1" customHeight="1" ht="11.549999999999999">
      <c r="A79" s="1011"/>
      <c r="B79" s="1011"/>
      <c r="C79" s="1011"/>
      <c r="D79" s="1011"/>
      <c r="E79" s="1011"/>
      <c r="F79" s="1660"/>
      <c r="G79" s="1660"/>
      <c r="H79" s="375"/>
      <c r="N79" s="1665"/>
      <c r="O79" s="1665"/>
      <c r="P79" s="1665"/>
      <c r="Q79" s="1665"/>
      <c r="R79" s="1665"/>
      <c r="S79" s="1665"/>
      <c r="T79" s="1665"/>
      <c r="U79" s="1665"/>
      <c r="V79" s="1665"/>
      <c r="W79" s="1665"/>
      <c r="X79" s="1665"/>
      <c r="Y79" s="1665"/>
      <c r="Z79" s="1665"/>
      <c r="AA79" s="1665"/>
      <c r="AB79" s="1390"/>
      <c r="AD79" s="1390"/>
      <c r="AE79" s="1660"/>
      <c r="AF79" s="1660"/>
      <c r="AG79" s="1390"/>
      <c r="AH79" s="1390"/>
      <c r="AI79" s="1390"/>
      <c r="AJ79" s="1390"/>
      <c r="AK79" s="1660"/>
      <c r="AL79" s="1390"/>
      <c r="AM79" s="1390"/>
      <c r="AN79" s="568"/>
      <c r="AO79" s="1390"/>
      <c r="AP79" s="1390"/>
      <c r="AQ79" s="1390"/>
      <c r="AR79" s="1390"/>
      <c r="AS79" s="1390"/>
      <c r="AT79" s="1656"/>
      <c r="AU79" s="646"/>
      <c r="AV79" s="646"/>
      <c r="AW79" s="646"/>
      <c r="AX79" s="646"/>
      <c r="AY79" s="1665">
        <v>11</v>
      </c>
    </row>
    <row s="1665" customFormat="1" customHeight="1" ht="11.549999999999999">
      <c r="A80" s="1011"/>
      <c r="B80" s="1011"/>
      <c r="C80" s="1011"/>
      <c r="D80" s="1011"/>
      <c r="E80" s="1011"/>
      <c r="F80" s="1660"/>
      <c r="G80" s="1660"/>
      <c r="H80" s="375"/>
      <c r="N80" s="1665"/>
      <c r="O80" s="1665"/>
      <c r="P80" s="1665"/>
      <c r="Q80" s="1665"/>
      <c r="R80" s="1665"/>
      <c r="S80" s="1665"/>
      <c r="T80" s="1665"/>
      <c r="U80" s="1665"/>
      <c r="V80" s="1665"/>
      <c r="W80" s="1665"/>
      <c r="X80" s="1665"/>
      <c r="Y80" s="1665"/>
      <c r="Z80" s="1665"/>
      <c r="AA80" s="1665"/>
      <c r="AB80" s="1390"/>
      <c r="AD80" s="1390"/>
      <c r="AE80" s="1660"/>
      <c r="AF80" s="1660"/>
      <c r="AG80" s="1390"/>
      <c r="AH80" s="1390"/>
      <c r="AI80" s="1390"/>
      <c r="AJ80" s="1390"/>
      <c r="AK80" s="1660"/>
      <c r="AL80" s="1390"/>
      <c r="AM80" s="1390"/>
      <c r="AN80" s="568"/>
      <c r="AO80" s="1390"/>
      <c r="AP80" s="1390"/>
      <c r="AQ80" s="1390"/>
      <c r="AR80" s="1390"/>
      <c r="AS80" s="1390"/>
      <c r="AT80" s="1656"/>
      <c r="AU80" s="646"/>
      <c r="AV80" s="646"/>
      <c r="AW80" s="646"/>
      <c r="AX80" s="646"/>
      <c r="AY80" s="1665">
        <v>11</v>
      </c>
    </row>
    <row s="1665" customFormat="1" customHeight="1" ht="11.549999999999999">
      <c r="A81" s="1011"/>
      <c r="B81" s="1011"/>
      <c r="C81" s="1011"/>
      <c r="D81" s="1011"/>
      <c r="E81" s="1011"/>
      <c r="F81" s="1660"/>
      <c r="G81" s="1660"/>
      <c r="H81" s="375"/>
      <c r="N81" s="1665"/>
      <c r="O81" s="1665"/>
      <c r="P81" s="1665"/>
      <c r="Q81" s="1665"/>
      <c r="R81" s="1665"/>
      <c r="S81" s="1665"/>
      <c r="T81" s="1665"/>
      <c r="U81" s="1665"/>
      <c r="V81" s="1665"/>
      <c r="W81" s="1665"/>
      <c r="X81" s="1665"/>
      <c r="Y81" s="1665"/>
      <c r="Z81" s="1665"/>
      <c r="AA81" s="1665"/>
      <c r="AB81" s="1390"/>
      <c r="AD81" s="1390"/>
      <c r="AE81" s="1660"/>
      <c r="AF81" s="1660"/>
      <c r="AG81" s="1390"/>
      <c r="AH81" s="1390"/>
      <c r="AI81" s="1390"/>
      <c r="AJ81" s="1390"/>
      <c r="AK81" s="1660"/>
      <c r="AL81" s="1390"/>
      <c r="AM81" s="1390"/>
      <c r="AN81" s="568"/>
      <c r="AO81" s="1390"/>
      <c r="AP81" s="1390"/>
      <c r="AQ81" s="1390"/>
      <c r="AR81" s="1390"/>
      <c r="AS81" s="1390"/>
      <c r="AT81" s="1656"/>
      <c r="AU81" s="646"/>
      <c r="AV81" s="646"/>
      <c r="AW81" s="646"/>
      <c r="AX81" s="646"/>
      <c r="AY81" s="1665">
        <v>11</v>
      </c>
    </row>
    <row s="1665" customFormat="1" customHeight="1" ht="11.549999999999999">
      <c r="A82" s="1011"/>
      <c r="B82" s="1011"/>
      <c r="C82" s="1011"/>
      <c r="D82" s="1011"/>
      <c r="E82" s="1011"/>
      <c r="F82" s="1660"/>
      <c r="G82" s="1660"/>
      <c r="H82" s="375"/>
      <c r="N82" s="1665"/>
      <c r="O82" s="1665"/>
      <c r="P82" s="1665"/>
      <c r="Q82" s="1665"/>
      <c r="R82" s="1665"/>
      <c r="S82" s="1665"/>
      <c r="T82" s="1665"/>
      <c r="U82" s="1665"/>
      <c r="V82" s="1665"/>
      <c r="W82" s="1665"/>
      <c r="X82" s="1665"/>
      <c r="Y82" s="1665"/>
      <c r="Z82" s="1665"/>
      <c r="AA82" s="1665"/>
      <c r="AB82" s="1390"/>
      <c r="AD82" s="1390"/>
      <c r="AE82" s="1660"/>
      <c r="AF82" s="1660"/>
      <c r="AG82" s="1390"/>
      <c r="AH82" s="1390"/>
      <c r="AI82" s="1390"/>
      <c r="AJ82" s="1390"/>
      <c r="AK82" s="1660"/>
      <c r="AL82" s="1390"/>
      <c r="AM82" s="1390"/>
      <c r="AN82" s="568"/>
      <c r="AO82" s="1390"/>
      <c r="AP82" s="1390"/>
      <c r="AQ82" s="1390"/>
      <c r="AR82" s="1390"/>
      <c r="AS82" s="1390"/>
      <c r="AT82" s="1656"/>
      <c r="AU82" s="646"/>
      <c r="AV82" s="646"/>
      <c r="AW82" s="646"/>
      <c r="AX82" s="646"/>
      <c r="AY82" s="1665">
        <v>11</v>
      </c>
    </row>
    <row s="1665" customFormat="1" customHeight="1" ht="11.549999999999999">
      <c r="A83" s="1011"/>
      <c r="B83" s="1011"/>
      <c r="C83" s="1011"/>
      <c r="D83" s="1011"/>
      <c r="E83" s="1011"/>
      <c r="F83" s="1660"/>
      <c r="G83" s="1660"/>
      <c r="H83" s="375"/>
      <c r="N83" s="1665"/>
      <c r="O83" s="1665"/>
      <c r="P83" s="1665"/>
      <c r="Q83" s="1665"/>
      <c r="R83" s="1665"/>
      <c r="S83" s="1665"/>
      <c r="T83" s="1665"/>
      <c r="U83" s="1665"/>
      <c r="V83" s="1665"/>
      <c r="W83" s="1665"/>
      <c r="X83" s="1665"/>
      <c r="Y83" s="1665"/>
      <c r="Z83" s="1665"/>
      <c r="AA83" s="1665"/>
      <c r="AB83" s="1390"/>
      <c r="AD83" s="1390"/>
      <c r="AE83" s="1660"/>
      <c r="AF83" s="1660"/>
      <c r="AG83" s="1390"/>
      <c r="AH83" s="1390"/>
      <c r="AI83" s="1390"/>
      <c r="AJ83" s="1390"/>
      <c r="AK83" s="1660"/>
      <c r="AL83" s="1390"/>
      <c r="AM83" s="1390"/>
      <c r="AN83" s="568"/>
      <c r="AO83" s="1390"/>
      <c r="AP83" s="1390"/>
      <c r="AQ83" s="1390"/>
      <c r="AR83" s="1390"/>
      <c r="AS83" s="1390"/>
      <c r="AT83" s="1656"/>
      <c r="AU83" s="646"/>
      <c r="AV83" s="646"/>
      <c r="AW83" s="646"/>
      <c r="AX83" s="646"/>
      <c r="AY83" s="1665">
        <v>11</v>
      </c>
    </row>
    <row s="1665" customFormat="1" customHeight="1" ht="11.549999999999999">
      <c r="A84" s="1011"/>
      <c r="B84" s="1011"/>
      <c r="C84" s="1011"/>
      <c r="D84" s="1011"/>
      <c r="E84" s="1011"/>
      <c r="F84" s="1660"/>
      <c r="G84" s="1660"/>
      <c r="H84" s="375"/>
      <c r="N84" s="1665"/>
      <c r="O84" s="1665"/>
      <c r="P84" s="1665"/>
      <c r="Q84" s="1665"/>
      <c r="R84" s="1665"/>
      <c r="S84" s="1665"/>
      <c r="T84" s="1665"/>
      <c r="U84" s="1665"/>
      <c r="V84" s="1665"/>
      <c r="W84" s="1665"/>
      <c r="X84" s="1665"/>
      <c r="Y84" s="1665"/>
      <c r="Z84" s="1665"/>
      <c r="AA84" s="1665"/>
      <c r="AB84" s="1390"/>
      <c r="AD84" s="1390"/>
      <c r="AE84" s="1660"/>
      <c r="AF84" s="1660"/>
      <c r="AG84" s="1390"/>
      <c r="AH84" s="1390"/>
      <c r="AI84" s="1390"/>
      <c r="AJ84" s="1390"/>
      <c r="AK84" s="1660"/>
      <c r="AL84" s="1390"/>
      <c r="AM84" s="1390"/>
      <c r="AN84" s="568"/>
      <c r="AO84" s="1390"/>
      <c r="AP84" s="1390"/>
      <c r="AQ84" s="1390"/>
      <c r="AR84" s="1390"/>
      <c r="AS84" s="1390"/>
      <c r="AT84" s="1656"/>
      <c r="AU84" s="646"/>
      <c r="AV84" s="646"/>
      <c r="AW84" s="646"/>
      <c r="AX84" s="646"/>
      <c r="AY84" s="1665">
        <v>11</v>
      </c>
    </row>
    <row s="1665" customFormat="1" customHeight="1" ht="11.549999999999999">
      <c r="A85" s="1011"/>
      <c r="B85" s="1011"/>
      <c r="C85" s="1011"/>
      <c r="D85" s="1011"/>
      <c r="E85" s="1011"/>
      <c r="F85" s="1660"/>
      <c r="G85" s="1660"/>
      <c r="H85" s="375"/>
      <c r="N85" s="1665"/>
      <c r="O85" s="1665"/>
      <c r="P85" s="1665"/>
      <c r="Q85" s="1665"/>
      <c r="R85" s="1665"/>
      <c r="S85" s="1665"/>
      <c r="T85" s="1665"/>
      <c r="U85" s="1665"/>
      <c r="V85" s="1665"/>
      <c r="W85" s="1665"/>
      <c r="X85" s="1665"/>
      <c r="Y85" s="1665"/>
      <c r="Z85" s="1665"/>
      <c r="AA85" s="1665"/>
      <c r="AB85" s="1390"/>
      <c r="AD85" s="1390"/>
      <c r="AE85" s="1660"/>
      <c r="AF85" s="1660"/>
      <c r="AG85" s="1390"/>
      <c r="AH85" s="1390"/>
      <c r="AI85" s="1390"/>
      <c r="AJ85" s="1390"/>
      <c r="AK85" s="1660"/>
      <c r="AL85" s="1390"/>
      <c r="AM85" s="1390"/>
      <c r="AN85" s="568"/>
      <c r="AO85" s="1390"/>
      <c r="AP85" s="1390"/>
      <c r="AQ85" s="1390"/>
      <c r="AR85" s="1390"/>
      <c r="AS85" s="1390"/>
      <c r="AT85" s="1656"/>
      <c r="AU85" s="646"/>
      <c r="AV85" s="646"/>
      <c r="AW85" s="646"/>
      <c r="AX85" s="646"/>
      <c r="AY85" s="1665">
        <v>11</v>
      </c>
    </row>
    <row s="1665" customFormat="1" customHeight="1" ht="11.549999999999999">
      <c r="A86" s="1011"/>
      <c r="B86" s="1011"/>
      <c r="C86" s="1011"/>
      <c r="D86" s="1011"/>
      <c r="E86" s="1011"/>
      <c r="F86" s="1660"/>
      <c r="G86" s="1660"/>
      <c r="H86" s="375"/>
      <c r="N86" s="1665"/>
      <c r="O86" s="1665"/>
      <c r="P86" s="1665"/>
      <c r="Q86" s="1665"/>
      <c r="R86" s="1665"/>
      <c r="S86" s="1665"/>
      <c r="T86" s="1665"/>
      <c r="U86" s="1665"/>
      <c r="V86" s="1665"/>
      <c r="W86" s="1665"/>
      <c r="X86" s="1665"/>
      <c r="Y86" s="1665"/>
      <c r="Z86" s="1665"/>
      <c r="AA86" s="1665"/>
      <c r="AB86" s="1390"/>
      <c r="AD86" s="1390"/>
      <c r="AE86" s="1660"/>
      <c r="AF86" s="1660"/>
      <c r="AG86" s="1390"/>
      <c r="AH86" s="1390"/>
      <c r="AI86" s="1390"/>
      <c r="AJ86" s="1390"/>
      <c r="AK86" s="1660"/>
      <c r="AL86" s="1390"/>
      <c r="AM86" s="1390"/>
      <c r="AN86" s="568"/>
      <c r="AO86" s="1390"/>
      <c r="AP86" s="1390"/>
      <c r="AQ86" s="1390"/>
      <c r="AR86" s="1390"/>
      <c r="AS86" s="1390"/>
      <c r="AT86" s="1656"/>
      <c r="AU86" s="646"/>
      <c r="AV86" s="646"/>
      <c r="AW86" s="646"/>
      <c r="AX86" s="646"/>
      <c r="AY86" s="1665">
        <v>11</v>
      </c>
    </row>
    <row s="1665" customFormat="1" customHeight="1" ht="11.549999999999999">
      <c r="A87" s="1011"/>
      <c r="B87" s="1011"/>
      <c r="C87" s="1011"/>
      <c r="D87" s="1011"/>
      <c r="E87" s="1011"/>
      <c r="F87" s="1660"/>
      <c r="G87" s="1660"/>
      <c r="H87" s="375"/>
      <c r="N87" s="1665"/>
      <c r="O87" s="1665"/>
      <c r="P87" s="1665"/>
      <c r="Q87" s="1665"/>
      <c r="R87" s="1665"/>
      <c r="S87" s="1665"/>
      <c r="T87" s="1665"/>
      <c r="U87" s="1665"/>
      <c r="V87" s="1665"/>
      <c r="W87" s="1665"/>
      <c r="X87" s="1665"/>
      <c r="Y87" s="1665"/>
      <c r="Z87" s="1665"/>
      <c r="AA87" s="1665"/>
      <c r="AB87" s="1390"/>
      <c r="AD87" s="1390"/>
      <c r="AE87" s="1660"/>
      <c r="AF87" s="1660"/>
      <c r="AG87" s="1390"/>
      <c r="AH87" s="1390"/>
      <c r="AI87" s="1390"/>
      <c r="AJ87" s="1390"/>
      <c r="AK87" s="1660"/>
      <c r="AL87" s="1390"/>
      <c r="AM87" s="1390"/>
      <c r="AN87" s="568"/>
      <c r="AO87" s="1390"/>
      <c r="AP87" s="1390"/>
      <c r="AQ87" s="1390"/>
      <c r="AR87" s="1390"/>
      <c r="AS87" s="1390"/>
      <c r="AT87" s="1656"/>
      <c r="AU87" s="646"/>
      <c r="AV87" s="646"/>
      <c r="AW87" s="646"/>
      <c r="AX87" s="646"/>
      <c r="AY87" s="1665">
        <v>11</v>
      </c>
    </row>
    <row s="1665" customFormat="1" customHeight="1" ht="11.549999999999999">
      <c r="A88" s="1011"/>
      <c r="B88" s="1011"/>
      <c r="C88" s="1011"/>
      <c r="D88" s="1011"/>
      <c r="E88" s="1011"/>
      <c r="F88" s="1660"/>
      <c r="G88" s="1660"/>
      <c r="H88" s="375"/>
      <c r="N88" s="1665"/>
      <c r="O88" s="1665"/>
      <c r="P88" s="1665"/>
      <c r="Q88" s="1665"/>
      <c r="R88" s="1665"/>
      <c r="S88" s="1665"/>
      <c r="T88" s="1665"/>
      <c r="U88" s="1665"/>
      <c r="V88" s="1665"/>
      <c r="W88" s="1665"/>
      <c r="X88" s="1665"/>
      <c r="Y88" s="1665"/>
      <c r="Z88" s="1665"/>
      <c r="AA88" s="1665"/>
      <c r="AB88" s="1390"/>
      <c r="AD88" s="1390"/>
      <c r="AE88" s="1660"/>
      <c r="AF88" s="1660"/>
      <c r="AG88" s="1390"/>
      <c r="AH88" s="1390"/>
      <c r="AI88" s="1390"/>
      <c r="AJ88" s="1390"/>
      <c r="AK88" s="1660"/>
      <c r="AL88" s="1390"/>
      <c r="AM88" s="1390"/>
      <c r="AN88" s="568"/>
      <c r="AO88" s="1390"/>
      <c r="AP88" s="1390"/>
      <c r="AQ88" s="1390"/>
      <c r="AR88" s="1390"/>
      <c r="AS88" s="1390"/>
      <c r="AT88" s="1656"/>
      <c r="AU88" s="646"/>
      <c r="AV88" s="646"/>
      <c r="AW88" s="646"/>
      <c r="AX88" s="646"/>
      <c r="AY88" s="1665">
        <v>11</v>
      </c>
    </row>
    <row s="1665" customFormat="1" customHeight="1" ht="11.549999999999999">
      <c r="A89" s="1011"/>
      <c r="B89" s="1011"/>
      <c r="C89" s="1011"/>
      <c r="D89" s="1011"/>
      <c r="E89" s="1011"/>
      <c r="F89" s="1660"/>
      <c r="G89" s="1660"/>
      <c r="H89" s="375"/>
      <c r="N89" s="1665"/>
      <c r="O89" s="1665"/>
      <c r="P89" s="1665"/>
      <c r="Q89" s="1665"/>
      <c r="R89" s="1665"/>
      <c r="S89" s="1665"/>
      <c r="T89" s="1665"/>
      <c r="U89" s="1665"/>
      <c r="V89" s="1665"/>
      <c r="W89" s="1665"/>
      <c r="X89" s="1665"/>
      <c r="Y89" s="1665"/>
      <c r="Z89" s="1665"/>
      <c r="AA89" s="1665"/>
      <c r="AB89" s="1390"/>
      <c r="AD89" s="1390"/>
      <c r="AE89" s="1660"/>
      <c r="AF89" s="1660"/>
      <c r="AG89" s="1390"/>
      <c r="AH89" s="1390"/>
      <c r="AI89" s="1390"/>
      <c r="AJ89" s="1390"/>
      <c r="AK89" s="1660"/>
      <c r="AL89" s="1390"/>
      <c r="AM89" s="1390"/>
      <c r="AN89" s="568"/>
      <c r="AO89" s="1390"/>
      <c r="AP89" s="1390"/>
      <c r="AQ89" s="1390"/>
      <c r="AR89" s="1390"/>
      <c r="AS89" s="1390"/>
      <c r="AT89" s="1656"/>
      <c r="AU89" s="646"/>
      <c r="AV89" s="646"/>
      <c r="AW89" s="646"/>
      <c r="AX89" s="646"/>
      <c r="AY89" s="1665">
        <v>11</v>
      </c>
    </row>
    <row s="1665" customFormat="1" customHeight="1" ht="11.549999999999999">
      <c r="A90" s="1011"/>
      <c r="B90" s="1011"/>
      <c r="C90" s="1011"/>
      <c r="D90" s="1011"/>
      <c r="E90" s="1011"/>
      <c r="F90" s="1660"/>
      <c r="G90" s="1660"/>
      <c r="H90" s="375"/>
      <c r="N90" s="1665"/>
      <c r="O90" s="1665"/>
      <c r="P90" s="1665"/>
      <c r="Q90" s="1665"/>
      <c r="R90" s="1665"/>
      <c r="S90" s="1665"/>
      <c r="T90" s="1665"/>
      <c r="U90" s="1665"/>
      <c r="V90" s="1665"/>
      <c r="W90" s="1665"/>
      <c r="X90" s="1665"/>
      <c r="Y90" s="1665"/>
      <c r="Z90" s="1665"/>
      <c r="AA90" s="1665"/>
      <c r="AB90" s="1390"/>
      <c r="AD90" s="1390"/>
      <c r="AE90" s="1660"/>
      <c r="AF90" s="1660"/>
      <c r="AG90" s="1390"/>
      <c r="AH90" s="1390"/>
      <c r="AI90" s="1390"/>
      <c r="AJ90" s="1390"/>
      <c r="AK90" s="1660"/>
      <c r="AL90" s="1390"/>
      <c r="AM90" s="1390"/>
      <c r="AN90" s="568"/>
      <c r="AO90" s="1390"/>
      <c r="AP90" s="1390"/>
      <c r="AQ90" s="1390"/>
      <c r="AR90" s="1390"/>
      <c r="AS90" s="1390"/>
      <c r="AT90" s="1656"/>
      <c r="AU90" s="646"/>
      <c r="AV90" s="646"/>
      <c r="AW90" s="646"/>
      <c r="AX90" s="646"/>
      <c r="AY90" s="1665">
        <v>11</v>
      </c>
    </row>
    <row s="1665" customFormat="1" customHeight="1" ht="11.549999999999999">
      <c r="A91" s="1011"/>
      <c r="B91" s="1011"/>
      <c r="C91" s="1011"/>
      <c r="D91" s="1011"/>
      <c r="E91" s="1011"/>
      <c r="F91" s="1660"/>
      <c r="G91" s="1660"/>
      <c r="H91" s="375"/>
      <c r="N91" s="1665"/>
      <c r="O91" s="1665"/>
      <c r="P91" s="1665"/>
      <c r="Q91" s="1665"/>
      <c r="R91" s="1665"/>
      <c r="S91" s="1665"/>
      <c r="T91" s="1665"/>
      <c r="U91" s="1665"/>
      <c r="V91" s="1665"/>
      <c r="W91" s="1665"/>
      <c r="X91" s="1665"/>
      <c r="Y91" s="1665"/>
      <c r="Z91" s="1665"/>
      <c r="AA91" s="1665"/>
      <c r="AB91" s="1390"/>
      <c r="AD91" s="1390"/>
      <c r="AE91" s="1660"/>
      <c r="AF91" s="1660"/>
      <c r="AG91" s="1390"/>
      <c r="AH91" s="1390"/>
      <c r="AI91" s="1390"/>
      <c r="AJ91" s="1390"/>
      <c r="AK91" s="1660"/>
      <c r="AL91" s="1390"/>
      <c r="AM91" s="1390"/>
      <c r="AN91" s="568"/>
      <c r="AO91" s="1390"/>
      <c r="AP91" s="1390"/>
      <c r="AQ91" s="1390"/>
      <c r="AR91" s="1390"/>
      <c r="AS91" s="1390"/>
      <c r="AT91" s="1656"/>
      <c r="AU91" s="646"/>
      <c r="AV91" s="646"/>
      <c r="AW91" s="646"/>
      <c r="AX91" s="646"/>
      <c r="AY91" s="1665">
        <v>11</v>
      </c>
    </row>
    <row s="1665" customFormat="1" customHeight="1" ht="11.549999999999999">
      <c r="A92" s="1011"/>
      <c r="B92" s="1011"/>
      <c r="C92" s="1011"/>
      <c r="D92" s="1011"/>
      <c r="E92" s="1011"/>
      <c r="F92" s="1660"/>
      <c r="G92" s="1660"/>
      <c r="H92" s="375"/>
      <c r="N92" s="1665"/>
      <c r="O92" s="1665"/>
      <c r="P92" s="1665"/>
      <c r="Q92" s="1665"/>
      <c r="R92" s="1665"/>
      <c r="S92" s="1665"/>
      <c r="T92" s="1665"/>
      <c r="U92" s="1665"/>
      <c r="V92" s="1665"/>
      <c r="W92" s="1665"/>
      <c r="X92" s="1665"/>
      <c r="Y92" s="1665"/>
      <c r="Z92" s="1665"/>
      <c r="AA92" s="1665"/>
      <c r="AB92" s="1390"/>
      <c r="AD92" s="1390"/>
      <c r="AE92" s="1660"/>
      <c r="AF92" s="1660"/>
      <c r="AG92" s="1390"/>
      <c r="AH92" s="1390"/>
      <c r="AI92" s="1390"/>
      <c r="AJ92" s="1390"/>
      <c r="AK92" s="1660"/>
      <c r="AL92" s="1390"/>
      <c r="AM92" s="1390"/>
      <c r="AN92" s="568"/>
      <c r="AO92" s="1390"/>
      <c r="AP92" s="1390"/>
      <c r="AQ92" s="1390"/>
      <c r="AR92" s="1390"/>
      <c r="AS92" s="1390"/>
      <c r="AT92" s="1656"/>
      <c r="AU92" s="646"/>
      <c r="AV92" s="646"/>
      <c r="AW92" s="646"/>
      <c r="AX92" s="646"/>
      <c r="AY92" s="1665">
        <v>11</v>
      </c>
    </row>
    <row s="1665" customFormat="1" customHeight="1" ht="11.549999999999999">
      <c r="A93" s="1011"/>
      <c r="B93" s="1011"/>
      <c r="C93" s="1011"/>
      <c r="D93" s="1011"/>
      <c r="E93" s="1011"/>
      <c r="F93" s="1660"/>
      <c r="G93" s="1660"/>
      <c r="H93" s="375"/>
      <c r="N93" s="1665"/>
      <c r="O93" s="1665"/>
      <c r="P93" s="1665"/>
      <c r="Q93" s="1665"/>
      <c r="R93" s="1665"/>
      <c r="S93" s="1665"/>
      <c r="T93" s="1665"/>
      <c r="U93" s="1665"/>
      <c r="V93" s="1665"/>
      <c r="W93" s="1665"/>
      <c r="X93" s="1665"/>
      <c r="Y93" s="1665"/>
      <c r="Z93" s="1665"/>
      <c r="AA93" s="1665"/>
      <c r="AB93" s="1390"/>
      <c r="AD93" s="1390"/>
      <c r="AE93" s="1660"/>
      <c r="AF93" s="1660"/>
      <c r="AG93" s="1390"/>
      <c r="AH93" s="1390"/>
      <c r="AI93" s="1390"/>
      <c r="AJ93" s="1390"/>
      <c r="AK93" s="1660"/>
      <c r="AL93" s="1390"/>
      <c r="AM93" s="1390"/>
      <c r="AN93" s="568"/>
      <c r="AO93" s="1390"/>
      <c r="AP93" s="1390"/>
      <c r="AQ93" s="1390"/>
      <c r="AR93" s="1390"/>
      <c r="AS93" s="1390"/>
      <c r="AT93" s="1656"/>
      <c r="AU93" s="646"/>
      <c r="AV93" s="646"/>
      <c r="AW93" s="646"/>
      <c r="AX93" s="646"/>
      <c r="AY93" s="1665">
        <v>11</v>
      </c>
    </row>
    <row s="1665" customFormat="1" customHeight="1" ht="11.549999999999999">
      <c r="A94" s="1011"/>
      <c r="B94" s="1011"/>
      <c r="C94" s="1011"/>
      <c r="D94" s="1011"/>
      <c r="E94" s="1011"/>
      <c r="F94" s="1660"/>
      <c r="G94" s="1660"/>
      <c r="H94" s="375"/>
      <c r="N94" s="1665"/>
      <c r="O94" s="1665"/>
      <c r="P94" s="1665"/>
      <c r="Q94" s="1665"/>
      <c r="R94" s="1665"/>
      <c r="S94" s="1665"/>
      <c r="T94" s="1665"/>
      <c r="U94" s="1665"/>
      <c r="V94" s="1665"/>
      <c r="W94" s="1665"/>
      <c r="X94" s="1665"/>
      <c r="Y94" s="1665"/>
      <c r="Z94" s="1665"/>
      <c r="AA94" s="1665"/>
      <c r="AB94" s="1390"/>
      <c r="AD94" s="1390"/>
      <c r="AE94" s="1660"/>
      <c r="AF94" s="1660"/>
      <c r="AG94" s="1390"/>
      <c r="AH94" s="1390"/>
      <c r="AI94" s="1390"/>
      <c r="AJ94" s="1390"/>
      <c r="AK94" s="1660"/>
      <c r="AL94" s="1390"/>
      <c r="AM94" s="1390"/>
      <c r="AN94" s="568"/>
      <c r="AO94" s="1390"/>
      <c r="AP94" s="1390"/>
      <c r="AQ94" s="1390"/>
      <c r="AR94" s="1390"/>
      <c r="AS94" s="1390"/>
      <c r="AT94" s="1656"/>
      <c r="AU94" s="646"/>
      <c r="AV94" s="646"/>
      <c r="AW94" s="646"/>
      <c r="AX94" s="646"/>
      <c r="AY94" s="1665">
        <v>11</v>
      </c>
    </row>
    <row s="1665" customFormat="1" customHeight="1" ht="11.549999999999999">
      <c r="A95" s="1011"/>
      <c r="B95" s="1011"/>
      <c r="C95" s="1011"/>
      <c r="D95" s="1011"/>
      <c r="E95" s="1011"/>
      <c r="F95" s="1660"/>
      <c r="G95" s="1660"/>
      <c r="H95" s="375"/>
      <c r="N95" s="1665"/>
      <c r="O95" s="1665"/>
      <c r="P95" s="1665"/>
      <c r="Q95" s="1665"/>
      <c r="R95" s="1665"/>
      <c r="S95" s="1665"/>
      <c r="T95" s="1665"/>
      <c r="U95" s="1665"/>
      <c r="V95" s="1665"/>
      <c r="W95" s="1665"/>
      <c r="X95" s="1665"/>
      <c r="Y95" s="1665"/>
      <c r="Z95" s="1665"/>
      <c r="AA95" s="1665"/>
      <c r="AB95" s="1390"/>
      <c r="AD95" s="1390"/>
      <c r="AE95" s="1660"/>
      <c r="AF95" s="1660"/>
      <c r="AG95" s="1390"/>
      <c r="AH95" s="1390"/>
      <c r="AI95" s="1390"/>
      <c r="AJ95" s="1390"/>
      <c r="AK95" s="1660"/>
      <c r="AL95" s="1390"/>
      <c r="AM95" s="1390"/>
      <c r="AN95" s="568"/>
      <c r="AO95" s="1390"/>
      <c r="AP95" s="1390"/>
      <c r="AQ95" s="1390"/>
      <c r="AR95" s="1390"/>
      <c r="AS95" s="1390"/>
      <c r="AT95" s="1656"/>
      <c r="AU95" s="646"/>
      <c r="AV95" s="646"/>
      <c r="AW95" s="646"/>
      <c r="AX95" s="646"/>
      <c r="AY95" s="1665">
        <v>11</v>
      </c>
    </row>
    <row s="1665" customFormat="1" customHeight="1" ht="11.549999999999999">
      <c r="A96" s="1011"/>
      <c r="B96" s="1011"/>
      <c r="C96" s="1011"/>
      <c r="D96" s="1011"/>
      <c r="E96" s="1011"/>
      <c r="F96" s="1660"/>
      <c r="G96" s="1660"/>
      <c r="H96" s="375"/>
      <c r="N96" s="1665"/>
      <c r="O96" s="1665"/>
      <c r="P96" s="1665"/>
      <c r="Q96" s="1665"/>
      <c r="R96" s="1665"/>
      <c r="S96" s="1665"/>
      <c r="T96" s="1665"/>
      <c r="U96" s="1665"/>
      <c r="V96" s="1665"/>
      <c r="W96" s="1665"/>
      <c r="X96" s="1665"/>
      <c r="Y96" s="1665"/>
      <c r="Z96" s="1665"/>
      <c r="AA96" s="1665"/>
      <c r="AB96" s="1390"/>
      <c r="AD96" s="1390"/>
      <c r="AE96" s="1660"/>
      <c r="AF96" s="1660"/>
      <c r="AG96" s="1390"/>
      <c r="AH96" s="1390"/>
      <c r="AI96" s="1390"/>
      <c r="AJ96" s="1390"/>
      <c r="AK96" s="1660"/>
      <c r="AL96" s="1390"/>
      <c r="AM96" s="1390"/>
      <c r="AN96" s="568"/>
      <c r="AO96" s="1390"/>
      <c r="AP96" s="1390"/>
      <c r="AQ96" s="1390"/>
      <c r="AR96" s="1390"/>
      <c r="AS96" s="1390"/>
      <c r="AT96" s="1656"/>
      <c r="AU96" s="646"/>
      <c r="AV96" s="646"/>
      <c r="AW96" s="646"/>
      <c r="AX96" s="646"/>
      <c r="AY96" s="1665">
        <v>11</v>
      </c>
    </row>
    <row s="1665" customFormat="1" customHeight="1" ht="11.549999999999999">
      <c r="A97" s="1011"/>
      <c r="B97" s="1011"/>
      <c r="C97" s="1011"/>
      <c r="D97" s="1011"/>
      <c r="E97" s="1011"/>
      <c r="F97" s="1660"/>
      <c r="G97" s="1660"/>
      <c r="H97" s="375"/>
      <c r="N97" s="1665"/>
      <c r="O97" s="1665"/>
      <c r="P97" s="1665"/>
      <c r="Q97" s="1665"/>
      <c r="R97" s="1665"/>
      <c r="S97" s="1665"/>
      <c r="T97" s="1665"/>
      <c r="U97" s="1665"/>
      <c r="V97" s="1665"/>
      <c r="W97" s="1665"/>
      <c r="X97" s="1665"/>
      <c r="Y97" s="1665"/>
      <c r="Z97" s="1665"/>
      <c r="AA97" s="1665"/>
      <c r="AB97" s="1390"/>
      <c r="AD97" s="1390"/>
      <c r="AE97" s="1660"/>
      <c r="AF97" s="1660"/>
      <c r="AG97" s="1390"/>
      <c r="AH97" s="1390"/>
      <c r="AI97" s="1390"/>
      <c r="AJ97" s="1390"/>
      <c r="AK97" s="1660"/>
      <c r="AL97" s="1390"/>
      <c r="AM97" s="1390"/>
      <c r="AN97" s="568"/>
      <c r="AO97" s="1390"/>
      <c r="AP97" s="1390"/>
      <c r="AQ97" s="1390"/>
      <c r="AR97" s="1390"/>
      <c r="AS97" s="1390"/>
      <c r="AT97" s="1656"/>
      <c r="AU97" s="646"/>
      <c r="AV97" s="646"/>
      <c r="AW97" s="646"/>
      <c r="AX97" s="646"/>
      <c r="AY97" s="1665">
        <v>11</v>
      </c>
    </row>
    <row s="1665" customFormat="1" customHeight="1" ht="11.549999999999999">
      <c r="A98" s="1011"/>
      <c r="B98" s="1011"/>
      <c r="C98" s="1011"/>
      <c r="D98" s="1011"/>
      <c r="E98" s="1011"/>
      <c r="F98" s="1660"/>
      <c r="G98" s="1660"/>
      <c r="H98" s="375"/>
      <c r="N98" s="1665"/>
      <c r="O98" s="1665"/>
      <c r="P98" s="1665"/>
      <c r="Q98" s="1665"/>
      <c r="R98" s="1665"/>
      <c r="S98" s="1665"/>
      <c r="T98" s="1665"/>
      <c r="U98" s="1665"/>
      <c r="V98" s="1665"/>
      <c r="W98" s="1665"/>
      <c r="X98" s="1665"/>
      <c r="Y98" s="1665"/>
      <c r="Z98" s="1665"/>
      <c r="AA98" s="1665"/>
      <c r="AB98" s="1390"/>
      <c r="AD98" s="1390"/>
      <c r="AE98" s="1660"/>
      <c r="AF98" s="1660"/>
      <c r="AG98" s="1390"/>
      <c r="AH98" s="1390"/>
      <c r="AI98" s="1390"/>
      <c r="AJ98" s="1390"/>
      <c r="AK98" s="1660"/>
      <c r="AL98" s="1390"/>
      <c r="AM98" s="1390"/>
      <c r="AN98" s="568"/>
      <c r="AO98" s="1390"/>
      <c r="AP98" s="1390"/>
      <c r="AQ98" s="1390"/>
      <c r="AR98" s="1390"/>
      <c r="AS98" s="1390"/>
      <c r="AT98" s="1656"/>
      <c r="AU98" s="646"/>
      <c r="AV98" s="646"/>
      <c r="AW98" s="646"/>
      <c r="AX98" s="646"/>
      <c r="AY98" s="1665">
        <v>11</v>
      </c>
    </row>
    <row s="1665" customFormat="1" customHeight="1" ht="11.549999999999999">
      <c r="A99" s="1011"/>
      <c r="B99" s="1011"/>
      <c r="C99" s="1011"/>
      <c r="D99" s="1011"/>
      <c r="E99" s="1011"/>
      <c r="F99" s="1660"/>
      <c r="G99" s="1660"/>
      <c r="H99" s="375"/>
      <c r="N99" s="1665"/>
      <c r="O99" s="1665"/>
      <c r="P99" s="1665"/>
      <c r="Q99" s="1665"/>
      <c r="R99" s="1665"/>
      <c r="S99" s="1665"/>
      <c r="T99" s="1665"/>
      <c r="U99" s="1665"/>
      <c r="V99" s="1665"/>
      <c r="W99" s="1665"/>
      <c r="X99" s="1665"/>
      <c r="Y99" s="1665"/>
      <c r="Z99" s="1665"/>
      <c r="AA99" s="1665"/>
      <c r="AB99" s="1390"/>
      <c r="AD99" s="1390"/>
      <c r="AE99" s="1660"/>
      <c r="AF99" s="1660"/>
      <c r="AG99" s="1390"/>
      <c r="AH99" s="1390"/>
      <c r="AI99" s="1390"/>
      <c r="AJ99" s="1390"/>
      <c r="AK99" s="1660"/>
      <c r="AL99" s="1390"/>
      <c r="AM99" s="1390"/>
      <c r="AN99" s="568"/>
      <c r="AO99" s="1390"/>
      <c r="AP99" s="1390"/>
      <c r="AQ99" s="1390"/>
      <c r="AR99" s="1390"/>
      <c r="AS99" s="1390"/>
      <c r="AT99" s="1656"/>
      <c r="AU99" s="646"/>
      <c r="AV99" s="646"/>
      <c r="AW99" s="646"/>
      <c r="AX99" s="646"/>
      <c r="AY99" s="1665">
        <v>11</v>
      </c>
    </row>
    <row s="1665" customFormat="1" customHeight="1" ht="11.549999999999999">
      <c r="A100" s="1011"/>
      <c r="B100" s="1011"/>
      <c r="C100" s="1011"/>
      <c r="D100" s="1011"/>
      <c r="E100" s="1011"/>
      <c r="F100" s="1660"/>
      <c r="G100" s="1660"/>
      <c r="H100" s="375"/>
      <c r="N100" s="1665"/>
      <c r="O100" s="1665"/>
      <c r="P100" s="1665"/>
      <c r="Q100" s="1665"/>
      <c r="R100" s="1665"/>
      <c r="S100" s="1665"/>
      <c r="T100" s="1665"/>
      <c r="U100" s="1665"/>
      <c r="V100" s="1665"/>
      <c r="W100" s="1665"/>
      <c r="X100" s="1665"/>
      <c r="Y100" s="1665"/>
      <c r="Z100" s="1665"/>
      <c r="AA100" s="1665"/>
      <c r="AB100" s="1390"/>
      <c r="AD100" s="1390"/>
      <c r="AE100" s="1660"/>
      <c r="AF100" s="1660"/>
      <c r="AG100" s="1390"/>
      <c r="AH100" s="1390"/>
      <c r="AI100" s="1390"/>
      <c r="AJ100" s="1390"/>
      <c r="AK100" s="1660"/>
      <c r="AL100" s="1390"/>
      <c r="AM100" s="1390"/>
      <c r="AN100" s="568"/>
      <c r="AO100" s="1390"/>
      <c r="AP100" s="1390"/>
      <c r="AQ100" s="1390"/>
      <c r="AR100" s="1390"/>
      <c r="AS100" s="1390"/>
      <c r="AT100" s="1656"/>
      <c r="AU100" s="646"/>
      <c r="AV100" s="646"/>
      <c r="AW100" s="646"/>
      <c r="AX100" s="646"/>
      <c r="AY100" s="1665">
        <v>11</v>
      </c>
    </row>
    <row s="1665" customFormat="1" customHeight="1" ht="11.549999999999999">
      <c r="A101" s="1011"/>
      <c r="B101" s="1011"/>
      <c r="C101" s="1011"/>
      <c r="D101" s="1011"/>
      <c r="E101" s="1011"/>
      <c r="F101" s="1660"/>
      <c r="G101" s="1660"/>
      <c r="H101" s="375"/>
      <c r="N101" s="1665"/>
      <c r="O101" s="1665"/>
      <c r="P101" s="1665"/>
      <c r="Q101" s="1665"/>
      <c r="R101" s="1665"/>
      <c r="S101" s="1665"/>
      <c r="T101" s="1665"/>
      <c r="U101" s="1665"/>
      <c r="V101" s="1665"/>
      <c r="W101" s="1665"/>
      <c r="X101" s="1665"/>
      <c r="Y101" s="1665"/>
      <c r="Z101" s="1665"/>
      <c r="AA101" s="1665"/>
      <c r="AB101" s="1390"/>
      <c r="AD101" s="1390"/>
      <c r="AE101" s="1660"/>
      <c r="AF101" s="1660"/>
      <c r="AG101" s="1390"/>
      <c r="AH101" s="1390"/>
      <c r="AI101" s="1390"/>
      <c r="AJ101" s="1390"/>
      <c r="AK101" s="1660"/>
      <c r="AL101" s="1390"/>
      <c r="AM101" s="1390"/>
      <c r="AN101" s="568"/>
      <c r="AO101" s="1390"/>
      <c r="AP101" s="1390"/>
      <c r="AQ101" s="1390"/>
      <c r="AR101" s="1390"/>
      <c r="AS101" s="1390"/>
      <c r="AT101" s="1656"/>
      <c r="AU101" s="646"/>
      <c r="AV101" s="646"/>
      <c r="AW101" s="646"/>
      <c r="AX101" s="646"/>
      <c r="AY101" s="1665">
        <v>11</v>
      </c>
    </row>
    <row s="1665" customFormat="1" customHeight="1" ht="11.549999999999999">
      <c r="A102" s="1011"/>
      <c r="B102" s="1011"/>
      <c r="C102" s="1011"/>
      <c r="D102" s="1011"/>
      <c r="E102" s="1011"/>
      <c r="F102" s="1660"/>
      <c r="G102" s="1660"/>
      <c r="H102" s="375"/>
      <c r="N102" s="1665"/>
      <c r="O102" s="1665"/>
      <c r="P102" s="1665"/>
      <c r="Q102" s="1665"/>
      <c r="R102" s="1665"/>
      <c r="S102" s="1665"/>
      <c r="T102" s="1665"/>
      <c r="U102" s="1665"/>
      <c r="V102" s="1665"/>
      <c r="W102" s="1665"/>
      <c r="X102" s="1665"/>
      <c r="Y102" s="1665"/>
      <c r="Z102" s="1665"/>
      <c r="AA102" s="1665"/>
      <c r="AB102" s="1390"/>
      <c r="AD102" s="1390"/>
      <c r="AE102" s="1660"/>
      <c r="AF102" s="1660"/>
      <c r="AG102" s="1390"/>
      <c r="AH102" s="1390"/>
      <c r="AI102" s="1390"/>
      <c r="AJ102" s="1390"/>
      <c r="AK102" s="1660"/>
      <c r="AL102" s="1390"/>
      <c r="AM102" s="1390"/>
      <c r="AN102" s="568"/>
      <c r="AO102" s="1390"/>
      <c r="AP102" s="1390"/>
      <c r="AQ102" s="1390"/>
      <c r="AR102" s="1390"/>
      <c r="AS102" s="1390"/>
      <c r="AT102" s="1656"/>
      <c r="AU102" s="646"/>
      <c r="AV102" s="646"/>
      <c r="AW102" s="646"/>
      <c r="AX102" s="646"/>
      <c r="AY102" s="1665">
        <v>11</v>
      </c>
    </row>
    <row s="1665" customFormat="1" customHeight="1" ht="11.549999999999999">
      <c r="A103" s="1011"/>
      <c r="B103" s="1011"/>
      <c r="C103" s="1011"/>
      <c r="D103" s="1011"/>
      <c r="E103" s="1011"/>
      <c r="F103" s="1660"/>
      <c r="G103" s="1660"/>
      <c r="H103" s="375"/>
      <c r="N103" s="1665"/>
      <c r="O103" s="1665"/>
      <c r="P103" s="1665"/>
      <c r="Q103" s="1665"/>
      <c r="R103" s="1665"/>
      <c r="S103" s="1665"/>
      <c r="T103" s="1665"/>
      <c r="U103" s="1665"/>
      <c r="V103" s="1665"/>
      <c r="W103" s="1665"/>
      <c r="X103" s="1665"/>
      <c r="Y103" s="1665"/>
      <c r="Z103" s="1665"/>
      <c r="AA103" s="1665"/>
      <c r="AB103" s="1390"/>
      <c r="AD103" s="1390"/>
      <c r="AE103" s="1660"/>
      <c r="AF103" s="1660"/>
      <c r="AG103" s="1390"/>
      <c r="AH103" s="1390"/>
      <c r="AI103" s="1390"/>
      <c r="AJ103" s="1390"/>
      <c r="AK103" s="1660"/>
      <c r="AL103" s="1390"/>
      <c r="AM103" s="1390"/>
      <c r="AN103" s="568"/>
      <c r="AO103" s="1390"/>
      <c r="AP103" s="1390"/>
      <c r="AQ103" s="1390"/>
      <c r="AR103" s="1390"/>
      <c r="AS103" s="1390"/>
      <c r="AT103" s="1656"/>
      <c r="AU103" s="646"/>
      <c r="AV103" s="646"/>
      <c r="AW103" s="646"/>
      <c r="AX103" s="646"/>
      <c r="AY103" s="1665">
        <v>11</v>
      </c>
    </row>
    <row s="1665" customFormat="1" customHeight="1" ht="11.549999999999999">
      <c r="A104" s="1011"/>
      <c r="B104" s="1011"/>
      <c r="C104" s="1011"/>
      <c r="D104" s="1011"/>
      <c r="E104" s="1011"/>
      <c r="F104" s="1660"/>
      <c r="G104" s="1660"/>
      <c r="H104" s="375"/>
      <c r="N104" s="1665"/>
      <c r="O104" s="1665"/>
      <c r="P104" s="1665"/>
      <c r="Q104" s="1665"/>
      <c r="R104" s="1665"/>
      <c r="S104" s="1665"/>
      <c r="T104" s="1665"/>
      <c r="U104" s="1665"/>
      <c r="V104" s="1665"/>
      <c r="W104" s="1665"/>
      <c r="X104" s="1665"/>
      <c r="Y104" s="1665"/>
      <c r="Z104" s="1665"/>
      <c r="AA104" s="1665"/>
      <c r="AB104" s="1390"/>
      <c r="AD104" s="1390"/>
      <c r="AE104" s="1660"/>
      <c r="AF104" s="1660"/>
      <c r="AG104" s="1390"/>
      <c r="AH104" s="1390"/>
      <c r="AI104" s="1390"/>
      <c r="AJ104" s="1390"/>
      <c r="AK104" s="1660"/>
      <c r="AL104" s="1390"/>
      <c r="AM104" s="1390"/>
      <c r="AN104" s="568"/>
      <c r="AO104" s="1390"/>
      <c r="AP104" s="1390"/>
      <c r="AQ104" s="1390"/>
      <c r="AR104" s="1390"/>
      <c r="AS104" s="1390"/>
      <c r="AT104" s="1656"/>
      <c r="AU104" s="646"/>
      <c r="AV104" s="646"/>
      <c r="AW104" s="646"/>
      <c r="AX104" s="646"/>
      <c r="AY104" s="1665">
        <v>11</v>
      </c>
    </row>
    <row s="1665" customFormat="1" customHeight="1" ht="11.549999999999999">
      <c r="A105" s="1011"/>
      <c r="B105" s="1011"/>
      <c r="C105" s="1011"/>
      <c r="D105" s="1011"/>
      <c r="E105" s="1011"/>
      <c r="F105" s="1660"/>
      <c r="G105" s="1660"/>
      <c r="H105" s="375"/>
      <c r="N105" s="1665"/>
      <c r="O105" s="1665"/>
      <c r="P105" s="1665"/>
      <c r="Q105" s="1665"/>
      <c r="R105" s="1665"/>
      <c r="S105" s="1665"/>
      <c r="T105" s="1665"/>
      <c r="U105" s="1665"/>
      <c r="V105" s="1665"/>
      <c r="W105" s="1665"/>
      <c r="X105" s="1665"/>
      <c r="Y105" s="1665"/>
      <c r="Z105" s="1665"/>
      <c r="AA105" s="1665"/>
      <c r="AB105" s="1390"/>
      <c r="AD105" s="1390"/>
      <c r="AE105" s="1660"/>
      <c r="AF105" s="1660"/>
      <c r="AG105" s="1390"/>
      <c r="AH105" s="1390"/>
      <c r="AI105" s="1390"/>
      <c r="AJ105" s="1390"/>
      <c r="AK105" s="1660"/>
      <c r="AL105" s="1390"/>
      <c r="AM105" s="1390"/>
      <c r="AN105" s="568"/>
      <c r="AO105" s="1390"/>
      <c r="AP105" s="1390"/>
      <c r="AQ105" s="1390"/>
      <c r="AR105" s="1390"/>
      <c r="AS105" s="1390"/>
      <c r="AT105" s="1656"/>
      <c r="AU105" s="646"/>
      <c r="AV105" s="646"/>
      <c r="AW105" s="646"/>
      <c r="AX105" s="646"/>
      <c r="AY105" s="1665">
        <v>11</v>
      </c>
    </row>
    <row s="1665" customFormat="1" customHeight="1" ht="11.549999999999999">
      <c r="A106" s="1011"/>
      <c r="B106" s="1011"/>
      <c r="C106" s="1011"/>
      <c r="D106" s="1011"/>
      <c r="E106" s="1011"/>
      <c r="F106" s="1660"/>
      <c r="G106" s="1660"/>
      <c r="H106" s="375"/>
      <c r="N106" s="1665"/>
      <c r="O106" s="1665"/>
      <c r="P106" s="1665"/>
      <c r="Q106" s="1665"/>
      <c r="R106" s="1665"/>
      <c r="S106" s="1665"/>
      <c r="T106" s="1665"/>
      <c r="U106" s="1665"/>
      <c r="V106" s="1665"/>
      <c r="W106" s="1665"/>
      <c r="X106" s="1665"/>
      <c r="Y106" s="1665"/>
      <c r="Z106" s="1665"/>
      <c r="AA106" s="1665"/>
      <c r="AB106" s="1390"/>
      <c r="AD106" s="1390"/>
      <c r="AE106" s="1660"/>
      <c r="AF106" s="1660"/>
      <c r="AG106" s="1390"/>
      <c r="AH106" s="1390"/>
      <c r="AI106" s="1390"/>
      <c r="AJ106" s="1390"/>
      <c r="AK106" s="1660"/>
      <c r="AL106" s="1390"/>
      <c r="AM106" s="1390"/>
      <c r="AN106" s="568"/>
      <c r="AO106" s="1390"/>
      <c r="AP106" s="1390"/>
      <c r="AQ106" s="1390"/>
      <c r="AR106" s="1390"/>
      <c r="AS106" s="1390"/>
      <c r="AT106" s="1656"/>
      <c r="AU106" s="646"/>
      <c r="AV106" s="646"/>
      <c r="AW106" s="646"/>
      <c r="AX106" s="646"/>
      <c r="AY106" s="1665">
        <v>11</v>
      </c>
    </row>
    <row s="1665" customFormat="1" customHeight="1" ht="11.549999999999999">
      <c r="A107" s="1011"/>
      <c r="B107" s="1011"/>
      <c r="C107" s="1011"/>
      <c r="D107" s="1011"/>
      <c r="E107" s="1011"/>
      <c r="F107" s="1660"/>
      <c r="G107" s="1660"/>
      <c r="H107" s="375"/>
      <c r="N107" s="1665"/>
      <c r="O107" s="1665"/>
      <c r="P107" s="1665"/>
      <c r="Q107" s="1665"/>
      <c r="R107" s="1665"/>
      <c r="S107" s="1665"/>
      <c r="T107" s="1665"/>
      <c r="U107" s="1665"/>
      <c r="V107" s="1665"/>
      <c r="W107" s="1665"/>
      <c r="X107" s="1665"/>
      <c r="Y107" s="1665"/>
      <c r="Z107" s="1665"/>
      <c r="AA107" s="1665"/>
      <c r="AB107" s="1390"/>
      <c r="AD107" s="1390"/>
      <c r="AE107" s="1660"/>
      <c r="AF107" s="1660"/>
      <c r="AG107" s="1390"/>
      <c r="AH107" s="1390"/>
      <c r="AI107" s="1390"/>
      <c r="AJ107" s="1390"/>
      <c r="AK107" s="1660"/>
      <c r="AL107" s="1390"/>
      <c r="AM107" s="1390"/>
      <c r="AN107" s="568"/>
      <c r="AO107" s="1390"/>
      <c r="AP107" s="1390"/>
      <c r="AQ107" s="1390"/>
      <c r="AR107" s="1390"/>
      <c r="AS107" s="1390"/>
      <c r="AT107" s="1656"/>
      <c r="AU107" s="646"/>
      <c r="AV107" s="646"/>
      <c r="AW107" s="646"/>
      <c r="AX107" s="646"/>
      <c r="AY107" s="1665">
        <v>11</v>
      </c>
    </row>
    <row s="1665" customFormat="1" customHeight="1" ht="11.549999999999999">
      <c r="A108" s="1011"/>
      <c r="B108" s="1011"/>
      <c r="C108" s="1011"/>
      <c r="D108" s="1011"/>
      <c r="E108" s="1011"/>
      <c r="F108" s="1660"/>
      <c r="G108" s="1660"/>
      <c r="H108" s="375"/>
      <c r="N108" s="1665"/>
      <c r="O108" s="1665"/>
      <c r="P108" s="1665"/>
      <c r="Q108" s="1665"/>
      <c r="R108" s="1665"/>
      <c r="S108" s="1665"/>
      <c r="T108" s="1665"/>
      <c r="U108" s="1665"/>
      <c r="V108" s="1665"/>
      <c r="W108" s="1665"/>
      <c r="X108" s="1665"/>
      <c r="Y108" s="1665"/>
      <c r="Z108" s="1665"/>
      <c r="AA108" s="1665"/>
      <c r="AB108" s="1390"/>
      <c r="AD108" s="1390"/>
      <c r="AE108" s="1660"/>
      <c r="AF108" s="1660"/>
      <c r="AG108" s="1390"/>
      <c r="AH108" s="1390"/>
      <c r="AI108" s="1390"/>
      <c r="AJ108" s="1390"/>
      <c r="AK108" s="1660"/>
      <c r="AL108" s="1390"/>
      <c r="AM108" s="1390"/>
      <c r="AN108" s="568"/>
      <c r="AO108" s="1390"/>
      <c r="AP108" s="1390"/>
      <c r="AQ108" s="1390"/>
      <c r="AR108" s="1390"/>
      <c r="AS108" s="1390"/>
      <c r="AT108" s="1656"/>
      <c r="AU108" s="646"/>
      <c r="AV108" s="646"/>
      <c r="AW108" s="646"/>
      <c r="AX108" s="646"/>
      <c r="AY108" s="1665">
        <v>11</v>
      </c>
    </row>
    <row s="1665" customFormat="1" customHeight="1" ht="11.549999999999999">
      <c r="A109" s="1011"/>
      <c r="B109" s="1011"/>
      <c r="C109" s="1011"/>
      <c r="D109" s="1011"/>
      <c r="E109" s="1011"/>
      <c r="F109" s="1660"/>
      <c r="G109" s="1660"/>
      <c r="H109" s="375"/>
      <c r="N109" s="1665"/>
      <c r="O109" s="1665"/>
      <c r="P109" s="1665"/>
      <c r="Q109" s="1665"/>
      <c r="R109" s="1665"/>
      <c r="S109" s="1665"/>
      <c r="T109" s="1665"/>
      <c r="U109" s="1665"/>
      <c r="V109" s="1665"/>
      <c r="W109" s="1665"/>
      <c r="X109" s="1665"/>
      <c r="Y109" s="1665"/>
      <c r="Z109" s="1665"/>
      <c r="AA109" s="1665"/>
      <c r="AB109" s="1390"/>
      <c r="AD109" s="1390"/>
      <c r="AE109" s="1660"/>
      <c r="AF109" s="1660"/>
      <c r="AG109" s="1390"/>
      <c r="AH109" s="1390"/>
      <c r="AI109" s="1390"/>
      <c r="AJ109" s="1390"/>
      <c r="AK109" s="1660"/>
      <c r="AL109" s="1390"/>
      <c r="AM109" s="1390"/>
      <c r="AN109" s="568"/>
      <c r="AO109" s="1390"/>
      <c r="AP109" s="1390"/>
      <c r="AQ109" s="1390"/>
      <c r="AR109" s="1390"/>
      <c r="AS109" s="1390"/>
      <c r="AT109" s="1656"/>
      <c r="AU109" s="646"/>
      <c r="AV109" s="646"/>
      <c r="AW109" s="646"/>
      <c r="AX109" s="646"/>
      <c r="AY109" s="1665">
        <v>11</v>
      </c>
    </row>
    <row s="1665" customFormat="1" customHeight="1" ht="11.549999999999999">
      <c r="A110" s="1011"/>
      <c r="B110" s="1011"/>
      <c r="C110" s="1011"/>
      <c r="D110" s="1011"/>
      <c r="E110" s="1011"/>
      <c r="F110" s="1660"/>
      <c r="G110" s="1660"/>
      <c r="H110" s="375"/>
      <c r="N110" s="1665"/>
      <c r="O110" s="1665"/>
      <c r="P110" s="1665"/>
      <c r="Q110" s="1665"/>
      <c r="R110" s="1665"/>
      <c r="S110" s="1665"/>
      <c r="T110" s="1665"/>
      <c r="U110" s="1665"/>
      <c r="V110" s="1665"/>
      <c r="W110" s="1665"/>
      <c r="X110" s="1665"/>
      <c r="Y110" s="1665"/>
      <c r="Z110" s="1665"/>
      <c r="AA110" s="1665"/>
      <c r="AB110" s="1390"/>
      <c r="AD110" s="1390"/>
      <c r="AE110" s="1660"/>
      <c r="AF110" s="1660"/>
      <c r="AG110" s="1390"/>
      <c r="AH110" s="1390"/>
      <c r="AI110" s="1390"/>
      <c r="AJ110" s="1390"/>
      <c r="AK110" s="1660"/>
      <c r="AL110" s="1390"/>
      <c r="AM110" s="1390"/>
      <c r="AN110" s="568"/>
      <c r="AO110" s="1390"/>
      <c r="AP110" s="1390"/>
      <c r="AQ110" s="1390"/>
      <c r="AR110" s="1390"/>
      <c r="AS110" s="1390"/>
      <c r="AT110" s="1656"/>
      <c r="AU110" s="646"/>
      <c r="AV110" s="646"/>
      <c r="AW110" s="646"/>
      <c r="AX110" s="646"/>
      <c r="AY110" s="1665">
        <v>11</v>
      </c>
    </row>
    <row s="1665" customFormat="1" customHeight="1" ht="11.549999999999999">
      <c r="A111" s="1011"/>
      <c r="B111" s="1011"/>
      <c r="C111" s="1011"/>
      <c r="D111" s="1011"/>
      <c r="E111" s="1011"/>
      <c r="F111" s="1660"/>
      <c r="G111" s="1660"/>
      <c r="H111" s="375"/>
      <c r="N111" s="1665"/>
      <c r="O111" s="1665"/>
      <c r="P111" s="1665"/>
      <c r="Q111" s="1665"/>
      <c r="R111" s="1665"/>
      <c r="S111" s="1665"/>
      <c r="T111" s="1665"/>
      <c r="U111" s="1665"/>
      <c r="V111" s="1665"/>
      <c r="W111" s="1665"/>
      <c r="X111" s="1665"/>
      <c r="Y111" s="1665"/>
      <c r="Z111" s="1665"/>
      <c r="AA111" s="1665"/>
      <c r="AB111" s="1390"/>
      <c r="AD111" s="1390"/>
      <c r="AE111" s="1660"/>
      <c r="AF111" s="1660"/>
      <c r="AG111" s="1390"/>
      <c r="AH111" s="1390"/>
      <c r="AI111" s="1390"/>
      <c r="AJ111" s="1390"/>
      <c r="AK111" s="1660"/>
      <c r="AL111" s="1390"/>
      <c r="AM111" s="1390"/>
      <c r="AN111" s="568"/>
      <c r="AO111" s="1390"/>
      <c r="AP111" s="1390"/>
      <c r="AQ111" s="1390"/>
      <c r="AR111" s="1390"/>
      <c r="AS111" s="1390"/>
      <c r="AT111" s="1656"/>
      <c r="AU111" s="646"/>
      <c r="AV111" s="646"/>
      <c r="AW111" s="646"/>
      <c r="AX111" s="646"/>
      <c r="AY111" s="1665">
        <v>11</v>
      </c>
    </row>
    <row s="1665" customFormat="1" customHeight="1" ht="11.549999999999999">
      <c r="A112" s="1011"/>
      <c r="B112" s="1011"/>
      <c r="C112" s="1011"/>
      <c r="D112" s="1011"/>
      <c r="E112" s="1011"/>
      <c r="F112" s="1660"/>
      <c r="G112" s="1660"/>
      <c r="H112" s="375"/>
      <c r="N112" s="1665"/>
      <c r="O112" s="1665"/>
      <c r="P112" s="1665"/>
      <c r="Q112" s="1665"/>
      <c r="R112" s="1665"/>
      <c r="S112" s="1665"/>
      <c r="T112" s="1665"/>
      <c r="U112" s="1665"/>
      <c r="V112" s="1665"/>
      <c r="W112" s="1665"/>
      <c r="X112" s="1665"/>
      <c r="Y112" s="1665"/>
      <c r="Z112" s="1665"/>
      <c r="AA112" s="1665"/>
      <c r="AB112" s="1390"/>
      <c r="AD112" s="1390"/>
      <c r="AE112" s="1660"/>
      <c r="AF112" s="1660"/>
      <c r="AG112" s="1390"/>
      <c r="AH112" s="1390"/>
      <c r="AI112" s="1390"/>
      <c r="AJ112" s="1390"/>
      <c r="AK112" s="1660"/>
      <c r="AL112" s="1390"/>
      <c r="AM112" s="1390"/>
      <c r="AN112" s="568"/>
      <c r="AO112" s="1390"/>
      <c r="AP112" s="1390"/>
      <c r="AQ112" s="1390"/>
      <c r="AR112" s="1390"/>
      <c r="AS112" s="1390"/>
      <c r="AT112" s="1656"/>
      <c r="AU112" s="646"/>
      <c r="AV112" s="646"/>
      <c r="AW112" s="646"/>
      <c r="AX112" s="646"/>
      <c r="AY112" s="1665">
        <v>11</v>
      </c>
    </row>
    <row s="1665" customFormat="1" customHeight="1" ht="11.549999999999999">
      <c r="A113" s="1011"/>
      <c r="B113" s="1011"/>
      <c r="C113" s="1011"/>
      <c r="D113" s="1011"/>
      <c r="E113" s="1011"/>
      <c r="F113" s="1660"/>
      <c r="G113" s="1660"/>
      <c r="H113" s="375"/>
      <c r="N113" s="1665"/>
      <c r="O113" s="1665"/>
      <c r="P113" s="1665"/>
      <c r="Q113" s="1665"/>
      <c r="R113" s="1665"/>
      <c r="S113" s="1665"/>
      <c r="T113" s="1665"/>
      <c r="U113" s="1665"/>
      <c r="V113" s="1665"/>
      <c r="W113" s="1665"/>
      <c r="X113" s="1665"/>
      <c r="Y113" s="1665"/>
      <c r="Z113" s="1665"/>
      <c r="AA113" s="1665"/>
      <c r="AB113" s="1390"/>
      <c r="AD113" s="1390"/>
      <c r="AE113" s="1660"/>
      <c r="AF113" s="1660"/>
      <c r="AG113" s="1390"/>
      <c r="AH113" s="1390"/>
      <c r="AI113" s="1390"/>
      <c r="AJ113" s="1390"/>
      <c r="AK113" s="1660"/>
      <c r="AL113" s="1390"/>
      <c r="AM113" s="1390"/>
      <c r="AN113" s="568"/>
      <c r="AO113" s="1390"/>
      <c r="AP113" s="1390"/>
      <c r="AQ113" s="1390"/>
      <c r="AR113" s="1390"/>
      <c r="AS113" s="1390"/>
      <c r="AT113" s="1656"/>
      <c r="AU113" s="646"/>
      <c r="AV113" s="646"/>
      <c r="AW113" s="646"/>
      <c r="AX113" s="646"/>
      <c r="AY113" s="1665">
        <v>11</v>
      </c>
    </row>
    <row s="1665" customFormat="1" customHeight="1" ht="11.549999999999999">
      <c r="A114" s="1011"/>
      <c r="B114" s="1011"/>
      <c r="C114" s="1011"/>
      <c r="D114" s="1011"/>
      <c r="E114" s="1011"/>
      <c r="F114" s="1660"/>
      <c r="G114" s="1660"/>
      <c r="H114" s="375"/>
      <c r="N114" s="1665"/>
      <c r="O114" s="1665"/>
      <c r="P114" s="1665"/>
      <c r="Q114" s="1665"/>
      <c r="R114" s="1665"/>
      <c r="S114" s="1665"/>
      <c r="T114" s="1665"/>
      <c r="U114" s="1665"/>
      <c r="V114" s="1665"/>
      <c r="W114" s="1665"/>
      <c r="X114" s="1665"/>
      <c r="Y114" s="1665"/>
      <c r="Z114" s="1665"/>
      <c r="AA114" s="1665"/>
      <c r="AB114" s="1390"/>
      <c r="AD114" s="1390"/>
      <c r="AE114" s="1660"/>
      <c r="AF114" s="1660"/>
      <c r="AG114" s="1390"/>
      <c r="AH114" s="1390"/>
      <c r="AI114" s="1390"/>
      <c r="AJ114" s="1390"/>
      <c r="AK114" s="1660"/>
      <c r="AL114" s="1390"/>
      <c r="AM114" s="1390"/>
      <c r="AN114" s="568"/>
      <c r="AO114" s="1390"/>
      <c r="AP114" s="1390"/>
      <c r="AQ114" s="1390"/>
      <c r="AR114" s="1390"/>
      <c r="AS114" s="1390"/>
      <c r="AT114" s="1656"/>
      <c r="AU114" s="646"/>
      <c r="AV114" s="646"/>
      <c r="AW114" s="646"/>
      <c r="AX114" s="646"/>
      <c r="AY114" s="1665">
        <v>11</v>
      </c>
    </row>
    <row s="1665" customFormat="1" customHeight="1" ht="11.549999999999999">
      <c r="A115" s="1011"/>
      <c r="B115" s="1011"/>
      <c r="C115" s="1011"/>
      <c r="D115" s="1011"/>
      <c r="E115" s="1011"/>
      <c r="F115" s="1660"/>
      <c r="G115" s="1660"/>
      <c r="H115" s="375"/>
      <c r="N115" s="1665"/>
      <c r="O115" s="1665"/>
      <c r="P115" s="1665"/>
      <c r="Q115" s="1665"/>
      <c r="R115" s="1665"/>
      <c r="S115" s="1665"/>
      <c r="T115" s="1665"/>
      <c r="U115" s="1665"/>
      <c r="V115" s="1665"/>
      <c r="W115" s="1665"/>
      <c r="X115" s="1665"/>
      <c r="Y115" s="1665"/>
      <c r="Z115" s="1665"/>
      <c r="AA115" s="1665"/>
      <c r="AB115" s="1390"/>
      <c r="AD115" s="1390"/>
      <c r="AE115" s="1660"/>
      <c r="AF115" s="1660"/>
      <c r="AG115" s="1390"/>
      <c r="AH115" s="1390"/>
      <c r="AI115" s="1390"/>
      <c r="AJ115" s="1390"/>
      <c r="AK115" s="1660"/>
      <c r="AL115" s="1390"/>
      <c r="AM115" s="1390"/>
      <c r="AN115" s="568"/>
      <c r="AO115" s="1390"/>
      <c r="AP115" s="1390"/>
      <c r="AQ115" s="1390"/>
      <c r="AR115" s="1390"/>
      <c r="AS115" s="1390"/>
      <c r="AT115" s="1656"/>
      <c r="AU115" s="646"/>
      <c r="AV115" s="646"/>
      <c r="AW115" s="646"/>
      <c r="AX115" s="646"/>
      <c r="AY115" s="1665">
        <v>11</v>
      </c>
    </row>
    <row s="1665" customFormat="1" customHeight="1" ht="11.549999999999999">
      <c r="A116" s="1011"/>
      <c r="B116" s="1011"/>
      <c r="C116" s="1011"/>
      <c r="D116" s="1011"/>
      <c r="E116" s="1011"/>
      <c r="F116" s="1660"/>
      <c r="G116" s="1660"/>
      <c r="H116" s="375"/>
      <c r="N116" s="1665"/>
      <c r="O116" s="1665"/>
      <c r="P116" s="1665"/>
      <c r="Q116" s="1665"/>
      <c r="R116" s="1665"/>
      <c r="S116" s="1665"/>
      <c r="T116" s="1665"/>
      <c r="U116" s="1665"/>
      <c r="V116" s="1665"/>
      <c r="W116" s="1665"/>
      <c r="X116" s="1665"/>
      <c r="Y116" s="1665"/>
      <c r="Z116" s="1665"/>
      <c r="AA116" s="1665"/>
      <c r="AB116" s="1390"/>
      <c r="AD116" s="1390"/>
      <c r="AE116" s="1660"/>
      <c r="AF116" s="1660"/>
      <c r="AG116" s="1390"/>
      <c r="AH116" s="1390"/>
      <c r="AI116" s="1390"/>
      <c r="AJ116" s="1390"/>
      <c r="AK116" s="1660"/>
      <c r="AL116" s="1390"/>
      <c r="AM116" s="1390"/>
      <c r="AN116" s="568"/>
      <c r="AO116" s="1390"/>
      <c r="AP116" s="1390"/>
      <c r="AQ116" s="1390"/>
      <c r="AR116" s="1390"/>
      <c r="AS116" s="1390"/>
      <c r="AT116" s="1656"/>
      <c r="AU116" s="646"/>
      <c r="AV116" s="646"/>
      <c r="AW116" s="646"/>
      <c r="AX116" s="646"/>
      <c r="AY116" s="1665">
        <v>11</v>
      </c>
    </row>
    <row s="1665" customFormat="1" customHeight="1" ht="11.549999999999999">
      <c r="A117" s="1011"/>
      <c r="B117" s="1011"/>
      <c r="C117" s="1011"/>
      <c r="D117" s="1011"/>
      <c r="E117" s="1011"/>
      <c r="F117" s="1660"/>
      <c r="G117" s="1660"/>
      <c r="H117" s="375"/>
      <c r="N117" s="1665"/>
      <c r="O117" s="1665"/>
      <c r="P117" s="1665"/>
      <c r="Q117" s="1665"/>
      <c r="R117" s="1665"/>
      <c r="S117" s="1665"/>
      <c r="T117" s="1665"/>
      <c r="U117" s="1665"/>
      <c r="V117" s="1665"/>
      <c r="W117" s="1665"/>
      <c r="X117" s="1665"/>
      <c r="Y117" s="1665"/>
      <c r="Z117" s="1665"/>
      <c r="AA117" s="1665"/>
      <c r="AB117" s="1390"/>
      <c r="AD117" s="1390"/>
      <c r="AE117" s="1660"/>
      <c r="AF117" s="1660"/>
      <c r="AG117" s="1390"/>
      <c r="AH117" s="1390"/>
      <c r="AI117" s="1390"/>
      <c r="AJ117" s="1390"/>
      <c r="AK117" s="1660"/>
      <c r="AL117" s="1390"/>
      <c r="AM117" s="1390"/>
      <c r="AN117" s="568"/>
      <c r="AO117" s="1390"/>
      <c r="AP117" s="1390"/>
      <c r="AQ117" s="1390"/>
      <c r="AR117" s="1390"/>
      <c r="AS117" s="1390"/>
      <c r="AT117" s="1656"/>
      <c r="AU117" s="646"/>
      <c r="AV117" s="646"/>
      <c r="AW117" s="646"/>
      <c r="AX117" s="646"/>
      <c r="AY117" s="1665">
        <v>11</v>
      </c>
    </row>
    <row s="1665" customFormat="1" customHeight="1" ht="11.549999999999999">
      <c r="A118" s="1011"/>
      <c r="B118" s="1011"/>
      <c r="C118" s="1011"/>
      <c r="D118" s="1011"/>
      <c r="E118" s="1011"/>
      <c r="F118" s="1660"/>
      <c r="G118" s="1660"/>
      <c r="H118" s="375"/>
      <c r="N118" s="1665"/>
      <c r="O118" s="1665"/>
      <c r="P118" s="1665"/>
      <c r="Q118" s="1665"/>
      <c r="R118" s="1665"/>
      <c r="S118" s="1665"/>
      <c r="T118" s="1665"/>
      <c r="U118" s="1665"/>
      <c r="V118" s="1665"/>
      <c r="W118" s="1665"/>
      <c r="X118" s="1665"/>
      <c r="Y118" s="1665"/>
      <c r="Z118" s="1665"/>
      <c r="AA118" s="1665"/>
      <c r="AB118" s="1390"/>
      <c r="AD118" s="1390"/>
      <c r="AE118" s="1660"/>
      <c r="AF118" s="1660"/>
      <c r="AG118" s="1390"/>
      <c r="AH118" s="1390"/>
      <c r="AI118" s="1390"/>
      <c r="AJ118" s="1390"/>
      <c r="AK118" s="1660"/>
      <c r="AL118" s="1390"/>
      <c r="AM118" s="1390"/>
      <c r="AN118" s="568"/>
      <c r="AO118" s="1390"/>
      <c r="AP118" s="1390"/>
      <c r="AQ118" s="1390"/>
      <c r="AR118" s="1390"/>
      <c r="AS118" s="1390"/>
      <c r="AT118" s="1656"/>
      <c r="AU118" s="646"/>
      <c r="AV118" s="646"/>
      <c r="AW118" s="646"/>
      <c r="AX118" s="646"/>
      <c r="AY118" s="1665">
        <v>11</v>
      </c>
    </row>
    <row s="1665" customFormat="1" customHeight="1" ht="11.549999999999999">
      <c r="A119" s="1011"/>
      <c r="B119" s="1011"/>
      <c r="C119" s="1011"/>
      <c r="D119" s="1011"/>
      <c r="E119" s="1011"/>
      <c r="F119" s="1660"/>
      <c r="G119" s="1660"/>
      <c r="H119" s="375"/>
      <c r="N119" s="1665"/>
      <c r="O119" s="1665"/>
      <c r="P119" s="1665"/>
      <c r="Q119" s="1665"/>
      <c r="R119" s="1665"/>
      <c r="S119" s="1665"/>
      <c r="T119" s="1665"/>
      <c r="U119" s="1665"/>
      <c r="V119" s="1665"/>
      <c r="W119" s="1665"/>
      <c r="X119" s="1665"/>
      <c r="Y119" s="1665"/>
      <c r="Z119" s="1665"/>
      <c r="AA119" s="1665"/>
      <c r="AB119" s="1390"/>
      <c r="AD119" s="1390"/>
      <c r="AE119" s="1660"/>
      <c r="AF119" s="1660"/>
      <c r="AG119" s="1390"/>
      <c r="AH119" s="1390"/>
      <c r="AI119" s="1390"/>
      <c r="AJ119" s="1390"/>
      <c r="AK119" s="1660"/>
      <c r="AL119" s="1390"/>
      <c r="AM119" s="1390"/>
      <c r="AN119" s="568"/>
      <c r="AO119" s="1390"/>
      <c r="AP119" s="1390"/>
      <c r="AQ119" s="1390"/>
      <c r="AR119" s="1390"/>
      <c r="AS119" s="1390"/>
      <c r="AT119" s="1656"/>
      <c r="AU119" s="646"/>
      <c r="AV119" s="646"/>
      <c r="AW119" s="646"/>
      <c r="AX119" s="646"/>
      <c r="AY119" s="1665">
        <v>11</v>
      </c>
    </row>
    <row s="1665" customFormat="1" customHeight="1" ht="11.549999999999999">
      <c r="A120" s="1011"/>
      <c r="B120" s="1011"/>
      <c r="C120" s="1011"/>
      <c r="D120" s="1011"/>
      <c r="E120" s="1011"/>
      <c r="F120" s="1660"/>
      <c r="G120" s="1660"/>
      <c r="H120" s="375"/>
      <c r="N120" s="1665"/>
      <c r="O120" s="1665"/>
      <c r="P120" s="1665"/>
      <c r="Q120" s="1665"/>
      <c r="R120" s="1665"/>
      <c r="S120" s="1665"/>
      <c r="T120" s="1665"/>
      <c r="U120" s="1665"/>
      <c r="V120" s="1665"/>
      <c r="W120" s="1665"/>
      <c r="X120" s="1665"/>
      <c r="Y120" s="1665"/>
      <c r="Z120" s="1665"/>
      <c r="AA120" s="1665"/>
      <c r="AB120" s="1390"/>
      <c r="AD120" s="1390"/>
      <c r="AE120" s="1660"/>
      <c r="AF120" s="1660"/>
      <c r="AG120" s="1390"/>
      <c r="AH120" s="1390"/>
      <c r="AI120" s="1390"/>
      <c r="AJ120" s="1390"/>
      <c r="AK120" s="1660"/>
      <c r="AL120" s="1390"/>
      <c r="AM120" s="1390"/>
      <c r="AN120" s="568"/>
      <c r="AO120" s="1390"/>
      <c r="AP120" s="1390"/>
      <c r="AQ120" s="1390"/>
      <c r="AR120" s="1390"/>
      <c r="AS120" s="1390"/>
      <c r="AT120" s="1656"/>
      <c r="AU120" s="646"/>
      <c r="AV120" s="646"/>
      <c r="AW120" s="646"/>
      <c r="AX120" s="646"/>
      <c r="AY120" s="1665">
        <v>11</v>
      </c>
    </row>
    <row s="1665" customFormat="1" customHeight="1" ht="11.549999999999999">
      <c r="A121" s="1011"/>
      <c r="B121" s="1011"/>
      <c r="C121" s="1011"/>
      <c r="D121" s="1011"/>
      <c r="E121" s="1011"/>
      <c r="F121" s="1660"/>
      <c r="G121" s="1660"/>
      <c r="H121" s="375"/>
      <c r="N121" s="1665"/>
      <c r="O121" s="1665"/>
      <c r="P121" s="1665"/>
      <c r="Q121" s="1665"/>
      <c r="R121" s="1665"/>
      <c r="S121" s="1665"/>
      <c r="T121" s="1665"/>
      <c r="U121" s="1665"/>
      <c r="V121" s="1665"/>
      <c r="W121" s="1665"/>
      <c r="X121" s="1665"/>
      <c r="Y121" s="1665"/>
      <c r="Z121" s="1665"/>
      <c r="AA121" s="1665"/>
      <c r="AB121" s="1390"/>
      <c r="AD121" s="1390"/>
      <c r="AE121" s="1660"/>
      <c r="AF121" s="1660"/>
      <c r="AG121" s="1390"/>
      <c r="AH121" s="1390"/>
      <c r="AI121" s="1390"/>
      <c r="AJ121" s="1390"/>
      <c r="AK121" s="1660"/>
      <c r="AL121" s="1390"/>
      <c r="AM121" s="1390"/>
      <c r="AN121" s="568"/>
      <c r="AO121" s="1390"/>
      <c r="AP121" s="1390"/>
      <c r="AQ121" s="1390"/>
      <c r="AR121" s="1390"/>
      <c r="AS121" s="1390"/>
      <c r="AT121" s="1656"/>
      <c r="AU121" s="646"/>
      <c r="AV121" s="646"/>
      <c r="AW121" s="646"/>
      <c r="AX121" s="646"/>
      <c r="AY121" s="1665">
        <v>11</v>
      </c>
    </row>
    <row s="1665" customFormat="1" customHeight="1" ht="11.549999999999999">
      <c r="A122" s="1011"/>
      <c r="B122" s="1011"/>
      <c r="C122" s="1011"/>
      <c r="D122" s="1011"/>
      <c r="E122" s="1011"/>
      <c r="F122" s="1660"/>
      <c r="G122" s="1660"/>
      <c r="H122" s="375"/>
      <c r="N122" s="1665"/>
      <c r="O122" s="1665"/>
      <c r="P122" s="1665"/>
      <c r="Q122" s="1665"/>
      <c r="R122" s="1665"/>
      <c r="S122" s="1665"/>
      <c r="T122" s="1665"/>
      <c r="U122" s="1665"/>
      <c r="V122" s="1665"/>
      <c r="W122" s="1665"/>
      <c r="X122" s="1665"/>
      <c r="Y122" s="1665"/>
      <c r="Z122" s="1665"/>
      <c r="AA122" s="1665"/>
      <c r="AB122" s="1390"/>
      <c r="AD122" s="1390"/>
      <c r="AE122" s="1660"/>
      <c r="AF122" s="1660"/>
      <c r="AG122" s="1390"/>
      <c r="AH122" s="1390"/>
      <c r="AI122" s="1390"/>
      <c r="AJ122" s="1390"/>
      <c r="AK122" s="1660"/>
      <c r="AL122" s="1390"/>
      <c r="AM122" s="1390"/>
      <c r="AN122" s="568"/>
      <c r="AO122" s="1390"/>
      <c r="AP122" s="1390"/>
      <c r="AQ122" s="1390"/>
      <c r="AR122" s="1390"/>
      <c r="AS122" s="1390"/>
      <c r="AT122" s="1656"/>
      <c r="AU122" s="646"/>
      <c r="AV122" s="646"/>
      <c r="AW122" s="646"/>
      <c r="AX122" s="646"/>
      <c r="AY122" s="1665">
        <v>11</v>
      </c>
    </row>
    <row s="1665" customFormat="1" customHeight="1" ht="11.549999999999999">
      <c r="A123" s="1011"/>
      <c r="B123" s="1011"/>
      <c r="C123" s="1011"/>
      <c r="D123" s="1011"/>
      <c r="E123" s="1011"/>
      <c r="F123" s="1660"/>
      <c r="G123" s="1660"/>
      <c r="H123" s="375"/>
      <c r="N123" s="1665"/>
      <c r="O123" s="1665"/>
      <c r="P123" s="1665"/>
      <c r="Q123" s="1665"/>
      <c r="R123" s="1665"/>
      <c r="S123" s="1665"/>
      <c r="T123" s="1665"/>
      <c r="U123" s="1665"/>
      <c r="V123" s="1665"/>
      <c r="W123" s="1665"/>
      <c r="X123" s="1665"/>
      <c r="Y123" s="1665"/>
      <c r="Z123" s="1665"/>
      <c r="AA123" s="1665"/>
      <c r="AB123" s="1390"/>
      <c r="AD123" s="1390"/>
      <c r="AE123" s="1660"/>
      <c r="AF123" s="1660"/>
      <c r="AG123" s="1390"/>
      <c r="AH123" s="1390"/>
      <c r="AI123" s="1390"/>
      <c r="AJ123" s="1390"/>
      <c r="AK123" s="1660"/>
      <c r="AL123" s="1390"/>
      <c r="AM123" s="1390"/>
      <c r="AN123" s="568"/>
      <c r="AO123" s="1390"/>
      <c r="AP123" s="1390"/>
      <c r="AQ123" s="1390"/>
      <c r="AR123" s="1390"/>
      <c r="AS123" s="1390"/>
      <c r="AT123" s="1656"/>
      <c r="AU123" s="646"/>
      <c r="AV123" s="646"/>
      <c r="AW123" s="646"/>
      <c r="AX123" s="646"/>
      <c r="AY123" s="1665">
        <v>11</v>
      </c>
    </row>
    <row s="1665" customFormat="1" customHeight="1" ht="11.549999999999999">
      <c r="A124" s="1011"/>
      <c r="B124" s="1011"/>
      <c r="C124" s="1011"/>
      <c r="D124" s="1011"/>
      <c r="E124" s="1011"/>
      <c r="F124" s="1660"/>
      <c r="G124" s="1660"/>
      <c r="H124" s="375"/>
      <c r="N124" s="1665"/>
      <c r="O124" s="1665"/>
      <c r="P124" s="1665"/>
      <c r="Q124" s="1665"/>
      <c r="R124" s="1665"/>
      <c r="S124" s="1665"/>
      <c r="T124" s="1665"/>
      <c r="U124" s="1665"/>
      <c r="V124" s="1665"/>
      <c r="W124" s="1665"/>
      <c r="X124" s="1665"/>
      <c r="Y124" s="1665"/>
      <c r="Z124" s="1665"/>
      <c r="AA124" s="1665"/>
      <c r="AB124" s="1390"/>
      <c r="AD124" s="1390"/>
      <c r="AE124" s="1660"/>
      <c r="AF124" s="1660"/>
      <c r="AG124" s="1390"/>
      <c r="AH124" s="1390"/>
      <c r="AI124" s="1390"/>
      <c r="AJ124" s="1390"/>
      <c r="AK124" s="1660"/>
      <c r="AL124" s="1390"/>
      <c r="AM124" s="1390"/>
      <c r="AN124" s="568"/>
      <c r="AO124" s="1390"/>
      <c r="AP124" s="1390"/>
      <c r="AQ124" s="1390"/>
      <c r="AR124" s="1390"/>
      <c r="AS124" s="1390"/>
      <c r="AT124" s="1656"/>
      <c r="AU124" s="646"/>
      <c r="AV124" s="646"/>
      <c r="AW124" s="646"/>
      <c r="AX124" s="646"/>
      <c r="AY124" s="1665">
        <v>11</v>
      </c>
    </row>
    <row s="1665" customFormat="1" customHeight="1" ht="11.549999999999999">
      <c r="A125" s="1011"/>
      <c r="B125" s="1011"/>
      <c r="C125" s="1011"/>
      <c r="D125" s="1011"/>
      <c r="E125" s="1011"/>
      <c r="F125" s="1660"/>
      <c r="G125" s="1660"/>
      <c r="H125" s="375"/>
      <c r="N125" s="1665"/>
      <c r="O125" s="1665"/>
      <c r="P125" s="1665"/>
      <c r="Q125" s="1665"/>
      <c r="R125" s="1665"/>
      <c r="S125" s="1665"/>
      <c r="T125" s="1665"/>
      <c r="U125" s="1665"/>
      <c r="V125" s="1665"/>
      <c r="W125" s="1665"/>
      <c r="X125" s="1665"/>
      <c r="Y125" s="1665"/>
      <c r="Z125" s="1665"/>
      <c r="AA125" s="1665"/>
      <c r="AB125" s="1390"/>
      <c r="AD125" s="1390"/>
      <c r="AE125" s="1660"/>
      <c r="AF125" s="1660"/>
      <c r="AG125" s="1390"/>
      <c r="AH125" s="1390"/>
      <c r="AI125" s="1390"/>
      <c r="AJ125" s="1390"/>
      <c r="AK125" s="1660"/>
      <c r="AL125" s="1390"/>
      <c r="AM125" s="1390"/>
      <c r="AN125" s="568"/>
      <c r="AO125" s="1390"/>
      <c r="AP125" s="1390"/>
      <c r="AQ125" s="1390"/>
      <c r="AR125" s="1390"/>
      <c r="AS125" s="1390"/>
      <c r="AT125" s="1656"/>
      <c r="AU125" s="646"/>
      <c r="AV125" s="646"/>
      <c r="AW125" s="646"/>
      <c r="AX125" s="646"/>
      <c r="AY125" s="1665">
        <v>11</v>
      </c>
    </row>
    <row s="1665" customFormat="1" customHeight="1" ht="11.549999999999999">
      <c r="A126" s="1011"/>
      <c r="B126" s="1011"/>
      <c r="C126" s="1011"/>
      <c r="D126" s="1011"/>
      <c r="E126" s="1011"/>
      <c r="F126" s="1660"/>
      <c r="G126" s="1660"/>
      <c r="H126" s="375"/>
      <c r="N126" s="1665"/>
      <c r="O126" s="1665"/>
      <c r="P126" s="1665"/>
      <c r="Q126" s="1665"/>
      <c r="R126" s="1665"/>
      <c r="S126" s="1665"/>
      <c r="T126" s="1665"/>
      <c r="U126" s="1665"/>
      <c r="V126" s="1665"/>
      <c r="W126" s="1665"/>
      <c r="X126" s="1665"/>
      <c r="Y126" s="1665"/>
      <c r="Z126" s="1665"/>
      <c r="AA126" s="1665"/>
      <c r="AB126" s="1390"/>
      <c r="AD126" s="1390"/>
      <c r="AE126" s="1660"/>
      <c r="AF126" s="1660"/>
      <c r="AG126" s="1390"/>
      <c r="AH126" s="1390"/>
      <c r="AI126" s="1390"/>
      <c r="AJ126" s="1390"/>
      <c r="AK126" s="1660"/>
      <c r="AL126" s="1390"/>
      <c r="AM126" s="1390"/>
      <c r="AN126" s="568"/>
      <c r="AO126" s="1390"/>
      <c r="AP126" s="1390"/>
      <c r="AQ126" s="1390"/>
      <c r="AR126" s="1390"/>
      <c r="AS126" s="1390"/>
      <c r="AT126" s="1656"/>
      <c r="AU126" s="646"/>
      <c r="AV126" s="646"/>
      <c r="AW126" s="646"/>
      <c r="AX126" s="646"/>
      <c r="AY126" s="1665">
        <v>11</v>
      </c>
    </row>
    <row s="1665" customFormat="1" customHeight="1" ht="11.549999999999999">
      <c r="A127" s="1011"/>
      <c r="B127" s="1011"/>
      <c r="C127" s="1011"/>
      <c r="D127" s="1011"/>
      <c r="E127" s="1011"/>
      <c r="F127" s="1660"/>
      <c r="G127" s="1660"/>
      <c r="H127" s="375"/>
      <c r="N127" s="1665"/>
      <c r="O127" s="1665"/>
      <c r="P127" s="1665"/>
      <c r="Q127" s="1665"/>
      <c r="R127" s="1665"/>
      <c r="S127" s="1665"/>
      <c r="T127" s="1665"/>
      <c r="U127" s="1665"/>
      <c r="V127" s="1665"/>
      <c r="W127" s="1665"/>
      <c r="X127" s="1665"/>
      <c r="Y127" s="1665"/>
      <c r="Z127" s="1665"/>
      <c r="AA127" s="1665"/>
      <c r="AB127" s="1390"/>
      <c r="AD127" s="1390"/>
      <c r="AE127" s="1660"/>
      <c r="AF127" s="1660"/>
      <c r="AG127" s="1390"/>
      <c r="AH127" s="1390"/>
      <c r="AI127" s="1390"/>
      <c r="AJ127" s="1390"/>
      <c r="AK127" s="1660"/>
      <c r="AL127" s="1390"/>
      <c r="AM127" s="1390"/>
      <c r="AN127" s="568"/>
      <c r="AO127" s="1390"/>
      <c r="AP127" s="1390"/>
      <c r="AQ127" s="1390"/>
      <c r="AR127" s="1390"/>
      <c r="AS127" s="1390"/>
      <c r="AT127" s="1656"/>
      <c r="AU127" s="646"/>
      <c r="AV127" s="646"/>
      <c r="AW127" s="646"/>
      <c r="AX127" s="646"/>
      <c r="AY127" s="1665">
        <v>11</v>
      </c>
    </row>
    <row s="1665" customFormat="1" customHeight="1" ht="11.549999999999999">
      <c r="A128" s="1011"/>
      <c r="B128" s="1011"/>
      <c r="C128" s="1011"/>
      <c r="D128" s="1011"/>
      <c r="E128" s="1011"/>
      <c r="F128" s="1660"/>
      <c r="G128" s="1660"/>
      <c r="H128" s="375"/>
      <c r="N128" s="1665"/>
      <c r="O128" s="1665"/>
      <c r="P128" s="1665"/>
      <c r="Q128" s="1665"/>
      <c r="R128" s="1665"/>
      <c r="S128" s="1665"/>
      <c r="T128" s="1665"/>
      <c r="U128" s="1665"/>
      <c r="V128" s="1665"/>
      <c r="W128" s="1665"/>
      <c r="X128" s="1665"/>
      <c r="Y128" s="1665"/>
      <c r="Z128" s="1665"/>
      <c r="AA128" s="1665"/>
      <c r="AB128" s="1390"/>
      <c r="AD128" s="1390"/>
      <c r="AE128" s="1660"/>
      <c r="AF128" s="1660"/>
      <c r="AG128" s="1390"/>
      <c r="AH128" s="1390"/>
      <c r="AI128" s="1390"/>
      <c r="AJ128" s="1390"/>
      <c r="AK128" s="1660"/>
      <c r="AL128" s="1390"/>
      <c r="AM128" s="1390"/>
      <c r="AN128" s="568"/>
      <c r="AO128" s="1390"/>
      <c r="AP128" s="1390"/>
      <c r="AQ128" s="1390"/>
      <c r="AR128" s="1390"/>
      <c r="AS128" s="1390"/>
      <c r="AT128" s="1656"/>
      <c r="AU128" s="646"/>
      <c r="AV128" s="646"/>
      <c r="AW128" s="646"/>
      <c r="AX128" s="646"/>
      <c r="AY128" s="1665">
        <v>11</v>
      </c>
    </row>
    <row s="1665" customFormat="1" customHeight="1" ht="11.549999999999999">
      <c r="A129" s="1011"/>
      <c r="B129" s="1011"/>
      <c r="C129" s="1011"/>
      <c r="D129" s="1011"/>
      <c r="E129" s="1011"/>
      <c r="F129" s="1660"/>
      <c r="G129" s="1660"/>
      <c r="H129" s="375"/>
      <c r="N129" s="1665"/>
      <c r="O129" s="1665"/>
      <c r="P129" s="1665"/>
      <c r="Q129" s="1665"/>
      <c r="R129" s="1665"/>
      <c r="S129" s="1665"/>
      <c r="T129" s="1665"/>
      <c r="U129" s="1665"/>
      <c r="V129" s="1665"/>
      <c r="W129" s="1665"/>
      <c r="X129" s="1665"/>
      <c r="Y129" s="1665"/>
      <c r="Z129" s="1665"/>
      <c r="AA129" s="1665"/>
      <c r="AB129" s="1390"/>
      <c r="AD129" s="1390"/>
      <c r="AE129" s="1660"/>
      <c r="AF129" s="1660"/>
      <c r="AG129" s="1390"/>
      <c r="AH129" s="1390"/>
      <c r="AI129" s="1390"/>
      <c r="AJ129" s="1390"/>
      <c r="AK129" s="1660"/>
      <c r="AL129" s="1390"/>
      <c r="AM129" s="1390"/>
      <c r="AN129" s="568"/>
      <c r="AO129" s="1390"/>
      <c r="AP129" s="1390"/>
      <c r="AQ129" s="1390"/>
      <c r="AR129" s="1390"/>
      <c r="AS129" s="1390"/>
      <c r="AT129" s="1656"/>
      <c r="AU129" s="646"/>
      <c r="AV129" s="646"/>
      <c r="AW129" s="646"/>
      <c r="AX129" s="646"/>
      <c r="AY129" s="1665">
        <v>11</v>
      </c>
    </row>
    <row s="1665" customFormat="1" customHeight="1" ht="11.549999999999999">
      <c r="A130" s="1011"/>
      <c r="B130" s="1011"/>
      <c r="C130" s="1011"/>
      <c r="D130" s="1011"/>
      <c r="E130" s="1011"/>
      <c r="F130" s="1660"/>
      <c r="G130" s="1660"/>
      <c r="H130" s="375"/>
      <c r="N130" s="1665"/>
      <c r="O130" s="1665"/>
      <c r="P130" s="1665"/>
      <c r="Q130" s="1665"/>
      <c r="R130" s="1665"/>
      <c r="S130" s="1665"/>
      <c r="T130" s="1665"/>
      <c r="U130" s="1665"/>
      <c r="V130" s="1665"/>
      <c r="W130" s="1665"/>
      <c r="X130" s="1665"/>
      <c r="Y130" s="1665"/>
      <c r="Z130" s="1665"/>
      <c r="AA130" s="1665"/>
      <c r="AB130" s="1390"/>
      <c r="AD130" s="1390"/>
      <c r="AE130" s="1660"/>
      <c r="AF130" s="1660"/>
      <c r="AG130" s="1390"/>
      <c r="AH130" s="1390"/>
      <c r="AI130" s="1390"/>
      <c r="AJ130" s="1390"/>
      <c r="AK130" s="1660"/>
      <c r="AL130" s="1390"/>
      <c r="AM130" s="1390"/>
      <c r="AN130" s="568"/>
      <c r="AO130" s="1390"/>
      <c r="AP130" s="1390"/>
      <c r="AQ130" s="1390"/>
      <c r="AR130" s="1390"/>
      <c r="AS130" s="1390"/>
      <c r="AT130" s="1656"/>
      <c r="AU130" s="646"/>
      <c r="AV130" s="646"/>
      <c r="AW130" s="646"/>
      <c r="AX130" s="646"/>
      <c r="AY130" s="1665">
        <v>11</v>
      </c>
    </row>
    <row s="1665" customFormat="1" customHeight="1" ht="11.549999999999999">
      <c r="A131" s="1011"/>
      <c r="B131" s="1011"/>
      <c r="C131" s="1011"/>
      <c r="D131" s="1011"/>
      <c r="E131" s="1011"/>
      <c r="F131" s="1660"/>
      <c r="G131" s="1660"/>
      <c r="H131" s="375"/>
      <c r="N131" s="1665"/>
      <c r="O131" s="1665"/>
      <c r="P131" s="1665"/>
      <c r="Q131" s="1665"/>
      <c r="R131" s="1665"/>
      <c r="S131" s="1665"/>
      <c r="T131" s="1665"/>
      <c r="U131" s="1665"/>
      <c r="V131" s="1665"/>
      <c r="W131" s="1665"/>
      <c r="X131" s="1665"/>
      <c r="Y131" s="1665"/>
      <c r="Z131" s="1665"/>
      <c r="AA131" s="1665"/>
      <c r="AB131" s="1390"/>
      <c r="AD131" s="1390"/>
      <c r="AE131" s="1660"/>
      <c r="AF131" s="1660"/>
      <c r="AG131" s="1390"/>
      <c r="AH131" s="1390"/>
      <c r="AI131" s="1390"/>
      <c r="AJ131" s="1390"/>
      <c r="AK131" s="1660"/>
      <c r="AL131" s="1390"/>
      <c r="AM131" s="1390"/>
      <c r="AN131" s="568"/>
      <c r="AO131" s="1390"/>
      <c r="AP131" s="1390"/>
      <c r="AQ131" s="1390"/>
      <c r="AR131" s="1390"/>
      <c r="AS131" s="1390"/>
      <c r="AT131" s="1656"/>
      <c r="AU131" s="646"/>
      <c r="AV131" s="646"/>
      <c r="AW131" s="646"/>
      <c r="AX131" s="646"/>
      <c r="AY131" s="1665">
        <v>11</v>
      </c>
    </row>
    <row s="1665" customFormat="1" customHeight="1" ht="11.549999999999999">
      <c r="A132" s="1011"/>
      <c r="B132" s="1011"/>
      <c r="C132" s="1011"/>
      <c r="D132" s="1011"/>
      <c r="E132" s="1011"/>
      <c r="F132" s="1660"/>
      <c r="G132" s="1660"/>
      <c r="H132" s="375"/>
      <c r="N132" s="1665"/>
      <c r="O132" s="1665"/>
      <c r="P132" s="1665"/>
      <c r="Q132" s="1665"/>
      <c r="R132" s="1665"/>
      <c r="S132" s="1665"/>
      <c r="T132" s="1665"/>
      <c r="U132" s="1665"/>
      <c r="V132" s="1665"/>
      <c r="W132" s="1665"/>
      <c r="X132" s="1665"/>
      <c r="Y132" s="1665"/>
      <c r="Z132" s="1665"/>
      <c r="AA132" s="1665"/>
      <c r="AB132" s="1390"/>
      <c r="AD132" s="1390"/>
      <c r="AE132" s="1660"/>
      <c r="AF132" s="1660"/>
      <c r="AG132" s="1390"/>
      <c r="AH132" s="1390"/>
      <c r="AI132" s="1390"/>
      <c r="AJ132" s="1390"/>
      <c r="AK132" s="1660"/>
      <c r="AL132" s="1390"/>
      <c r="AM132" s="1390"/>
      <c r="AN132" s="568"/>
      <c r="AO132" s="1390"/>
      <c r="AP132" s="1390"/>
      <c r="AQ132" s="1390"/>
      <c r="AR132" s="1390"/>
      <c r="AS132" s="1390"/>
      <c r="AT132" s="1656"/>
      <c r="AU132" s="646"/>
      <c r="AV132" s="646"/>
      <c r="AW132" s="646"/>
      <c r="AX132" s="646"/>
      <c r="AY132" s="1665">
        <v>11</v>
      </c>
    </row>
    <row s="1665" customFormat="1" customHeight="1" ht="11.549999999999999">
      <c r="A133" s="1011"/>
      <c r="B133" s="1011"/>
      <c r="C133" s="1011"/>
      <c r="D133" s="1011"/>
      <c r="E133" s="1011"/>
      <c r="F133" s="1660"/>
      <c r="G133" s="1660"/>
      <c r="H133" s="375"/>
      <c r="N133" s="1665"/>
      <c r="O133" s="1665"/>
      <c r="P133" s="1665"/>
      <c r="Q133" s="1665"/>
      <c r="R133" s="1665"/>
      <c r="S133" s="1665"/>
      <c r="T133" s="1665"/>
      <c r="U133" s="1665"/>
      <c r="V133" s="1665"/>
      <c r="W133" s="1665"/>
      <c r="X133" s="1665"/>
      <c r="Y133" s="1665"/>
      <c r="Z133" s="1665"/>
      <c r="AA133" s="1665"/>
      <c r="AB133" s="1390"/>
      <c r="AD133" s="1390"/>
      <c r="AE133" s="1660"/>
      <c r="AF133" s="1660"/>
      <c r="AG133" s="1390"/>
      <c r="AH133" s="1390"/>
      <c r="AI133" s="1390"/>
      <c r="AJ133" s="1390"/>
      <c r="AK133" s="1660"/>
      <c r="AL133" s="1390"/>
      <c r="AM133" s="1390"/>
      <c r="AN133" s="568"/>
      <c r="AO133" s="1390"/>
      <c r="AP133" s="1390"/>
      <c r="AQ133" s="1390"/>
      <c r="AR133" s="1390"/>
      <c r="AS133" s="1390"/>
      <c r="AT133" s="1656"/>
      <c r="AU133" s="646"/>
      <c r="AV133" s="646"/>
      <c r="AW133" s="646"/>
      <c r="AX133" s="646"/>
      <c r="AY133" s="1665">
        <v>11</v>
      </c>
    </row>
    <row s="1665" customFormat="1" customHeight="1" ht="11.549999999999999">
      <c r="A134" s="1011"/>
      <c r="B134" s="1011"/>
      <c r="C134" s="1011"/>
      <c r="D134" s="1011"/>
      <c r="E134" s="1011"/>
      <c r="F134" s="1660"/>
      <c r="G134" s="1660"/>
      <c r="H134" s="375"/>
      <c r="N134" s="1665"/>
      <c r="O134" s="1665"/>
      <c r="P134" s="1665"/>
      <c r="Q134" s="1665"/>
      <c r="R134" s="1665"/>
      <c r="S134" s="1665"/>
      <c r="T134" s="1665"/>
      <c r="U134" s="1665"/>
      <c r="V134" s="1665"/>
      <c r="W134" s="1665"/>
      <c r="X134" s="1665"/>
      <c r="Y134" s="1665"/>
      <c r="Z134" s="1665"/>
      <c r="AA134" s="1665"/>
      <c r="AB134" s="1390"/>
      <c r="AD134" s="1390"/>
      <c r="AE134" s="1660"/>
      <c r="AF134" s="1660"/>
      <c r="AG134" s="1390"/>
      <c r="AH134" s="1390"/>
      <c r="AI134" s="1390"/>
      <c r="AJ134" s="1390"/>
      <c r="AK134" s="1660"/>
      <c r="AL134" s="1390"/>
      <c r="AM134" s="1390"/>
      <c r="AN134" s="568"/>
      <c r="AO134" s="1390"/>
      <c r="AP134" s="1390"/>
      <c r="AQ134" s="1390"/>
      <c r="AR134" s="1390"/>
      <c r="AS134" s="1390"/>
      <c r="AT134" s="1656"/>
      <c r="AU134" s="646"/>
      <c r="AV134" s="646"/>
      <c r="AW134" s="646"/>
      <c r="AX134" s="646"/>
      <c r="AY134" s="1665">
        <v>11</v>
      </c>
    </row>
    <row s="1665" customFormat="1" customHeight="1" ht="11.549999999999999">
      <c r="A135" s="1011"/>
      <c r="B135" s="1011"/>
      <c r="C135" s="1011"/>
      <c r="D135" s="1011"/>
      <c r="E135" s="1011"/>
      <c r="F135" s="1660"/>
      <c r="G135" s="1660"/>
      <c r="H135" s="375"/>
      <c r="N135" s="1665"/>
      <c r="O135" s="1665"/>
      <c r="P135" s="1665"/>
      <c r="Q135" s="1665"/>
      <c r="R135" s="1665"/>
      <c r="S135" s="1665"/>
      <c r="T135" s="1665"/>
      <c r="U135" s="1665"/>
      <c r="V135" s="1665"/>
      <c r="W135" s="1665"/>
      <c r="X135" s="1665"/>
      <c r="Y135" s="1665"/>
      <c r="Z135" s="1665"/>
      <c r="AA135" s="1665"/>
      <c r="AB135" s="1390"/>
      <c r="AD135" s="1390"/>
      <c r="AE135" s="1660"/>
      <c r="AF135" s="1660"/>
      <c r="AG135" s="1390"/>
      <c r="AH135" s="1390"/>
      <c r="AI135" s="1390"/>
      <c r="AJ135" s="1390"/>
      <c r="AK135" s="1660"/>
      <c r="AL135" s="1390"/>
      <c r="AM135" s="1390"/>
      <c r="AN135" s="568"/>
      <c r="AO135" s="1390"/>
      <c r="AP135" s="1390"/>
      <c r="AQ135" s="1390"/>
      <c r="AR135" s="1390"/>
      <c r="AS135" s="1390"/>
      <c r="AT135" s="1656"/>
      <c r="AU135" s="646"/>
      <c r="AV135" s="646"/>
      <c r="AW135" s="646"/>
      <c r="AX135" s="646"/>
      <c r="AY135" s="1665">
        <v>11</v>
      </c>
    </row>
    <row s="1665" customFormat="1" customHeight="1" ht="11.549999999999999">
      <c r="A136" s="1011"/>
      <c r="B136" s="1011"/>
      <c r="C136" s="1011"/>
      <c r="D136" s="1011"/>
      <c r="E136" s="1011"/>
      <c r="F136" s="1660"/>
      <c r="G136" s="1660"/>
      <c r="H136" s="375"/>
      <c r="N136" s="1665"/>
      <c r="O136" s="1665"/>
      <c r="P136" s="1665"/>
      <c r="Q136" s="1665"/>
      <c r="R136" s="1665"/>
      <c r="S136" s="1665"/>
      <c r="T136" s="1665"/>
      <c r="U136" s="1665"/>
      <c r="V136" s="1665"/>
      <c r="W136" s="1665"/>
      <c r="X136" s="1665"/>
      <c r="Y136" s="1665"/>
      <c r="Z136" s="1665"/>
      <c r="AA136" s="1665"/>
      <c r="AB136" s="1390"/>
      <c r="AD136" s="1390"/>
      <c r="AE136" s="1660"/>
      <c r="AF136" s="1660"/>
      <c r="AG136" s="1390"/>
      <c r="AH136" s="1390"/>
      <c r="AI136" s="1390"/>
      <c r="AJ136" s="1390"/>
      <c r="AK136" s="1660"/>
      <c r="AL136" s="1390"/>
      <c r="AM136" s="1390"/>
      <c r="AN136" s="568"/>
      <c r="AO136" s="1390"/>
      <c r="AP136" s="1390"/>
      <c r="AQ136" s="1390"/>
      <c r="AR136" s="1390"/>
      <c r="AS136" s="1390"/>
      <c r="AT136" s="1656"/>
      <c r="AU136" s="646"/>
      <c r="AV136" s="646"/>
      <c r="AW136" s="646"/>
      <c r="AX136" s="646"/>
      <c r="AY136" s="1665">
        <v>11</v>
      </c>
    </row>
    <row s="1665" customFormat="1" customHeight="1" ht="11.549999999999999">
      <c r="A137" s="1011"/>
      <c r="B137" s="1011"/>
      <c r="C137" s="1011"/>
      <c r="D137" s="1011"/>
      <c r="E137" s="1011"/>
      <c r="F137" s="1660"/>
      <c r="G137" s="1660"/>
      <c r="H137" s="375"/>
      <c r="N137" s="1665"/>
      <c r="O137" s="1665"/>
      <c r="P137" s="1665"/>
      <c r="Q137" s="1665"/>
      <c r="R137" s="1665"/>
      <c r="S137" s="1665"/>
      <c r="T137" s="1665"/>
      <c r="U137" s="1665"/>
      <c r="V137" s="1665"/>
      <c r="W137" s="1665"/>
      <c r="X137" s="1665"/>
      <c r="Y137" s="1665"/>
      <c r="Z137" s="1665"/>
      <c r="AA137" s="1665"/>
      <c r="AB137" s="1390"/>
      <c r="AD137" s="1390"/>
      <c r="AE137" s="1660"/>
      <c r="AF137" s="1660"/>
      <c r="AG137" s="1390"/>
      <c r="AH137" s="1390"/>
      <c r="AI137" s="1390"/>
      <c r="AJ137" s="1390"/>
      <c r="AK137" s="1660"/>
      <c r="AL137" s="1390"/>
      <c r="AM137" s="1390"/>
      <c r="AN137" s="568"/>
      <c r="AO137" s="1390"/>
      <c r="AP137" s="1390"/>
      <c r="AQ137" s="1390"/>
      <c r="AR137" s="1390"/>
      <c r="AS137" s="1390"/>
      <c r="AT137" s="1656"/>
      <c r="AU137" s="646"/>
      <c r="AV137" s="646"/>
      <c r="AW137" s="646"/>
      <c r="AX137" s="646"/>
      <c r="AY137" s="1665">
        <v>11</v>
      </c>
    </row>
    <row s="1665" customFormat="1" customHeight="1" ht="11.549999999999999">
      <c r="A138" s="1011"/>
      <c r="B138" s="1011"/>
      <c r="C138" s="1011"/>
      <c r="D138" s="1011"/>
      <c r="E138" s="1011"/>
      <c r="F138" s="1660"/>
      <c r="G138" s="1660"/>
      <c r="H138" s="375"/>
      <c r="N138" s="1665"/>
      <c r="O138" s="1665"/>
      <c r="P138" s="1665"/>
      <c r="Q138" s="1665"/>
      <c r="R138" s="1665"/>
      <c r="S138" s="1665"/>
      <c r="T138" s="1665"/>
      <c r="U138" s="1665"/>
      <c r="V138" s="1665"/>
      <c r="W138" s="1665"/>
      <c r="X138" s="1665"/>
      <c r="Y138" s="1665"/>
      <c r="Z138" s="1665"/>
      <c r="AA138" s="1665"/>
      <c r="AB138" s="1390"/>
      <c r="AD138" s="1390"/>
      <c r="AE138" s="1660"/>
      <c r="AF138" s="1660"/>
      <c r="AG138" s="1390"/>
      <c r="AH138" s="1390"/>
      <c r="AI138" s="1390"/>
      <c r="AJ138" s="1390"/>
      <c r="AK138" s="1660"/>
      <c r="AL138" s="1390"/>
      <c r="AM138" s="1390"/>
      <c r="AN138" s="568"/>
      <c r="AO138" s="1390"/>
      <c r="AP138" s="1390"/>
      <c r="AQ138" s="1390"/>
      <c r="AR138" s="1390"/>
      <c r="AS138" s="1390"/>
      <c r="AT138" s="1656"/>
      <c r="AU138" s="646"/>
      <c r="AV138" s="646"/>
      <c r="AW138" s="646"/>
      <c r="AX138" s="646"/>
      <c r="AY138" s="1665">
        <v>11</v>
      </c>
    </row>
    <row s="1665" customFormat="1" customHeight="1" ht="11.549999999999999">
      <c r="A139" s="1011"/>
      <c r="B139" s="1011"/>
      <c r="C139" s="1011"/>
      <c r="D139" s="1011"/>
      <c r="E139" s="1011"/>
      <c r="F139" s="1660"/>
      <c r="G139" s="1660"/>
      <c r="H139" s="375"/>
      <c r="N139" s="1665"/>
      <c r="O139" s="1665"/>
      <c r="P139" s="1665"/>
      <c r="Q139" s="1665"/>
      <c r="R139" s="1665"/>
      <c r="S139" s="1665"/>
      <c r="T139" s="1665"/>
      <c r="U139" s="1665"/>
      <c r="V139" s="1665"/>
      <c r="W139" s="1665"/>
      <c r="X139" s="1665"/>
      <c r="Y139" s="1665"/>
      <c r="Z139" s="1665"/>
      <c r="AA139" s="1665"/>
      <c r="AB139" s="1390"/>
      <c r="AD139" s="1390"/>
      <c r="AE139" s="1660"/>
      <c r="AF139" s="1660"/>
      <c r="AG139" s="1390"/>
      <c r="AH139" s="1390"/>
      <c r="AI139" s="1390"/>
      <c r="AJ139" s="1390"/>
      <c r="AK139" s="1660"/>
      <c r="AL139" s="1390"/>
      <c r="AM139" s="1390"/>
      <c r="AN139" s="568"/>
      <c r="AO139" s="1390"/>
      <c r="AP139" s="1390"/>
      <c r="AQ139" s="1390"/>
      <c r="AR139" s="1390"/>
      <c r="AS139" s="1390"/>
      <c r="AT139" s="1656"/>
      <c r="AU139" s="646"/>
      <c r="AV139" s="646"/>
      <c r="AW139" s="646"/>
      <c r="AX139" s="646"/>
      <c r="AY139" s="1665">
        <v>11</v>
      </c>
    </row>
    <row s="1665" customFormat="1" customHeight="1" ht="11.549999999999999">
      <c r="A140" s="1011"/>
      <c r="B140" s="1011"/>
      <c r="C140" s="1011"/>
      <c r="D140" s="1011"/>
      <c r="E140" s="1011"/>
      <c r="F140" s="1660"/>
      <c r="G140" s="1660"/>
      <c r="H140" s="375"/>
      <c r="N140" s="1665"/>
      <c r="O140" s="1665"/>
      <c r="P140" s="1665"/>
      <c r="Q140" s="1665"/>
      <c r="R140" s="1665"/>
      <c r="S140" s="1665"/>
      <c r="T140" s="1665"/>
      <c r="U140" s="1665"/>
      <c r="V140" s="1665"/>
      <c r="W140" s="1665"/>
      <c r="X140" s="1665"/>
      <c r="Y140" s="1665"/>
      <c r="Z140" s="1665"/>
      <c r="AA140" s="1665"/>
      <c r="AB140" s="1390"/>
      <c r="AD140" s="1390"/>
      <c r="AE140" s="1660"/>
      <c r="AF140" s="1660"/>
      <c r="AG140" s="1390"/>
      <c r="AH140" s="1390"/>
      <c r="AI140" s="1390"/>
      <c r="AJ140" s="1390"/>
      <c r="AK140" s="1660"/>
      <c r="AL140" s="1390"/>
      <c r="AM140" s="1390"/>
      <c r="AN140" s="568"/>
      <c r="AO140" s="1390"/>
      <c r="AP140" s="1390"/>
      <c r="AQ140" s="1390"/>
      <c r="AR140" s="1390"/>
      <c r="AS140" s="1390"/>
      <c r="AT140" s="1656"/>
      <c r="AU140" s="646"/>
      <c r="AV140" s="646"/>
      <c r="AW140" s="646"/>
      <c r="AX140" s="646"/>
      <c r="AY140" s="1665">
        <v>11</v>
      </c>
    </row>
    <row s="1665" customFormat="1" customHeight="1" ht="11.549999999999999">
      <c r="A141" s="1011"/>
      <c r="B141" s="1011"/>
      <c r="C141" s="1011"/>
      <c r="D141" s="1011"/>
      <c r="E141" s="1011"/>
      <c r="F141" s="1660"/>
      <c r="G141" s="1660"/>
      <c r="H141" s="375"/>
      <c r="N141" s="1665"/>
      <c r="O141" s="1665"/>
      <c r="P141" s="1665"/>
      <c r="Q141" s="1665"/>
      <c r="R141" s="1665"/>
      <c r="S141" s="1665"/>
      <c r="T141" s="1665"/>
      <c r="U141" s="1665"/>
      <c r="V141" s="1665"/>
      <c r="W141" s="1665"/>
      <c r="X141" s="1665"/>
      <c r="Y141" s="1665"/>
      <c r="Z141" s="1665"/>
      <c r="AA141" s="1665"/>
      <c r="AB141" s="1390"/>
      <c r="AD141" s="1390"/>
      <c r="AE141" s="1660"/>
      <c r="AF141" s="1660"/>
      <c r="AG141" s="1390"/>
      <c r="AH141" s="1390"/>
      <c r="AI141" s="1390"/>
      <c r="AJ141" s="1390"/>
      <c r="AK141" s="1660"/>
      <c r="AL141" s="1390"/>
      <c r="AM141" s="1390"/>
      <c r="AN141" s="568"/>
      <c r="AO141" s="1390"/>
      <c r="AP141" s="1390"/>
      <c r="AQ141" s="1390"/>
      <c r="AR141" s="1390"/>
      <c r="AS141" s="1390"/>
      <c r="AT141" s="1656"/>
      <c r="AU141" s="646"/>
      <c r="AV141" s="646"/>
      <c r="AW141" s="646"/>
      <c r="AX141" s="646"/>
      <c r="AY141" s="1665">
        <v>11</v>
      </c>
    </row>
    <row s="1665" customFormat="1" customHeight="1" ht="11.549999999999999">
      <c r="A142" s="1011"/>
      <c r="B142" s="1011"/>
      <c r="C142" s="1011"/>
      <c r="D142" s="1011"/>
      <c r="E142" s="1011"/>
      <c r="F142" s="1660"/>
      <c r="G142" s="1660"/>
      <c r="H142" s="375"/>
      <c r="N142" s="1665"/>
      <c r="O142" s="1665"/>
      <c r="P142" s="1665"/>
      <c r="Q142" s="1665"/>
      <c r="R142" s="1665"/>
      <c r="S142" s="1665"/>
      <c r="T142" s="1665"/>
      <c r="U142" s="1665"/>
      <c r="V142" s="1665"/>
      <c r="W142" s="1665"/>
      <c r="X142" s="1665"/>
      <c r="Y142" s="1665"/>
      <c r="Z142" s="1665"/>
      <c r="AA142" s="1665"/>
      <c r="AB142" s="1390"/>
      <c r="AD142" s="1390"/>
      <c r="AE142" s="1660"/>
      <c r="AF142" s="1660"/>
      <c r="AG142" s="1390"/>
      <c r="AH142" s="1390"/>
      <c r="AI142" s="1390"/>
      <c r="AJ142" s="1390"/>
      <c r="AK142" s="1660"/>
      <c r="AL142" s="1390"/>
      <c r="AM142" s="1390"/>
      <c r="AN142" s="568"/>
      <c r="AO142" s="1390"/>
      <c r="AP142" s="1390"/>
      <c r="AQ142" s="1390"/>
      <c r="AR142" s="1390"/>
      <c r="AS142" s="1390"/>
      <c r="AT142" s="1656"/>
      <c r="AU142" s="646"/>
      <c r="AV142" s="646"/>
      <c r="AW142" s="646"/>
      <c r="AX142" s="646"/>
      <c r="AY142" s="1665">
        <v>11</v>
      </c>
    </row>
    <row s="1665" customFormat="1" customHeight="1" ht="11.549999999999999">
      <c r="A143" s="1011"/>
      <c r="B143" s="1011"/>
      <c r="C143" s="1011"/>
      <c r="D143" s="1011"/>
      <c r="E143" s="1011"/>
      <c r="F143" s="1660"/>
      <c r="G143" s="1660"/>
      <c r="H143" s="375"/>
      <c r="N143" s="1665"/>
      <c r="O143" s="1665"/>
      <c r="P143" s="1665"/>
      <c r="Q143" s="1665"/>
      <c r="R143" s="1665"/>
      <c r="S143" s="1665"/>
      <c r="T143" s="1665"/>
      <c r="U143" s="1665"/>
      <c r="V143" s="1665"/>
      <c r="W143" s="1665"/>
      <c r="X143" s="1665"/>
      <c r="Y143" s="1665"/>
      <c r="Z143" s="1665"/>
      <c r="AA143" s="1665"/>
      <c r="AB143" s="1390"/>
      <c r="AD143" s="1390"/>
      <c r="AE143" s="1660"/>
      <c r="AF143" s="1660"/>
      <c r="AG143" s="1390"/>
      <c r="AH143" s="1390"/>
      <c r="AI143" s="1390"/>
      <c r="AJ143" s="1390"/>
      <c r="AK143" s="1660"/>
      <c r="AL143" s="1390"/>
      <c r="AM143" s="1390"/>
      <c r="AN143" s="568"/>
      <c r="AO143" s="1390"/>
      <c r="AP143" s="1390"/>
      <c r="AQ143" s="1390"/>
      <c r="AR143" s="1390"/>
      <c r="AS143" s="1390"/>
      <c r="AT143" s="1656"/>
      <c r="AU143" s="646"/>
      <c r="AV143" s="646"/>
      <c r="AW143" s="646"/>
      <c r="AX143" s="646"/>
      <c r="AY143" s="1665">
        <v>11</v>
      </c>
    </row>
    <row s="1665" customFormat="1" customHeight="1" ht="11.549999999999999">
      <c r="A144" s="1011"/>
      <c r="B144" s="1011"/>
      <c r="C144" s="1011"/>
      <c r="D144" s="1011"/>
      <c r="E144" s="1011"/>
      <c r="F144" s="1660"/>
      <c r="G144" s="1660"/>
      <c r="H144" s="375"/>
      <c r="N144" s="1665"/>
      <c r="O144" s="1665"/>
      <c r="P144" s="1665"/>
      <c r="Q144" s="1665"/>
      <c r="R144" s="1665"/>
      <c r="S144" s="1665"/>
      <c r="T144" s="1665"/>
      <c r="U144" s="1665"/>
      <c r="V144" s="1665"/>
      <c r="W144" s="1665"/>
      <c r="X144" s="1665"/>
      <c r="Y144" s="1665"/>
      <c r="Z144" s="1665"/>
      <c r="AA144" s="1665"/>
      <c r="AB144" s="1390"/>
      <c r="AD144" s="1390"/>
      <c r="AE144" s="1660"/>
      <c r="AF144" s="1660"/>
      <c r="AG144" s="1390"/>
      <c r="AH144" s="1390"/>
      <c r="AI144" s="1390"/>
      <c r="AJ144" s="1390"/>
      <c r="AK144" s="1660"/>
      <c r="AL144" s="1390"/>
      <c r="AM144" s="1390"/>
      <c r="AN144" s="568"/>
      <c r="AO144" s="1390"/>
      <c r="AP144" s="1390"/>
      <c r="AQ144" s="1390"/>
      <c r="AR144" s="1390"/>
      <c r="AS144" s="1390"/>
      <c r="AT144" s="1656"/>
      <c r="AU144" s="646"/>
      <c r="AV144" s="646"/>
      <c r="AW144" s="646"/>
      <c r="AX144" s="646"/>
      <c r="AY144" s="1665">
        <v>11</v>
      </c>
    </row>
    <row s="1665" customFormat="1" customHeight="1" ht="11.549999999999999">
      <c r="A145" s="1011"/>
      <c r="B145" s="1011"/>
      <c r="C145" s="1011"/>
      <c r="D145" s="1011"/>
      <c r="E145" s="1011"/>
      <c r="F145" s="1660"/>
      <c r="G145" s="1660"/>
      <c r="H145" s="375"/>
      <c r="N145" s="1665"/>
      <c r="O145" s="1665"/>
      <c r="P145" s="1665"/>
      <c r="Q145" s="1665"/>
      <c r="R145" s="1665"/>
      <c r="S145" s="1665"/>
      <c r="T145" s="1665"/>
      <c r="U145" s="1665"/>
      <c r="V145" s="1665"/>
      <c r="W145" s="1665"/>
      <c r="X145" s="1665"/>
      <c r="Y145" s="1665"/>
      <c r="Z145" s="1665"/>
      <c r="AA145" s="1665"/>
      <c r="AB145" s="1390"/>
      <c r="AD145" s="1390"/>
      <c r="AE145" s="1660"/>
      <c r="AF145" s="1660"/>
      <c r="AG145" s="1390"/>
      <c r="AH145" s="1390"/>
      <c r="AI145" s="1390"/>
      <c r="AJ145" s="1390"/>
      <c r="AK145" s="1660"/>
      <c r="AL145" s="1390"/>
      <c r="AM145" s="1390"/>
      <c r="AN145" s="568"/>
      <c r="AO145" s="1390"/>
      <c r="AP145" s="1390"/>
      <c r="AQ145" s="1390"/>
      <c r="AR145" s="1390"/>
      <c r="AS145" s="1390"/>
      <c r="AT145" s="1656"/>
      <c r="AU145" s="646"/>
      <c r="AV145" s="646"/>
      <c r="AW145" s="646"/>
      <c r="AX145" s="646"/>
      <c r="AY145" s="1665">
        <v>11</v>
      </c>
    </row>
    <row s="1665" customFormat="1" customHeight="1" ht="11.549999999999999">
      <c r="A146" s="1011"/>
      <c r="B146" s="1011"/>
      <c r="C146" s="1011"/>
      <c r="D146" s="1011"/>
      <c r="E146" s="1011"/>
      <c r="F146" s="1660"/>
      <c r="G146" s="1660"/>
      <c r="H146" s="375"/>
      <c r="N146" s="1665"/>
      <c r="O146" s="1665"/>
      <c r="P146" s="1665"/>
      <c r="Q146" s="1665"/>
      <c r="R146" s="1665"/>
      <c r="S146" s="1665"/>
      <c r="T146" s="1665"/>
      <c r="U146" s="1665"/>
      <c r="V146" s="1665"/>
      <c r="W146" s="1665"/>
      <c r="X146" s="1665"/>
      <c r="Y146" s="1665"/>
      <c r="Z146" s="1665"/>
      <c r="AA146" s="1665"/>
      <c r="AB146" s="1390"/>
      <c r="AD146" s="1390"/>
      <c r="AE146" s="1660"/>
      <c r="AF146" s="1660"/>
      <c r="AG146" s="1390"/>
      <c r="AH146" s="1390"/>
      <c r="AI146" s="1390"/>
      <c r="AJ146" s="1390"/>
      <c r="AK146" s="1660"/>
      <c r="AL146" s="1390"/>
      <c r="AM146" s="1390"/>
      <c r="AN146" s="568"/>
      <c r="AO146" s="1390"/>
      <c r="AP146" s="1390"/>
      <c r="AQ146" s="1390"/>
      <c r="AR146" s="1390"/>
      <c r="AS146" s="1390"/>
      <c r="AT146" s="1656"/>
      <c r="AU146" s="646"/>
      <c r="AV146" s="646"/>
      <c r="AW146" s="646"/>
      <c r="AX146" s="646"/>
      <c r="AY146" s="1665">
        <v>11</v>
      </c>
    </row>
    <row s="1665" customFormat="1" customHeight="1" ht="11.549999999999999">
      <c r="A147" s="1011"/>
      <c r="B147" s="1011"/>
      <c r="C147" s="1011"/>
      <c r="D147" s="1011"/>
      <c r="E147" s="1011"/>
      <c r="F147" s="1660"/>
      <c r="G147" s="1660"/>
      <c r="H147" s="375"/>
      <c r="N147" s="1665"/>
      <c r="O147" s="1665"/>
      <c r="P147" s="1665"/>
      <c r="Q147" s="1665"/>
      <c r="R147" s="1665"/>
      <c r="S147" s="1665"/>
      <c r="T147" s="1665"/>
      <c r="U147" s="1665"/>
      <c r="V147" s="1665"/>
      <c r="W147" s="1665"/>
      <c r="X147" s="1665"/>
      <c r="Y147" s="1665"/>
      <c r="Z147" s="1665"/>
      <c r="AA147" s="1665"/>
      <c r="AB147" s="1390"/>
      <c r="AD147" s="1390"/>
      <c r="AE147" s="1660"/>
      <c r="AF147" s="1660"/>
      <c r="AG147" s="1390"/>
      <c r="AH147" s="1390"/>
      <c r="AI147" s="1390"/>
      <c r="AJ147" s="1390"/>
      <c r="AK147" s="1660"/>
      <c r="AL147" s="1390"/>
      <c r="AM147" s="1390"/>
      <c r="AN147" s="568"/>
      <c r="AO147" s="1390"/>
      <c r="AP147" s="1390"/>
      <c r="AQ147" s="1390"/>
      <c r="AR147" s="1390"/>
      <c r="AS147" s="1390"/>
      <c r="AT147" s="1656"/>
      <c r="AU147" s="646"/>
      <c r="AV147" s="646"/>
      <c r="AW147" s="646"/>
      <c r="AX147" s="646"/>
      <c r="AY147" s="1665">
        <v>11</v>
      </c>
    </row>
    <row s="1665" customFormat="1" customHeight="1" ht="11.549999999999999">
      <c r="A148" s="1011"/>
      <c r="B148" s="1011"/>
      <c r="C148" s="1011"/>
      <c r="D148" s="1011"/>
      <c r="E148" s="1011"/>
      <c r="F148" s="1660"/>
      <c r="G148" s="1660"/>
      <c r="H148" s="375"/>
      <c r="N148" s="1665"/>
      <c r="O148" s="1665"/>
      <c r="P148" s="1665"/>
      <c r="Q148" s="1665"/>
      <c r="R148" s="1665"/>
      <c r="S148" s="1665"/>
      <c r="T148" s="1665"/>
      <c r="U148" s="1665"/>
      <c r="V148" s="1665"/>
      <c r="W148" s="1665"/>
      <c r="X148" s="1665"/>
      <c r="Y148" s="1665"/>
      <c r="Z148" s="1665"/>
      <c r="AA148" s="1665"/>
      <c r="AB148" s="1390"/>
      <c r="AD148" s="1390"/>
      <c r="AE148" s="1660"/>
      <c r="AF148" s="1660"/>
      <c r="AG148" s="1390"/>
      <c r="AH148" s="1390"/>
      <c r="AI148" s="1390"/>
      <c r="AJ148" s="1390"/>
      <c r="AK148" s="1660"/>
      <c r="AL148" s="1390"/>
      <c r="AM148" s="1390"/>
      <c r="AN148" s="568"/>
      <c r="AO148" s="1390"/>
      <c r="AP148" s="1390"/>
      <c r="AQ148" s="1390"/>
      <c r="AR148" s="1390"/>
      <c r="AS148" s="1390"/>
      <c r="AT148" s="1656"/>
      <c r="AU148" s="646"/>
      <c r="AV148" s="646"/>
      <c r="AW148" s="646"/>
      <c r="AX148" s="646"/>
      <c r="AY148" s="1665">
        <v>11</v>
      </c>
    </row>
    <row s="1665" customFormat="1" customHeight="1" ht="11.549999999999999">
      <c r="A149" s="1011"/>
      <c r="B149" s="1011"/>
      <c r="C149" s="1011"/>
      <c r="D149" s="1011"/>
      <c r="E149" s="1011"/>
      <c r="F149" s="1660"/>
      <c r="G149" s="1660"/>
      <c r="H149" s="375"/>
      <c r="N149" s="1665"/>
      <c r="O149" s="1665"/>
      <c r="P149" s="1665"/>
      <c r="Q149" s="1665"/>
      <c r="R149" s="1665"/>
      <c r="S149" s="1665"/>
      <c r="T149" s="1665"/>
      <c r="U149" s="1665"/>
      <c r="V149" s="1665"/>
      <c r="W149" s="1665"/>
      <c r="X149" s="1665"/>
      <c r="Y149" s="1665"/>
      <c r="Z149" s="1665"/>
      <c r="AA149" s="1665"/>
      <c r="AB149" s="1390"/>
      <c r="AD149" s="1390"/>
      <c r="AE149" s="1660"/>
      <c r="AF149" s="1660"/>
      <c r="AG149" s="1390"/>
      <c r="AH149" s="1390"/>
      <c r="AI149" s="1390"/>
      <c r="AJ149" s="1390"/>
      <c r="AK149" s="1660"/>
      <c r="AL149" s="1390"/>
      <c r="AM149" s="1390"/>
      <c r="AN149" s="568"/>
      <c r="AO149" s="1390"/>
      <c r="AP149" s="1390"/>
      <c r="AQ149" s="1390"/>
      <c r="AR149" s="1390"/>
      <c r="AS149" s="1390"/>
      <c r="AT149" s="1656"/>
      <c r="AU149" s="646"/>
      <c r="AV149" s="646"/>
      <c r="AW149" s="646"/>
      <c r="AX149" s="646"/>
      <c r="AY149" s="1665">
        <v>11</v>
      </c>
    </row>
    <row s="1665" customFormat="1" customHeight="1" ht="11.549999999999999">
      <c r="A150" s="1011"/>
      <c r="B150" s="1011"/>
      <c r="C150" s="1011"/>
      <c r="D150" s="1011"/>
      <c r="E150" s="1011"/>
      <c r="F150" s="1660"/>
      <c r="G150" s="1660"/>
      <c r="H150" s="375"/>
      <c r="N150" s="1665"/>
      <c r="O150" s="1665"/>
      <c r="P150" s="1665"/>
      <c r="Q150" s="1665"/>
      <c r="R150" s="1665"/>
      <c r="S150" s="1665"/>
      <c r="T150" s="1665"/>
      <c r="U150" s="1665"/>
      <c r="V150" s="1665"/>
      <c r="W150" s="1665"/>
      <c r="X150" s="1665"/>
      <c r="Y150" s="1665"/>
      <c r="Z150" s="1665"/>
      <c r="AA150" s="1665"/>
      <c r="AB150" s="1390"/>
      <c r="AD150" s="1390"/>
      <c r="AE150" s="1660"/>
      <c r="AF150" s="1660"/>
      <c r="AG150" s="1390"/>
      <c r="AH150" s="1390"/>
      <c r="AI150" s="1390"/>
      <c r="AJ150" s="1390"/>
      <c r="AK150" s="1660"/>
      <c r="AL150" s="1390"/>
      <c r="AM150" s="1390"/>
      <c r="AN150" s="568"/>
      <c r="AO150" s="1390"/>
      <c r="AP150" s="1390"/>
      <c r="AQ150" s="1390"/>
      <c r="AR150" s="1390"/>
      <c r="AS150" s="1390"/>
      <c r="AT150" s="1656"/>
      <c r="AU150" s="646"/>
      <c r="AV150" s="646"/>
      <c r="AW150" s="646"/>
      <c r="AX150" s="646"/>
      <c r="AY150" s="1665">
        <v>11</v>
      </c>
    </row>
    <row s="1665" customFormat="1" customHeight="1" ht="11.549999999999999">
      <c r="A151" s="1011"/>
      <c r="B151" s="1011"/>
      <c r="C151" s="1011"/>
      <c r="D151" s="1011"/>
      <c r="E151" s="1011"/>
      <c r="F151" s="1660"/>
      <c r="G151" s="1660"/>
      <c r="H151" s="375"/>
      <c r="N151" s="1665"/>
      <c r="O151" s="1665"/>
      <c r="P151" s="1665"/>
      <c r="Q151" s="1665"/>
      <c r="R151" s="1665"/>
      <c r="S151" s="1665"/>
      <c r="T151" s="1665"/>
      <c r="U151" s="1665"/>
      <c r="V151" s="1665"/>
      <c r="W151" s="1665"/>
      <c r="X151" s="1665"/>
      <c r="Y151" s="1665"/>
      <c r="Z151" s="1665"/>
      <c r="AA151" s="1665"/>
      <c r="AB151" s="1390"/>
      <c r="AD151" s="1390"/>
      <c r="AE151" s="1660"/>
      <c r="AF151" s="1660"/>
      <c r="AG151" s="1390"/>
      <c r="AH151" s="1390"/>
      <c r="AI151" s="1390"/>
      <c r="AJ151" s="1390"/>
      <c r="AK151" s="1660"/>
      <c r="AL151" s="1390"/>
      <c r="AM151" s="1390"/>
      <c r="AN151" s="568"/>
      <c r="AO151" s="1390"/>
      <c r="AP151" s="1390"/>
      <c r="AQ151" s="1390"/>
      <c r="AR151" s="1390"/>
      <c r="AS151" s="1390"/>
      <c r="AT151" s="1656"/>
      <c r="AU151" s="646"/>
      <c r="AV151" s="646"/>
      <c r="AW151" s="646"/>
      <c r="AX151" s="646"/>
      <c r="AY151" s="1665">
        <v>11</v>
      </c>
    </row>
    <row s="1665" customFormat="1" customHeight="1" ht="11.549999999999999">
      <c r="A152" s="1011"/>
      <c r="B152" s="1011"/>
      <c r="C152" s="1011"/>
      <c r="D152" s="1011"/>
      <c r="E152" s="1011"/>
      <c r="F152" s="1660"/>
      <c r="G152" s="1660"/>
      <c r="H152" s="375"/>
      <c r="N152" s="1665"/>
      <c r="O152" s="1665"/>
      <c r="P152" s="1665"/>
      <c r="Q152" s="1665"/>
      <c r="R152" s="1665"/>
      <c r="S152" s="1665"/>
      <c r="T152" s="1665"/>
      <c r="U152" s="1665"/>
      <c r="V152" s="1665"/>
      <c r="W152" s="1665"/>
      <c r="X152" s="1665"/>
      <c r="Y152" s="1665"/>
      <c r="Z152" s="1665"/>
      <c r="AA152" s="1665"/>
      <c r="AB152" s="1390"/>
      <c r="AD152" s="1390"/>
      <c r="AE152" s="1660"/>
      <c r="AF152" s="1660"/>
      <c r="AG152" s="1390"/>
      <c r="AH152" s="1390"/>
      <c r="AI152" s="1390"/>
      <c r="AJ152" s="1390"/>
      <c r="AK152" s="1660"/>
      <c r="AL152" s="1390"/>
      <c r="AM152" s="1390"/>
      <c r="AN152" s="568"/>
      <c r="AO152" s="1390"/>
      <c r="AP152" s="1390"/>
      <c r="AQ152" s="1390"/>
      <c r="AR152" s="1390"/>
      <c r="AS152" s="1390"/>
      <c r="AT152" s="1656"/>
      <c r="AU152" s="646"/>
      <c r="AV152" s="646"/>
      <c r="AW152" s="646"/>
      <c r="AX152" s="646"/>
      <c r="AY152" s="1665">
        <v>11</v>
      </c>
    </row>
    <row s="1665" customFormat="1" customHeight="1" ht="11.549999999999999">
      <c r="A153" s="1011"/>
      <c r="B153" s="1011"/>
      <c r="C153" s="1011"/>
      <c r="D153" s="1011"/>
      <c r="E153" s="1011"/>
      <c r="F153" s="1660"/>
      <c r="G153" s="1660"/>
      <c r="H153" s="375"/>
      <c r="N153" s="1665"/>
      <c r="O153" s="1665"/>
      <c r="P153" s="1665"/>
      <c r="Q153" s="1665"/>
      <c r="R153" s="1665"/>
      <c r="S153" s="1665"/>
      <c r="T153" s="1665"/>
      <c r="U153" s="1665"/>
      <c r="V153" s="1665"/>
      <c r="W153" s="1665"/>
      <c r="X153" s="1665"/>
      <c r="Y153" s="1665"/>
      <c r="Z153" s="1665"/>
      <c r="AA153" s="1665"/>
      <c r="AB153" s="1390"/>
      <c r="AD153" s="1390"/>
      <c r="AE153" s="1660"/>
      <c r="AF153" s="1660"/>
      <c r="AG153" s="1390"/>
      <c r="AH153" s="1390"/>
      <c r="AI153" s="1390"/>
      <c r="AJ153" s="1390"/>
      <c r="AK153" s="1660"/>
      <c r="AL153" s="1390"/>
      <c r="AM153" s="1390"/>
      <c r="AN153" s="568"/>
      <c r="AO153" s="1390"/>
      <c r="AP153" s="1390"/>
      <c r="AQ153" s="1390"/>
      <c r="AR153" s="1390"/>
      <c r="AS153" s="1390"/>
      <c r="AT153" s="1656"/>
      <c r="AU153" s="646"/>
      <c r="AV153" s="646"/>
      <c r="AW153" s="646"/>
      <c r="AX153" s="646"/>
      <c r="AY153" s="1665">
        <v>11</v>
      </c>
    </row>
    <row s="1665" customFormat="1" customHeight="1" ht="11.549999999999999">
      <c r="A154" s="1011"/>
      <c r="B154" s="1011"/>
      <c r="C154" s="1011"/>
      <c r="D154" s="1011"/>
      <c r="E154" s="1011"/>
      <c r="F154" s="1660"/>
      <c r="G154" s="1660"/>
      <c r="H154" s="375"/>
      <c r="N154" s="1665"/>
      <c r="O154" s="1665"/>
      <c r="P154" s="1665"/>
      <c r="Q154" s="1665"/>
      <c r="R154" s="1665"/>
      <c r="S154" s="1665"/>
      <c r="T154" s="1665"/>
      <c r="U154" s="1665"/>
      <c r="V154" s="1665"/>
      <c r="W154" s="1665"/>
      <c r="X154" s="1665"/>
      <c r="Y154" s="1665"/>
      <c r="Z154" s="1665"/>
      <c r="AA154" s="1665"/>
      <c r="AB154" s="1390"/>
      <c r="AD154" s="1390"/>
      <c r="AE154" s="1660"/>
      <c r="AF154" s="1660"/>
      <c r="AG154" s="1390"/>
      <c r="AH154" s="1390"/>
      <c r="AI154" s="1390"/>
      <c r="AJ154" s="1390"/>
      <c r="AK154" s="1660"/>
      <c r="AL154" s="1390"/>
      <c r="AM154" s="1390"/>
      <c r="AN154" s="568"/>
      <c r="AO154" s="1390"/>
      <c r="AP154" s="1390"/>
      <c r="AQ154" s="1390"/>
      <c r="AR154" s="1390"/>
      <c r="AS154" s="1390"/>
      <c r="AT154" s="1656"/>
      <c r="AU154" s="646"/>
      <c r="AV154" s="646"/>
      <c r="AW154" s="646"/>
      <c r="AX154" s="646"/>
      <c r="AY154" s="1665">
        <v>11</v>
      </c>
    </row>
    <row s="1665" customFormat="1" customHeight="1" ht="11.549999999999999">
      <c r="A155" s="1011"/>
      <c r="B155" s="1011"/>
      <c r="C155" s="1011"/>
      <c r="D155" s="1011"/>
      <c r="E155" s="1011"/>
      <c r="F155" s="1660"/>
      <c r="G155" s="1660"/>
      <c r="H155" s="375"/>
      <c r="N155" s="1665"/>
      <c r="O155" s="1665"/>
      <c r="P155" s="1665"/>
      <c r="Q155" s="1665"/>
      <c r="R155" s="1665"/>
      <c r="S155" s="1665"/>
      <c r="T155" s="1665"/>
      <c r="U155" s="1665"/>
      <c r="V155" s="1665"/>
      <c r="W155" s="1665"/>
      <c r="X155" s="1665"/>
      <c r="Y155" s="1665"/>
      <c r="Z155" s="1665"/>
      <c r="AA155" s="1665"/>
      <c r="AB155" s="1390"/>
      <c r="AD155" s="1390"/>
      <c r="AE155" s="1660"/>
      <c r="AF155" s="1660"/>
      <c r="AG155" s="1390"/>
      <c r="AH155" s="1390"/>
      <c r="AI155" s="1390"/>
      <c r="AJ155" s="1390"/>
      <c r="AK155" s="1660"/>
      <c r="AL155" s="1390"/>
      <c r="AM155" s="1390"/>
      <c r="AN155" s="568"/>
      <c r="AO155" s="1390"/>
      <c r="AP155" s="1390"/>
      <c r="AQ155" s="1390"/>
      <c r="AR155" s="1390"/>
      <c r="AS155" s="1390"/>
      <c r="AT155" s="1656"/>
      <c r="AU155" s="646"/>
      <c r="AV155" s="646"/>
      <c r="AW155" s="646"/>
      <c r="AX155" s="646"/>
      <c r="AY155" s="1665">
        <v>11</v>
      </c>
    </row>
    <row s="1665" customFormat="1" customHeight="1" ht="11.549999999999999">
      <c r="A156" s="1011"/>
      <c r="B156" s="1011"/>
      <c r="C156" s="1011"/>
      <c r="D156" s="1011"/>
      <c r="E156" s="1011"/>
      <c r="F156" s="1660"/>
      <c r="G156" s="1660"/>
      <c r="H156" s="375"/>
      <c r="N156" s="1665"/>
      <c r="O156" s="1665"/>
      <c r="P156" s="1665"/>
      <c r="Q156" s="1665"/>
      <c r="R156" s="1665"/>
      <c r="S156" s="1665"/>
      <c r="T156" s="1665"/>
      <c r="U156" s="1665"/>
      <c r="V156" s="1665"/>
      <c r="W156" s="1665"/>
      <c r="X156" s="1665"/>
      <c r="Y156" s="1665"/>
      <c r="Z156" s="1665"/>
      <c r="AA156" s="1665"/>
      <c r="AB156" s="1390"/>
      <c r="AD156" s="1390"/>
      <c r="AE156" s="1660"/>
      <c r="AF156" s="1660"/>
      <c r="AG156" s="1390"/>
      <c r="AH156" s="1390"/>
      <c r="AI156" s="1390"/>
      <c r="AJ156" s="1390"/>
      <c r="AK156" s="1660"/>
      <c r="AL156" s="1390"/>
      <c r="AM156" s="1390"/>
      <c r="AN156" s="568"/>
      <c r="AO156" s="1390"/>
      <c r="AP156" s="1390"/>
      <c r="AQ156" s="1390"/>
      <c r="AR156" s="1390"/>
      <c r="AS156" s="1390"/>
      <c r="AT156" s="1656"/>
      <c r="AU156" s="646"/>
      <c r="AV156" s="646"/>
      <c r="AW156" s="646"/>
      <c r="AX156" s="646"/>
      <c r="AY156" s="1665">
        <v>11</v>
      </c>
    </row>
    <row s="1665" customFormat="1" customHeight="1" ht="11.549999999999999">
      <c r="A157" s="1011"/>
      <c r="B157" s="1011"/>
      <c r="C157" s="1011"/>
      <c r="D157" s="1011"/>
      <c r="E157" s="1011"/>
      <c r="F157" s="1660"/>
      <c r="G157" s="1660"/>
      <c r="H157" s="375"/>
      <c r="N157" s="1665"/>
      <c r="O157" s="1665"/>
      <c r="P157" s="1665"/>
      <c r="Q157" s="1665"/>
      <c r="R157" s="1665"/>
      <c r="S157" s="1665"/>
      <c r="T157" s="1665"/>
      <c r="U157" s="1665"/>
      <c r="V157" s="1665"/>
      <c r="W157" s="1665"/>
      <c r="X157" s="1665"/>
      <c r="Y157" s="1665"/>
      <c r="Z157" s="1665"/>
      <c r="AA157" s="1665"/>
      <c r="AB157" s="1390"/>
      <c r="AD157" s="1390"/>
      <c r="AE157" s="1660"/>
      <c r="AF157" s="1660"/>
      <c r="AG157" s="1390"/>
      <c r="AH157" s="1390"/>
      <c r="AI157" s="1390"/>
      <c r="AJ157" s="1390"/>
      <c r="AK157" s="1660"/>
      <c r="AL157" s="1390"/>
      <c r="AM157" s="1390"/>
      <c r="AN157" s="568"/>
      <c r="AO157" s="1390"/>
      <c r="AP157" s="1390"/>
      <c r="AQ157" s="1390"/>
      <c r="AR157" s="1390"/>
      <c r="AS157" s="1390"/>
      <c r="AT157" s="1656"/>
      <c r="AU157" s="646"/>
      <c r="AV157" s="646"/>
      <c r="AW157" s="646"/>
      <c r="AX157" s="646"/>
      <c r="AY157" s="1665">
        <v>11</v>
      </c>
    </row>
    <row s="1665" customFormat="1" customHeight="1" ht="11.549999999999999">
      <c r="A158" s="1011"/>
      <c r="B158" s="1011"/>
      <c r="C158" s="1011"/>
      <c r="D158" s="1011"/>
      <c r="E158" s="1011"/>
      <c r="F158" s="1660"/>
      <c r="G158" s="1660"/>
      <c r="H158" s="375"/>
      <c r="N158" s="1665"/>
      <c r="O158" s="1665"/>
      <c r="P158" s="1665"/>
      <c r="Q158" s="1665"/>
      <c r="R158" s="1665"/>
      <c r="S158" s="1665"/>
      <c r="T158" s="1665"/>
      <c r="U158" s="1665"/>
      <c r="V158" s="1665"/>
      <c r="W158" s="1665"/>
      <c r="X158" s="1665"/>
      <c r="Y158" s="1665"/>
      <c r="Z158" s="1665"/>
      <c r="AA158" s="1665"/>
      <c r="AB158" s="1390"/>
      <c r="AD158" s="1390"/>
      <c r="AE158" s="1660"/>
      <c r="AF158" s="1660"/>
      <c r="AG158" s="1390"/>
      <c r="AH158" s="1390"/>
      <c r="AI158" s="1390"/>
      <c r="AJ158" s="1390"/>
      <c r="AK158" s="1660"/>
      <c r="AL158" s="1390"/>
      <c r="AM158" s="1390"/>
      <c r="AN158" s="568"/>
      <c r="AO158" s="1390"/>
      <c r="AP158" s="1390"/>
      <c r="AQ158" s="1390"/>
      <c r="AR158" s="1390"/>
      <c r="AS158" s="1390"/>
      <c r="AT158" s="1656"/>
      <c r="AU158" s="646"/>
      <c r="AV158" s="646"/>
      <c r="AW158" s="646"/>
      <c r="AX158" s="646"/>
      <c r="AY158" s="1665">
        <v>11</v>
      </c>
    </row>
    <row s="1665" customFormat="1" customHeight="1" ht="11.549999999999999">
      <c r="A159" s="1011"/>
      <c r="B159" s="1011"/>
      <c r="C159" s="1011"/>
      <c r="D159" s="1011"/>
      <c r="E159" s="1011"/>
      <c r="F159" s="1660"/>
      <c r="G159" s="1660"/>
      <c r="H159" s="375"/>
      <c r="N159" s="1665"/>
      <c r="O159" s="1665"/>
      <c r="P159" s="1665"/>
      <c r="Q159" s="1665"/>
      <c r="R159" s="1665"/>
      <c r="S159" s="1665"/>
      <c r="T159" s="1665"/>
      <c r="U159" s="1665"/>
      <c r="V159" s="1665"/>
      <c r="W159" s="1665"/>
      <c r="X159" s="1665"/>
      <c r="Y159" s="1665"/>
      <c r="Z159" s="1665"/>
      <c r="AA159" s="1665"/>
      <c r="AB159" s="1390"/>
      <c r="AD159" s="1390"/>
      <c r="AE159" s="1660"/>
      <c r="AF159" s="1660"/>
      <c r="AG159" s="1390"/>
      <c r="AH159" s="1390"/>
      <c r="AI159" s="1390"/>
      <c r="AJ159" s="1390"/>
      <c r="AK159" s="1660"/>
      <c r="AL159" s="1390"/>
      <c r="AM159" s="1390"/>
      <c r="AN159" s="568"/>
      <c r="AO159" s="1390"/>
      <c r="AP159" s="1390"/>
      <c r="AQ159" s="1390"/>
      <c r="AR159" s="1390"/>
      <c r="AS159" s="1390"/>
      <c r="AT159" s="1656"/>
      <c r="AU159" s="646"/>
      <c r="AV159" s="646"/>
      <c r="AW159" s="646"/>
      <c r="AX159" s="646"/>
      <c r="AY159" s="1665">
        <v>11</v>
      </c>
    </row>
    <row s="1665" customFormat="1" customHeight="1" ht="11.549999999999999">
      <c r="A160" s="1011"/>
      <c r="B160" s="1011"/>
      <c r="C160" s="1011"/>
      <c r="D160" s="1011"/>
      <c r="E160" s="1011"/>
      <c r="F160" s="1660"/>
      <c r="G160" s="1660"/>
      <c r="H160" s="375"/>
      <c r="N160" s="1665"/>
      <c r="O160" s="1665"/>
      <c r="P160" s="1665"/>
      <c r="Q160" s="1665"/>
      <c r="R160" s="1665"/>
      <c r="S160" s="1665"/>
      <c r="T160" s="1665"/>
      <c r="U160" s="1665"/>
      <c r="V160" s="1665"/>
      <c r="W160" s="1665"/>
      <c r="X160" s="1665"/>
      <c r="Y160" s="1665"/>
      <c r="Z160" s="1665"/>
      <c r="AA160" s="1665"/>
      <c r="AB160" s="1390"/>
      <c r="AD160" s="1390"/>
      <c r="AE160" s="1660"/>
      <c r="AF160" s="1660"/>
      <c r="AG160" s="1390"/>
      <c r="AH160" s="1390"/>
      <c r="AI160" s="1390"/>
      <c r="AJ160" s="1390"/>
      <c r="AK160" s="1660"/>
      <c r="AL160" s="1390"/>
      <c r="AM160" s="1390"/>
      <c r="AN160" s="568"/>
      <c r="AO160" s="1390"/>
      <c r="AP160" s="1390"/>
      <c r="AQ160" s="1390"/>
      <c r="AR160" s="1390"/>
      <c r="AS160" s="1390"/>
      <c r="AT160" s="1656"/>
      <c r="AU160" s="646"/>
      <c r="AV160" s="646"/>
      <c r="AW160" s="646"/>
      <c r="AX160" s="646"/>
      <c r="AY160" s="1665">
        <v>11</v>
      </c>
    </row>
    <row s="1665" customFormat="1" customHeight="1" ht="11.549999999999999">
      <c r="A161" s="1011"/>
      <c r="B161" s="1011"/>
      <c r="C161" s="1011"/>
      <c r="D161" s="1011"/>
      <c r="E161" s="1011"/>
      <c r="F161" s="1660"/>
      <c r="G161" s="1660"/>
      <c r="H161" s="375"/>
      <c r="N161" s="1665"/>
      <c r="O161" s="1665"/>
      <c r="P161" s="1665"/>
      <c r="Q161" s="1665"/>
      <c r="R161" s="1665"/>
      <c r="S161" s="1665"/>
      <c r="T161" s="1665"/>
      <c r="U161" s="1665"/>
      <c r="V161" s="1665"/>
      <c r="W161" s="1665"/>
      <c r="X161" s="1665"/>
      <c r="Y161" s="1665"/>
      <c r="Z161" s="1665"/>
      <c r="AA161" s="1665"/>
      <c r="AB161" s="1390"/>
      <c r="AD161" s="1390"/>
      <c r="AE161" s="1660"/>
      <c r="AF161" s="1660"/>
      <c r="AG161" s="1390"/>
      <c r="AH161" s="1390"/>
      <c r="AI161" s="1390"/>
      <c r="AJ161" s="1390"/>
      <c r="AK161" s="1660"/>
      <c r="AL161" s="1390"/>
      <c r="AM161" s="1390"/>
      <c r="AN161" s="568"/>
      <c r="AO161" s="1390"/>
      <c r="AP161" s="1390"/>
      <c r="AQ161" s="1390"/>
      <c r="AR161" s="1390"/>
      <c r="AS161" s="1390"/>
      <c r="AT161" s="1656"/>
      <c r="AU161" s="646"/>
      <c r="AV161" s="646"/>
      <c r="AW161" s="646"/>
      <c r="AX161" s="646"/>
      <c r="AY161" s="1665">
        <v>11</v>
      </c>
    </row>
    <row s="1665" customFormat="1" customHeight="1" ht="11.549999999999999">
      <c r="A162" s="1011"/>
      <c r="B162" s="1011"/>
      <c r="C162" s="1011"/>
      <c r="D162" s="1011"/>
      <c r="E162" s="1011"/>
      <c r="F162" s="1660"/>
      <c r="G162" s="1660"/>
      <c r="H162" s="375"/>
      <c r="N162" s="1665"/>
      <c r="O162" s="1665"/>
      <c r="P162" s="1665"/>
      <c r="Q162" s="1665"/>
      <c r="R162" s="1665"/>
      <c r="S162" s="1665"/>
      <c r="T162" s="1665"/>
      <c r="U162" s="1665"/>
      <c r="V162" s="1665"/>
      <c r="W162" s="1665"/>
      <c r="X162" s="1665"/>
      <c r="Y162" s="1665"/>
      <c r="Z162" s="1665"/>
      <c r="AA162" s="1665"/>
      <c r="AB162" s="1390"/>
      <c r="AD162" s="1390"/>
      <c r="AE162" s="1660"/>
      <c r="AF162" s="1660"/>
      <c r="AG162" s="1390"/>
      <c r="AH162" s="1390"/>
      <c r="AI162" s="1390"/>
      <c r="AJ162" s="1390"/>
      <c r="AK162" s="1660"/>
      <c r="AL162" s="1390"/>
      <c r="AM162" s="1390"/>
      <c r="AN162" s="568"/>
      <c r="AO162" s="1390"/>
      <c r="AP162" s="1390"/>
      <c r="AQ162" s="1390"/>
      <c r="AR162" s="1390"/>
      <c r="AS162" s="1390"/>
      <c r="AT162" s="1656"/>
      <c r="AU162" s="646"/>
      <c r="AV162" s="646"/>
      <c r="AW162" s="646"/>
      <c r="AX162" s="646"/>
      <c r="AY162" s="1665">
        <v>11</v>
      </c>
    </row>
    <row s="1665" customFormat="1" customHeight="1" ht="11.549999999999999">
      <c r="A163" s="1011"/>
      <c r="B163" s="1011"/>
      <c r="C163" s="1011"/>
      <c r="D163" s="1011"/>
      <c r="E163" s="1011"/>
      <c r="F163" s="1660"/>
      <c r="G163" s="1660"/>
      <c r="H163" s="375"/>
      <c r="N163" s="1665"/>
      <c r="O163" s="1665"/>
      <c r="P163" s="1665"/>
      <c r="Q163" s="1665"/>
      <c r="R163" s="1665"/>
      <c r="S163" s="1665"/>
      <c r="T163" s="1665"/>
      <c r="U163" s="1665"/>
      <c r="V163" s="1665"/>
      <c r="W163" s="1665"/>
      <c r="X163" s="1665"/>
      <c r="Y163" s="1665"/>
      <c r="Z163" s="1665"/>
      <c r="AA163" s="1665"/>
      <c r="AB163" s="1390"/>
      <c r="AD163" s="1390"/>
      <c r="AE163" s="1660"/>
      <c r="AF163" s="1660"/>
      <c r="AG163" s="1390"/>
      <c r="AH163" s="1390"/>
      <c r="AI163" s="1390"/>
      <c r="AJ163" s="1390"/>
      <c r="AK163" s="1660"/>
      <c r="AL163" s="1390"/>
      <c r="AM163" s="1390"/>
      <c r="AN163" s="568"/>
      <c r="AO163" s="1390"/>
      <c r="AP163" s="1390"/>
      <c r="AQ163" s="1390"/>
      <c r="AR163" s="1390"/>
      <c r="AS163" s="1390"/>
      <c r="AT163" s="1656"/>
      <c r="AU163" s="646"/>
      <c r="AV163" s="646"/>
      <c r="AW163" s="646"/>
      <c r="AX163" s="646"/>
      <c r="AY163" s="1665">
        <v>11</v>
      </c>
    </row>
    <row s="1665" customFormat="1" customHeight="1" ht="11.549999999999999">
      <c r="A164" s="1011"/>
      <c r="B164" s="1011"/>
      <c r="C164" s="1011"/>
      <c r="D164" s="1011"/>
      <c r="E164" s="1011"/>
      <c r="F164" s="1660"/>
      <c r="G164" s="1660"/>
      <c r="H164" s="375"/>
      <c r="N164" s="1665"/>
      <c r="O164" s="1665"/>
      <c r="P164" s="1665"/>
      <c r="Q164" s="1665"/>
      <c r="R164" s="1665"/>
      <c r="S164" s="1665"/>
      <c r="T164" s="1665"/>
      <c r="U164" s="1665"/>
      <c r="V164" s="1665"/>
      <c r="W164" s="1665"/>
      <c r="X164" s="1665"/>
      <c r="Y164" s="1665"/>
      <c r="Z164" s="1665"/>
      <c r="AA164" s="1665"/>
      <c r="AB164" s="1390"/>
      <c r="AD164" s="1390"/>
      <c r="AE164" s="1660"/>
      <c r="AF164" s="1660"/>
      <c r="AG164" s="1390"/>
      <c r="AH164" s="1390"/>
      <c r="AI164" s="1390"/>
      <c r="AJ164" s="1390"/>
      <c r="AK164" s="1660"/>
      <c r="AL164" s="1390"/>
      <c r="AM164" s="1390"/>
      <c r="AN164" s="568"/>
      <c r="AO164" s="1390"/>
      <c r="AP164" s="1390"/>
      <c r="AQ164" s="1390"/>
      <c r="AR164" s="1390"/>
      <c r="AS164" s="1390"/>
      <c r="AT164" s="1656"/>
      <c r="AU164" s="646"/>
      <c r="AV164" s="646"/>
      <c r="AW164" s="646"/>
      <c r="AX164" s="646"/>
      <c r="AY164" s="1665">
        <v>11</v>
      </c>
    </row>
    <row s="1665" customFormat="1" customHeight="1" ht="11.549999999999999">
      <c r="A165" s="1011"/>
      <c r="B165" s="1011"/>
      <c r="C165" s="1011"/>
      <c r="D165" s="1011"/>
      <c r="E165" s="1011"/>
      <c r="F165" s="1660"/>
      <c r="G165" s="1660"/>
      <c r="H165" s="375"/>
      <c r="N165" s="1665"/>
      <c r="O165" s="1665"/>
      <c r="P165" s="1665"/>
      <c r="Q165" s="1665"/>
      <c r="R165" s="1665"/>
      <c r="S165" s="1665"/>
      <c r="T165" s="1665"/>
      <c r="U165" s="1665"/>
      <c r="V165" s="1665"/>
      <c r="W165" s="1665"/>
      <c r="X165" s="1665"/>
      <c r="Y165" s="1665"/>
      <c r="Z165" s="1665"/>
      <c r="AA165" s="1665"/>
      <c r="AB165" s="1390"/>
      <c r="AD165" s="1390"/>
      <c r="AE165" s="1660"/>
      <c r="AF165" s="1660"/>
      <c r="AG165" s="1390"/>
      <c r="AH165" s="1390"/>
      <c r="AI165" s="1390"/>
      <c r="AJ165" s="1390"/>
      <c r="AK165" s="1660"/>
      <c r="AL165" s="1390"/>
      <c r="AM165" s="1390"/>
      <c r="AN165" s="568"/>
      <c r="AO165" s="1390"/>
      <c r="AP165" s="1390"/>
      <c r="AQ165" s="1390"/>
      <c r="AR165" s="1390"/>
      <c r="AS165" s="1390"/>
      <c r="AT165" s="1656"/>
      <c r="AU165" s="646"/>
      <c r="AV165" s="646"/>
      <c r="AW165" s="646"/>
      <c r="AX165" s="646"/>
      <c r="AY165" s="1665">
        <v>11</v>
      </c>
    </row>
    <row s="1665" customFormat="1" customHeight="1" ht="11.549999999999999">
      <c r="A166" s="1011"/>
      <c r="B166" s="1011"/>
      <c r="C166" s="1011"/>
      <c r="D166" s="1011"/>
      <c r="E166" s="1011"/>
      <c r="F166" s="1660"/>
      <c r="G166" s="1660"/>
      <c r="H166" s="375"/>
      <c r="N166" s="1665"/>
      <c r="O166" s="1665"/>
      <c r="P166" s="1665"/>
      <c r="Q166" s="1665"/>
      <c r="R166" s="1665"/>
      <c r="S166" s="1665"/>
      <c r="T166" s="1665"/>
      <c r="U166" s="1665"/>
      <c r="V166" s="1665"/>
      <c r="W166" s="1665"/>
      <c r="X166" s="1665"/>
      <c r="Y166" s="1665"/>
      <c r="Z166" s="1665"/>
      <c r="AA166" s="1665"/>
      <c r="AB166" s="1390"/>
      <c r="AD166" s="1390"/>
      <c r="AE166" s="1660"/>
      <c r="AF166" s="1660"/>
      <c r="AG166" s="1390"/>
      <c r="AH166" s="1390"/>
      <c r="AI166" s="1390"/>
      <c r="AJ166" s="1390"/>
      <c r="AK166" s="1660"/>
      <c r="AL166" s="1390"/>
      <c r="AM166" s="1390"/>
      <c r="AN166" s="568"/>
      <c r="AO166" s="1390"/>
      <c r="AP166" s="1390"/>
      <c r="AQ166" s="1390"/>
      <c r="AR166" s="1390"/>
      <c r="AS166" s="1390"/>
      <c r="AT166" s="1656"/>
      <c r="AU166" s="646"/>
      <c r="AV166" s="646"/>
      <c r="AW166" s="646"/>
      <c r="AX166" s="646"/>
      <c r="AY166" s="1665">
        <v>11</v>
      </c>
    </row>
    <row s="1665" customFormat="1" customHeight="1" ht="11.549999999999999">
      <c r="A167" s="1011"/>
      <c r="B167" s="1011"/>
      <c r="C167" s="1011"/>
      <c r="D167" s="1011"/>
      <c r="E167" s="1011"/>
      <c r="F167" s="1660"/>
      <c r="G167" s="1660"/>
      <c r="H167" s="375"/>
      <c r="N167" s="1665"/>
      <c r="O167" s="1665"/>
      <c r="P167" s="1665"/>
      <c r="Q167" s="1665"/>
      <c r="R167" s="1665"/>
      <c r="S167" s="1665"/>
      <c r="T167" s="1665"/>
      <c r="U167" s="1665"/>
      <c r="V167" s="1665"/>
      <c r="W167" s="1665"/>
      <c r="X167" s="1665"/>
      <c r="Y167" s="1665"/>
      <c r="Z167" s="1665"/>
      <c r="AA167" s="1665"/>
      <c r="AB167" s="1390"/>
      <c r="AD167" s="1390"/>
      <c r="AE167" s="1660"/>
      <c r="AF167" s="1660"/>
      <c r="AG167" s="1390"/>
      <c r="AH167" s="1390"/>
      <c r="AI167" s="1390"/>
      <c r="AJ167" s="1390"/>
      <c r="AK167" s="1660"/>
      <c r="AL167" s="1390"/>
      <c r="AM167" s="1390"/>
      <c r="AN167" s="568"/>
      <c r="AO167" s="1390"/>
      <c r="AP167" s="1390"/>
      <c r="AQ167" s="1390"/>
      <c r="AR167" s="1390"/>
      <c r="AS167" s="1390"/>
      <c r="AT167" s="1656"/>
      <c r="AU167" s="646"/>
      <c r="AV167" s="646"/>
      <c r="AW167" s="646"/>
      <c r="AX167" s="646"/>
      <c r="AY167" s="1665">
        <v>11</v>
      </c>
    </row>
    <row s="1665" customFormat="1" customHeight="1" ht="11.549999999999999">
      <c r="A168" s="1011"/>
      <c r="B168" s="1011"/>
      <c r="C168" s="1011"/>
      <c r="D168" s="1011"/>
      <c r="E168" s="1011"/>
      <c r="F168" s="1660"/>
      <c r="G168" s="1660"/>
      <c r="H168" s="375"/>
      <c r="N168" s="1665"/>
      <c r="O168" s="1665"/>
      <c r="P168" s="1665"/>
      <c r="Q168" s="1665"/>
      <c r="R168" s="1665"/>
      <c r="S168" s="1665"/>
      <c r="T168" s="1665"/>
      <c r="U168" s="1665"/>
      <c r="V168" s="1665"/>
      <c r="W168" s="1665"/>
      <c r="X168" s="1665"/>
      <c r="Y168" s="1665"/>
      <c r="Z168" s="1665"/>
      <c r="AA168" s="1665"/>
      <c r="AB168" s="1390"/>
      <c r="AD168" s="1390"/>
      <c r="AE168" s="1660"/>
      <c r="AF168" s="1660"/>
      <c r="AG168" s="1390"/>
      <c r="AH168" s="1390"/>
      <c r="AI168" s="1390"/>
      <c r="AJ168" s="1390"/>
      <c r="AK168" s="1660"/>
      <c r="AL168" s="1390"/>
      <c r="AM168" s="1390"/>
      <c r="AN168" s="568"/>
      <c r="AO168" s="1390"/>
      <c r="AP168" s="1390"/>
      <c r="AQ168" s="1390"/>
      <c r="AR168" s="1390"/>
      <c r="AS168" s="1390"/>
      <c r="AT168" s="1656"/>
      <c r="AU168" s="646"/>
      <c r="AV168" s="646"/>
      <c r="AW168" s="646"/>
      <c r="AX168" s="646"/>
      <c r="AY168" s="1665">
        <v>11</v>
      </c>
    </row>
    <row s="1665" customFormat="1" customHeight="1" ht="11.549999999999999">
      <c r="A169" s="1011"/>
      <c r="B169" s="1011"/>
      <c r="C169" s="1011"/>
      <c r="D169" s="1011"/>
      <c r="E169" s="1011"/>
      <c r="F169" s="1660"/>
      <c r="G169" s="1660"/>
      <c r="H169" s="375"/>
      <c r="N169" s="1665"/>
      <c r="O169" s="1665"/>
      <c r="P169" s="1665"/>
      <c r="Q169" s="1665"/>
      <c r="R169" s="1665"/>
      <c r="S169" s="1665"/>
      <c r="T169" s="1665"/>
      <c r="U169" s="1665"/>
      <c r="V169" s="1665"/>
      <c r="W169" s="1665"/>
      <c r="X169" s="1665"/>
      <c r="Y169" s="1665"/>
      <c r="Z169" s="1665"/>
      <c r="AA169" s="1665"/>
      <c r="AB169" s="1390"/>
      <c r="AD169" s="1390"/>
      <c r="AE169" s="1660"/>
      <c r="AF169" s="1660"/>
      <c r="AG169" s="1390"/>
      <c r="AH169" s="1390"/>
      <c r="AI169" s="1390"/>
      <c r="AJ169" s="1390"/>
      <c r="AK169" s="1660"/>
      <c r="AL169" s="1390"/>
      <c r="AM169" s="1390"/>
      <c r="AN169" s="568"/>
      <c r="AO169" s="1390"/>
      <c r="AP169" s="1390"/>
      <c r="AQ169" s="1390"/>
      <c r="AR169" s="1390"/>
      <c r="AS169" s="1390"/>
      <c r="AT169" s="1656"/>
      <c r="AU169" s="646"/>
      <c r="AV169" s="646"/>
      <c r="AW169" s="646"/>
      <c r="AX169" s="646"/>
      <c r="AY169" s="1665">
        <v>11</v>
      </c>
    </row>
    <row s="1665" customFormat="1" customHeight="1" ht="11.549999999999999">
      <c r="A170" s="1011"/>
      <c r="B170" s="1011"/>
      <c r="C170" s="1011"/>
      <c r="D170" s="1011"/>
      <c r="E170" s="1011"/>
      <c r="F170" s="1660"/>
      <c r="G170" s="1660"/>
      <c r="H170" s="375"/>
      <c r="N170" s="1665"/>
      <c r="O170" s="1665"/>
      <c r="P170" s="1665"/>
      <c r="Q170" s="1665"/>
      <c r="R170" s="1665"/>
      <c r="S170" s="1665"/>
      <c r="T170" s="1665"/>
      <c r="U170" s="1665"/>
      <c r="V170" s="1665"/>
      <c r="W170" s="1665"/>
      <c r="X170" s="1665"/>
      <c r="Y170" s="1665"/>
      <c r="Z170" s="1665"/>
      <c r="AA170" s="1665"/>
      <c r="AB170" s="1390"/>
      <c r="AD170" s="1390"/>
      <c r="AE170" s="1660"/>
      <c r="AF170" s="1660"/>
      <c r="AG170" s="1390"/>
      <c r="AH170" s="1390"/>
      <c r="AI170" s="1390"/>
      <c r="AJ170" s="1390"/>
      <c r="AK170" s="1660"/>
      <c r="AL170" s="1390"/>
      <c r="AM170" s="1390"/>
      <c r="AN170" s="568"/>
      <c r="AO170" s="1390"/>
      <c r="AP170" s="1390"/>
      <c r="AQ170" s="1390"/>
      <c r="AR170" s="1390"/>
      <c r="AS170" s="1390"/>
      <c r="AT170" s="1656"/>
      <c r="AU170" s="646"/>
      <c r="AV170" s="646"/>
      <c r="AW170" s="646"/>
      <c r="AX170" s="646"/>
      <c r="AY170" s="1665">
        <v>11</v>
      </c>
    </row>
    <row s="1665" customFormat="1" customHeight="1" ht="11.549999999999999">
      <c r="A171" s="1011"/>
      <c r="B171" s="1011"/>
      <c r="C171" s="1011"/>
      <c r="D171" s="1011"/>
      <c r="E171" s="1011"/>
      <c r="F171" s="1660"/>
      <c r="G171" s="1660"/>
      <c r="H171" s="375"/>
      <c r="N171" s="1665"/>
      <c r="O171" s="1665"/>
      <c r="P171" s="1665"/>
      <c r="Q171" s="1665"/>
      <c r="R171" s="1665"/>
      <c r="S171" s="1665"/>
      <c r="T171" s="1665"/>
      <c r="U171" s="1665"/>
      <c r="V171" s="1665"/>
      <c r="W171" s="1665"/>
      <c r="X171" s="1665"/>
      <c r="Y171" s="1665"/>
      <c r="Z171" s="1665"/>
      <c r="AA171" s="1665"/>
      <c r="AB171" s="1390"/>
      <c r="AD171" s="1390"/>
      <c r="AE171" s="1660"/>
      <c r="AF171" s="1660"/>
      <c r="AG171" s="1390"/>
      <c r="AH171" s="1390"/>
      <c r="AI171" s="1390"/>
      <c r="AJ171" s="1390"/>
      <c r="AK171" s="1660"/>
      <c r="AL171" s="1390"/>
      <c r="AM171" s="1390"/>
      <c r="AN171" s="568"/>
      <c r="AO171" s="1390"/>
      <c r="AP171" s="1390"/>
      <c r="AQ171" s="1390"/>
      <c r="AR171" s="1390"/>
      <c r="AS171" s="1390"/>
      <c r="AT171" s="1656"/>
      <c r="AU171" s="646"/>
      <c r="AV171" s="646"/>
      <c r="AW171" s="646"/>
      <c r="AX171" s="646"/>
      <c r="AY171" s="1665">
        <v>11</v>
      </c>
    </row>
    <row s="1665" customFormat="1" customHeight="1" ht="11.549999999999999">
      <c r="A172" s="1011"/>
      <c r="B172" s="1011"/>
      <c r="C172" s="1011"/>
      <c r="D172" s="1011"/>
      <c r="E172" s="1011"/>
      <c r="F172" s="1660"/>
      <c r="G172" s="1660"/>
      <c r="H172" s="375"/>
      <c r="N172" s="1665"/>
      <c r="O172" s="1665"/>
      <c r="P172" s="1665"/>
      <c r="Q172" s="1665"/>
      <c r="R172" s="1665"/>
      <c r="S172" s="1665"/>
      <c r="T172" s="1665"/>
      <c r="U172" s="1665"/>
      <c r="V172" s="1665"/>
      <c r="W172" s="1665"/>
      <c r="X172" s="1665"/>
      <c r="Y172" s="1665"/>
      <c r="Z172" s="1665"/>
      <c r="AA172" s="1665"/>
      <c r="AB172" s="1390"/>
      <c r="AD172" s="1390"/>
      <c r="AE172" s="1660"/>
      <c r="AF172" s="1660"/>
      <c r="AG172" s="1390"/>
      <c r="AH172" s="1390"/>
      <c r="AI172" s="1390"/>
      <c r="AJ172" s="1390"/>
      <c r="AK172" s="1660"/>
      <c r="AL172" s="1390"/>
      <c r="AM172" s="1390"/>
      <c r="AN172" s="568"/>
      <c r="AO172" s="1390"/>
      <c r="AP172" s="1390"/>
      <c r="AQ172" s="1390"/>
      <c r="AR172" s="1390"/>
      <c r="AS172" s="1390"/>
      <c r="AT172" s="1656"/>
      <c r="AU172" s="646"/>
      <c r="AV172" s="646"/>
      <c r="AW172" s="646"/>
      <c r="AX172" s="646"/>
      <c r="AY172" s="1665">
        <v>11</v>
      </c>
    </row>
    <row s="1665" customFormat="1" customHeight="1" ht="11.549999999999999">
      <c r="A173" s="1011"/>
      <c r="B173" s="1011"/>
      <c r="C173" s="1011"/>
      <c r="D173" s="1011"/>
      <c r="E173" s="1011"/>
      <c r="F173" s="1660"/>
      <c r="G173" s="1660"/>
      <c r="H173" s="375"/>
      <c r="N173" s="1665"/>
      <c r="O173" s="1665"/>
      <c r="P173" s="1665"/>
      <c r="Q173" s="1665"/>
      <c r="R173" s="1665"/>
      <c r="S173" s="1665"/>
      <c r="T173" s="1665"/>
      <c r="U173" s="1665"/>
      <c r="V173" s="1665"/>
      <c r="W173" s="1665"/>
      <c r="X173" s="1665"/>
      <c r="Y173" s="1665"/>
      <c r="Z173" s="1665"/>
      <c r="AA173" s="1665"/>
      <c r="AB173" s="1390"/>
      <c r="AD173" s="1390"/>
      <c r="AE173" s="1660"/>
      <c r="AF173" s="1660"/>
      <c r="AG173" s="1390"/>
      <c r="AH173" s="1390"/>
      <c r="AI173" s="1390"/>
      <c r="AJ173" s="1390"/>
      <c r="AK173" s="1660"/>
      <c r="AL173" s="1390"/>
      <c r="AM173" s="1390"/>
      <c r="AN173" s="568"/>
      <c r="AO173" s="1390"/>
      <c r="AP173" s="1390"/>
      <c r="AQ173" s="1390"/>
      <c r="AR173" s="1390"/>
      <c r="AS173" s="1390"/>
      <c r="AT173" s="1656"/>
      <c r="AU173" s="646"/>
      <c r="AV173" s="646"/>
      <c r="AW173" s="646"/>
      <c r="AX173" s="646"/>
      <c r="AY173" s="1665">
        <v>11</v>
      </c>
    </row>
    <row s="1665" customFormat="1" customHeight="1" ht="11.549999999999999">
      <c r="A174" s="1011"/>
      <c r="B174" s="1011"/>
      <c r="C174" s="1011"/>
      <c r="D174" s="1011"/>
      <c r="E174" s="1011"/>
      <c r="F174" s="1660"/>
      <c r="G174" s="1660"/>
      <c r="H174" s="375"/>
      <c r="N174" s="1665"/>
      <c r="O174" s="1665"/>
      <c r="P174" s="1665"/>
      <c r="Q174" s="1665"/>
      <c r="R174" s="1665"/>
      <c r="S174" s="1665"/>
      <c r="T174" s="1665"/>
      <c r="U174" s="1665"/>
      <c r="V174" s="1665"/>
      <c r="W174" s="1665"/>
      <c r="X174" s="1665"/>
      <c r="Y174" s="1665"/>
      <c r="Z174" s="1665"/>
      <c r="AA174" s="1665"/>
      <c r="AB174" s="1390"/>
      <c r="AD174" s="1390"/>
      <c r="AE174" s="1660"/>
      <c r="AF174" s="1660"/>
      <c r="AG174" s="1390"/>
      <c r="AH174" s="1390"/>
      <c r="AI174" s="1390"/>
      <c r="AJ174" s="1390"/>
      <c r="AK174" s="1660"/>
      <c r="AL174" s="1390"/>
      <c r="AM174" s="1390"/>
      <c r="AN174" s="568"/>
      <c r="AO174" s="1390"/>
      <c r="AP174" s="1390"/>
      <c r="AQ174" s="1390"/>
      <c r="AR174" s="1390"/>
      <c r="AS174" s="1390"/>
      <c r="AT174" s="1656"/>
      <c r="AU174" s="646"/>
      <c r="AV174" s="646"/>
      <c r="AW174" s="646"/>
      <c r="AX174" s="646"/>
      <c r="AY174" s="1665">
        <v>11</v>
      </c>
    </row>
    <row s="1665" customFormat="1" customHeight="1" ht="11.549999999999999">
      <c r="A175" s="1011"/>
      <c r="B175" s="1011"/>
      <c r="C175" s="1011"/>
      <c r="D175" s="1011"/>
      <c r="E175" s="1011"/>
      <c r="F175" s="1660"/>
      <c r="G175" s="1660"/>
      <c r="H175" s="375"/>
      <c r="N175" s="1665"/>
      <c r="O175" s="1665"/>
      <c r="P175" s="1665"/>
      <c r="Q175" s="1665"/>
      <c r="R175" s="1665"/>
      <c r="S175" s="1665"/>
      <c r="T175" s="1665"/>
      <c r="U175" s="1665"/>
      <c r="V175" s="1665"/>
      <c r="W175" s="1665"/>
      <c r="X175" s="1665"/>
      <c r="Y175" s="1665"/>
      <c r="Z175" s="1665"/>
      <c r="AA175" s="1665"/>
      <c r="AB175" s="1390"/>
      <c r="AD175" s="1390"/>
      <c r="AE175" s="1660"/>
      <c r="AF175" s="1660"/>
      <c r="AG175" s="1390"/>
      <c r="AH175" s="1390"/>
      <c r="AI175" s="1390"/>
      <c r="AJ175" s="1390"/>
      <c r="AK175" s="1660"/>
      <c r="AL175" s="1390"/>
      <c r="AM175" s="1390"/>
      <c r="AN175" s="568"/>
      <c r="AO175" s="1390"/>
      <c r="AP175" s="1390"/>
      <c r="AQ175" s="1390"/>
      <c r="AR175" s="1390"/>
      <c r="AS175" s="1390"/>
      <c r="AT175" s="1656"/>
      <c r="AU175" s="646"/>
      <c r="AV175" s="646"/>
      <c r="AW175" s="646"/>
      <c r="AX175" s="646"/>
      <c r="AY175" s="1665">
        <v>11</v>
      </c>
    </row>
    <row s="1665" customFormat="1" customHeight="1" ht="11.549999999999999">
      <c r="A176" s="1011"/>
      <c r="B176" s="1011"/>
      <c r="C176" s="1011"/>
      <c r="D176" s="1011"/>
      <c r="E176" s="1011"/>
      <c r="F176" s="1660"/>
      <c r="G176" s="1660"/>
      <c r="H176" s="375"/>
      <c r="N176" s="1665"/>
      <c r="O176" s="1665"/>
      <c r="P176" s="1665"/>
      <c r="Q176" s="1665"/>
      <c r="R176" s="1665"/>
      <c r="S176" s="1665"/>
      <c r="T176" s="1665"/>
      <c r="U176" s="1665"/>
      <c r="V176" s="1665"/>
      <c r="W176" s="1665"/>
      <c r="X176" s="1665"/>
      <c r="Y176" s="1665"/>
      <c r="Z176" s="1665"/>
      <c r="AA176" s="1665"/>
      <c r="AB176" s="1390"/>
      <c r="AD176" s="1390"/>
      <c r="AE176" s="1660"/>
      <c r="AF176" s="1660"/>
      <c r="AG176" s="1390"/>
      <c r="AH176" s="1390"/>
      <c r="AI176" s="1390"/>
      <c r="AJ176" s="1390"/>
      <c r="AK176" s="1660"/>
      <c r="AL176" s="1390"/>
      <c r="AM176" s="1390"/>
      <c r="AN176" s="568"/>
      <c r="AO176" s="1390"/>
      <c r="AP176" s="1390"/>
      <c r="AQ176" s="1390"/>
      <c r="AR176" s="1390"/>
      <c r="AS176" s="1390"/>
      <c r="AT176" s="1656"/>
      <c r="AU176" s="646"/>
      <c r="AV176" s="646"/>
      <c r="AW176" s="646"/>
      <c r="AX176" s="646"/>
      <c r="AY176" s="1665">
        <v>11</v>
      </c>
    </row>
    <row s="1665" customFormat="1" customHeight="1" ht="11.549999999999999">
      <c r="A177" s="1011"/>
      <c r="B177" s="1011"/>
      <c r="C177" s="1011"/>
      <c r="D177" s="1011"/>
      <c r="E177" s="1011"/>
      <c r="F177" s="1660"/>
      <c r="G177" s="1660"/>
      <c r="H177" s="375"/>
      <c r="N177" s="1665"/>
      <c r="O177" s="1665"/>
      <c r="P177" s="1665"/>
      <c r="Q177" s="1665"/>
      <c r="R177" s="1665"/>
      <c r="S177" s="1665"/>
      <c r="T177" s="1665"/>
      <c r="U177" s="1665"/>
      <c r="V177" s="1665"/>
      <c r="W177" s="1665"/>
      <c r="X177" s="1665"/>
      <c r="Y177" s="1665"/>
      <c r="Z177" s="1665"/>
      <c r="AA177" s="1665"/>
      <c r="AB177" s="1390"/>
      <c r="AD177" s="1390"/>
      <c r="AE177" s="1660"/>
      <c r="AF177" s="1660"/>
      <c r="AG177" s="1390"/>
      <c r="AH177" s="1390"/>
      <c r="AI177" s="1390"/>
      <c r="AJ177" s="1390"/>
      <c r="AK177" s="1660"/>
      <c r="AL177" s="1390"/>
      <c r="AM177" s="1390"/>
      <c r="AN177" s="568"/>
      <c r="AO177" s="1390"/>
      <c r="AP177" s="1390"/>
      <c r="AQ177" s="1390"/>
      <c r="AR177" s="1390"/>
      <c r="AS177" s="1390"/>
      <c r="AT177" s="1656"/>
      <c r="AU177" s="646"/>
      <c r="AV177" s="646"/>
      <c r="AW177" s="646"/>
      <c r="AX177" s="646"/>
      <c r="AY177" s="1665">
        <v>11</v>
      </c>
    </row>
    <row s="1665" customFormat="1" customHeight="1" ht="11.549999999999999">
      <c r="A178" s="1011"/>
      <c r="B178" s="1011"/>
      <c r="C178" s="1011"/>
      <c r="D178" s="1011"/>
      <c r="E178" s="1011"/>
      <c r="F178" s="1660"/>
      <c r="G178" s="1660"/>
      <c r="H178" s="375"/>
      <c r="N178" s="1665"/>
      <c r="O178" s="1665"/>
      <c r="P178" s="1665"/>
      <c r="Q178" s="1665"/>
      <c r="R178" s="1665"/>
      <c r="S178" s="1665"/>
      <c r="T178" s="1665"/>
      <c r="U178" s="1665"/>
      <c r="V178" s="1665"/>
      <c r="W178" s="1665"/>
      <c r="X178" s="1665"/>
      <c r="Y178" s="1665"/>
      <c r="Z178" s="1665"/>
      <c r="AA178" s="1665"/>
      <c r="AB178" s="1390"/>
      <c r="AD178" s="1390"/>
      <c r="AE178" s="1660"/>
      <c r="AF178" s="1660"/>
      <c r="AG178" s="1390"/>
      <c r="AH178" s="1390"/>
      <c r="AI178" s="1390"/>
      <c r="AJ178" s="1390"/>
      <c r="AK178" s="1660"/>
      <c r="AL178" s="1390"/>
      <c r="AM178" s="1390"/>
      <c r="AN178" s="568"/>
      <c r="AO178" s="1390"/>
      <c r="AP178" s="1390"/>
      <c r="AQ178" s="1390"/>
      <c r="AR178" s="1390"/>
      <c r="AS178" s="1390"/>
      <c r="AT178" s="1656"/>
      <c r="AU178" s="646"/>
      <c r="AV178" s="646"/>
      <c r="AW178" s="646"/>
      <c r="AX178" s="646"/>
      <c r="AY178" s="1665">
        <v>11</v>
      </c>
    </row>
    <row s="1665" customFormat="1" customHeight="1" ht="11.549999999999999">
      <c r="A179" s="1011"/>
      <c r="B179" s="1011"/>
      <c r="C179" s="1011"/>
      <c r="D179" s="1011"/>
      <c r="E179" s="1011"/>
      <c r="F179" s="1660"/>
      <c r="G179" s="1660"/>
      <c r="H179" s="375"/>
      <c r="N179" s="1665"/>
      <c r="O179" s="1665"/>
      <c r="P179" s="1665"/>
      <c r="Q179" s="1665"/>
      <c r="R179" s="1665"/>
      <c r="S179" s="1665"/>
      <c r="T179" s="1665"/>
      <c r="U179" s="1665"/>
      <c r="V179" s="1665"/>
      <c r="W179" s="1665"/>
      <c r="X179" s="1665"/>
      <c r="Y179" s="1665"/>
      <c r="Z179" s="1665"/>
      <c r="AA179" s="1665"/>
      <c r="AB179" s="1390"/>
      <c r="AD179" s="1390"/>
      <c r="AE179" s="1660"/>
      <c r="AF179" s="1660"/>
      <c r="AG179" s="1390"/>
      <c r="AH179" s="1390"/>
      <c r="AI179" s="1390"/>
      <c r="AJ179" s="1390"/>
      <c r="AK179" s="1660"/>
      <c r="AL179" s="1390"/>
      <c r="AM179" s="1390"/>
      <c r="AN179" s="568"/>
      <c r="AO179" s="1390"/>
      <c r="AP179" s="1390"/>
      <c r="AQ179" s="1390"/>
      <c r="AR179" s="1390"/>
      <c r="AS179" s="1390"/>
      <c r="AT179" s="1656"/>
      <c r="AU179" s="646"/>
      <c r="AV179" s="646"/>
      <c r="AW179" s="646"/>
      <c r="AX179" s="646"/>
      <c r="AY179" s="1665">
        <v>11</v>
      </c>
    </row>
    <row s="1665" customFormat="1" customHeight="1" ht="11.549999999999999">
      <c r="A180" s="1011"/>
      <c r="B180" s="1011"/>
      <c r="C180" s="1011"/>
      <c r="D180" s="1011"/>
      <c r="E180" s="1011"/>
      <c r="F180" s="1660"/>
      <c r="G180" s="1660"/>
      <c r="H180" s="375"/>
      <c r="N180" s="1665"/>
      <c r="O180" s="1665"/>
      <c r="P180" s="1665"/>
      <c r="Q180" s="1665"/>
      <c r="R180" s="1665"/>
      <c r="S180" s="1665"/>
      <c r="T180" s="1665"/>
      <c r="U180" s="1665"/>
      <c r="V180" s="1665"/>
      <c r="W180" s="1665"/>
      <c r="X180" s="1665"/>
      <c r="Y180" s="1665"/>
      <c r="Z180" s="1665"/>
      <c r="AA180" s="1665"/>
      <c r="AB180" s="1390"/>
      <c r="AD180" s="1390"/>
      <c r="AE180" s="1660"/>
      <c r="AF180" s="1660"/>
      <c r="AG180" s="1390"/>
      <c r="AH180" s="1390"/>
      <c r="AI180" s="1390"/>
      <c r="AJ180" s="1390"/>
      <c r="AK180" s="1660"/>
      <c r="AL180" s="1390"/>
      <c r="AM180" s="1390"/>
      <c r="AN180" s="568"/>
      <c r="AO180" s="1390"/>
      <c r="AP180" s="1390"/>
      <c r="AQ180" s="1390"/>
      <c r="AR180" s="1390"/>
      <c r="AS180" s="1390"/>
      <c r="AT180" s="1656"/>
      <c r="AU180" s="646"/>
      <c r="AV180" s="646"/>
      <c r="AW180" s="646"/>
      <c r="AX180" s="646"/>
      <c r="AY180" s="1665">
        <v>11</v>
      </c>
    </row>
    <row s="1665" customFormat="1" customHeight="1" ht="11.549999999999999">
      <c r="A181" s="1011"/>
      <c r="B181" s="1011"/>
      <c r="C181" s="1011"/>
      <c r="D181" s="1011"/>
      <c r="E181" s="1011"/>
      <c r="F181" s="1660"/>
      <c r="G181" s="1660"/>
      <c r="H181" s="375"/>
      <c r="N181" s="1665"/>
      <c r="O181" s="1665"/>
      <c r="P181" s="1665"/>
      <c r="Q181" s="1665"/>
      <c r="R181" s="1665"/>
      <c r="S181" s="1665"/>
      <c r="T181" s="1665"/>
      <c r="U181" s="1665"/>
      <c r="V181" s="1665"/>
      <c r="W181" s="1665"/>
      <c r="X181" s="1665"/>
      <c r="Y181" s="1665"/>
      <c r="Z181" s="1665"/>
      <c r="AA181" s="1665"/>
      <c r="AB181" s="1390"/>
      <c r="AD181" s="1390"/>
      <c r="AE181" s="1660"/>
      <c r="AF181" s="1660"/>
      <c r="AG181" s="1390"/>
      <c r="AH181" s="1390"/>
      <c r="AI181" s="1390"/>
      <c r="AJ181" s="1390"/>
      <c r="AK181" s="1660"/>
      <c r="AL181" s="1390"/>
      <c r="AM181" s="1390"/>
      <c r="AN181" s="568"/>
      <c r="AO181" s="1390"/>
      <c r="AP181" s="1390"/>
      <c r="AQ181" s="1390"/>
      <c r="AR181" s="1390"/>
      <c r="AS181" s="1390"/>
      <c r="AT181" s="1656"/>
      <c r="AU181" s="646"/>
      <c r="AV181" s="646"/>
      <c r="AW181" s="646"/>
      <c r="AX181" s="646"/>
      <c r="AY181" s="1665">
        <v>11</v>
      </c>
    </row>
    <row s="1665" customFormat="1" customHeight="1" ht="11.549999999999999">
      <c r="A182" s="1011"/>
      <c r="B182" s="1011"/>
      <c r="C182" s="1011"/>
      <c r="D182" s="1011"/>
      <c r="E182" s="1011"/>
      <c r="F182" s="1660"/>
      <c r="G182" s="1660"/>
      <c r="H182" s="375"/>
      <c r="N182" s="1665"/>
      <c r="O182" s="1665"/>
      <c r="P182" s="1665"/>
      <c r="Q182" s="1665"/>
      <c r="R182" s="1665"/>
      <c r="S182" s="1665"/>
      <c r="T182" s="1665"/>
      <c r="U182" s="1665"/>
      <c r="V182" s="1665"/>
      <c r="W182" s="1665"/>
      <c r="X182" s="1665"/>
      <c r="Y182" s="1665"/>
      <c r="Z182" s="1665"/>
      <c r="AA182" s="1665"/>
      <c r="AB182" s="1390"/>
      <c r="AD182" s="1390"/>
      <c r="AE182" s="1660"/>
      <c r="AF182" s="1660"/>
      <c r="AG182" s="1390"/>
      <c r="AH182" s="1390"/>
      <c r="AI182" s="1390"/>
      <c r="AJ182" s="1390"/>
      <c r="AK182" s="1660"/>
      <c r="AL182" s="1390"/>
      <c r="AM182" s="1390"/>
      <c r="AN182" s="568"/>
      <c r="AO182" s="1390"/>
      <c r="AP182" s="1390"/>
      <c r="AQ182" s="1390"/>
      <c r="AR182" s="1390"/>
      <c r="AS182" s="1390"/>
      <c r="AT182" s="1656"/>
      <c r="AU182" s="646"/>
      <c r="AV182" s="646"/>
      <c r="AW182" s="646"/>
      <c r="AX182" s="646"/>
      <c r="AY182" s="1665">
        <v>11</v>
      </c>
    </row>
    <row s="1665" customFormat="1" customHeight="1" ht="11.549999999999999">
      <c r="A183" s="1011"/>
      <c r="B183" s="1011"/>
      <c r="C183" s="1011"/>
      <c r="D183" s="1011"/>
      <c r="E183" s="1011"/>
      <c r="F183" s="1660"/>
      <c r="G183" s="1660"/>
      <c r="H183" s="375"/>
      <c r="N183" s="1665"/>
      <c r="O183" s="1665"/>
      <c r="P183" s="1665"/>
      <c r="Q183" s="1665"/>
      <c r="R183" s="1665"/>
      <c r="S183" s="1665"/>
      <c r="T183" s="1665"/>
      <c r="U183" s="1665"/>
      <c r="V183" s="1665"/>
      <c r="W183" s="1665"/>
      <c r="X183" s="1665"/>
      <c r="Y183" s="1665"/>
      <c r="Z183" s="1665"/>
      <c r="AA183" s="1665"/>
      <c r="AB183" s="1390"/>
      <c r="AD183" s="1390"/>
      <c r="AE183" s="1660"/>
      <c r="AF183" s="1660"/>
      <c r="AG183" s="1390"/>
      <c r="AH183" s="1390"/>
      <c r="AI183" s="1390"/>
      <c r="AJ183" s="1390"/>
      <c r="AK183" s="1660"/>
      <c r="AL183" s="1390"/>
      <c r="AM183" s="1390"/>
      <c r="AN183" s="568"/>
      <c r="AO183" s="1390"/>
      <c r="AP183" s="1390"/>
      <c r="AQ183" s="1390"/>
      <c r="AR183" s="1390"/>
      <c r="AS183" s="1390"/>
      <c r="AT183" s="1656"/>
      <c r="AU183" s="646"/>
      <c r="AV183" s="646"/>
      <c r="AW183" s="646"/>
      <c r="AX183" s="646"/>
      <c r="AY183" s="1665">
        <v>11</v>
      </c>
    </row>
    <row s="1665" customFormat="1" customHeight="1" ht="11.549999999999999">
      <c r="A184" s="1011"/>
      <c r="B184" s="1011"/>
      <c r="C184" s="1011"/>
      <c r="D184" s="1011"/>
      <c r="E184" s="1011"/>
      <c r="F184" s="1660"/>
      <c r="G184" s="1660"/>
      <c r="H184" s="375"/>
      <c r="N184" s="1665"/>
      <c r="O184" s="1665"/>
      <c r="P184" s="1665"/>
      <c r="Q184" s="1665"/>
      <c r="R184" s="1665"/>
      <c r="S184" s="1665"/>
      <c r="T184" s="1665"/>
      <c r="U184" s="1665"/>
      <c r="V184" s="1665"/>
      <c r="W184" s="1665"/>
      <c r="X184" s="1665"/>
      <c r="Y184" s="1665"/>
      <c r="Z184" s="1665"/>
      <c r="AA184" s="1665"/>
      <c r="AB184" s="1390"/>
      <c r="AD184" s="1390"/>
      <c r="AE184" s="1660"/>
      <c r="AF184" s="1660"/>
      <c r="AG184" s="1390"/>
      <c r="AH184" s="1390"/>
      <c r="AI184" s="1390"/>
      <c r="AJ184" s="1390"/>
      <c r="AK184" s="1660"/>
      <c r="AL184" s="1390"/>
      <c r="AM184" s="1390"/>
      <c r="AN184" s="568"/>
      <c r="AO184" s="1390"/>
      <c r="AP184" s="1390"/>
      <c r="AQ184" s="1390"/>
      <c r="AR184" s="1390"/>
      <c r="AS184" s="1390"/>
      <c r="AT184" s="1656"/>
      <c r="AU184" s="646"/>
      <c r="AV184" s="646"/>
      <c r="AW184" s="646"/>
      <c r="AX184" s="646"/>
      <c r="AY184" s="1665">
        <v>11</v>
      </c>
    </row>
    <row s="1665" customFormat="1" customHeight="1" ht="11.549999999999999">
      <c r="A185" s="1011"/>
      <c r="B185" s="1011"/>
      <c r="C185" s="1011"/>
      <c r="D185" s="1011"/>
      <c r="E185" s="1011"/>
      <c r="F185" s="1660"/>
      <c r="G185" s="1660"/>
      <c r="H185" s="375"/>
      <c r="N185" s="1665"/>
      <c r="O185" s="1665"/>
      <c r="P185" s="1665"/>
      <c r="Q185" s="1665"/>
      <c r="R185" s="1665"/>
      <c r="S185" s="1665"/>
      <c r="T185" s="1665"/>
      <c r="U185" s="1665"/>
      <c r="V185" s="1665"/>
      <c r="W185" s="1665"/>
      <c r="X185" s="1665"/>
      <c r="Y185" s="1665"/>
      <c r="Z185" s="1665"/>
      <c r="AA185" s="1665"/>
      <c r="AB185" s="1390"/>
      <c r="AD185" s="1390"/>
      <c r="AE185" s="1660"/>
      <c r="AF185" s="1660"/>
      <c r="AG185" s="1390"/>
      <c r="AH185" s="1390"/>
      <c r="AI185" s="1390"/>
      <c r="AJ185" s="1390"/>
      <c r="AK185" s="1660"/>
      <c r="AL185" s="1390"/>
      <c r="AM185" s="1390"/>
      <c r="AN185" s="568"/>
      <c r="AO185" s="1390"/>
      <c r="AP185" s="1390"/>
      <c r="AQ185" s="1390"/>
      <c r="AR185" s="1390"/>
      <c r="AS185" s="1390"/>
      <c r="AT185" s="1656"/>
      <c r="AU185" s="646"/>
      <c r="AV185" s="646"/>
      <c r="AW185" s="646"/>
      <c r="AX185" s="646"/>
      <c r="AY185" s="1665">
        <v>11</v>
      </c>
    </row>
    <row s="1665" customFormat="1" customHeight="1" ht="11.549999999999999">
      <c r="A186" s="1011"/>
      <c r="B186" s="1011"/>
      <c r="C186" s="1011"/>
      <c r="D186" s="1011"/>
      <c r="E186" s="1011"/>
      <c r="F186" s="1660"/>
      <c r="G186" s="1660"/>
      <c r="H186" s="375"/>
      <c r="N186" s="1665"/>
      <c r="O186" s="1665"/>
      <c r="P186" s="1665"/>
      <c r="Q186" s="1665"/>
      <c r="R186" s="1665"/>
      <c r="S186" s="1665"/>
      <c r="T186" s="1665"/>
      <c r="U186" s="1665"/>
      <c r="V186" s="1665"/>
      <c r="W186" s="1665"/>
      <c r="X186" s="1665"/>
      <c r="Y186" s="1665"/>
      <c r="Z186" s="1665"/>
      <c r="AA186" s="1665"/>
      <c r="AB186" s="1390"/>
      <c r="AD186" s="1390"/>
      <c r="AE186" s="1660"/>
      <c r="AF186" s="1660"/>
      <c r="AG186" s="1390"/>
      <c r="AH186" s="1390"/>
      <c r="AI186" s="1390"/>
      <c r="AJ186" s="1390"/>
      <c r="AK186" s="1660"/>
      <c r="AL186" s="1390"/>
      <c r="AM186" s="1390"/>
      <c r="AN186" s="568"/>
      <c r="AO186" s="1390"/>
      <c r="AP186" s="1390"/>
      <c r="AQ186" s="1390"/>
      <c r="AR186" s="1390"/>
      <c r="AS186" s="1390"/>
      <c r="AT186" s="1656"/>
      <c r="AU186" s="646"/>
      <c r="AV186" s="646"/>
      <c r="AW186" s="646"/>
      <c r="AX186" s="646"/>
      <c r="AY186" s="1665">
        <v>11</v>
      </c>
    </row>
    <row s="1665" customFormat="1" customHeight="1" ht="11.549999999999999">
      <c r="A187" s="1011"/>
      <c r="B187" s="1011"/>
      <c r="C187" s="1011"/>
      <c r="D187" s="1011"/>
      <c r="E187" s="1011"/>
      <c r="F187" s="1660"/>
      <c r="G187" s="1660"/>
      <c r="H187" s="375"/>
      <c r="N187" s="1665"/>
      <c r="O187" s="1665"/>
      <c r="P187" s="1665"/>
      <c r="Q187" s="1665"/>
      <c r="R187" s="1665"/>
      <c r="S187" s="1665"/>
      <c r="T187" s="1665"/>
      <c r="U187" s="1665"/>
      <c r="V187" s="1665"/>
      <c r="W187" s="1665"/>
      <c r="X187" s="1665"/>
      <c r="Y187" s="1665"/>
      <c r="Z187" s="1665"/>
      <c r="AA187" s="1665"/>
      <c r="AB187" s="1390"/>
      <c r="AD187" s="1390"/>
      <c r="AE187" s="1660"/>
      <c r="AF187" s="1660"/>
      <c r="AG187" s="1390"/>
      <c r="AH187" s="1390"/>
      <c r="AI187" s="1390"/>
      <c r="AJ187" s="1390"/>
      <c r="AK187" s="1660"/>
      <c r="AL187" s="1390"/>
      <c r="AM187" s="1390"/>
      <c r="AN187" s="568"/>
      <c r="AO187" s="1390"/>
      <c r="AP187" s="1390"/>
      <c r="AQ187" s="1390"/>
      <c r="AR187" s="1390"/>
      <c r="AS187" s="1390"/>
      <c r="AT187" s="1656"/>
      <c r="AU187" s="646"/>
      <c r="AV187" s="646"/>
      <c r="AW187" s="646"/>
      <c r="AX187" s="646"/>
      <c r="AY187" s="1665">
        <v>11</v>
      </c>
    </row>
    <row s="1665" customFormat="1" customHeight="1" ht="11.549999999999999">
      <c r="A188" s="1011"/>
      <c r="B188" s="1011"/>
      <c r="C188" s="1011"/>
      <c r="D188" s="1011"/>
      <c r="E188" s="1011"/>
      <c r="F188" s="1660"/>
      <c r="G188" s="1660"/>
      <c r="H188" s="375"/>
      <c r="N188" s="1665"/>
      <c r="O188" s="1665"/>
      <c r="P188" s="1665"/>
      <c r="Q188" s="1665"/>
      <c r="R188" s="1665"/>
      <c r="S188" s="1665"/>
      <c r="T188" s="1665"/>
      <c r="U188" s="1665"/>
      <c r="V188" s="1665"/>
      <c r="W188" s="1665"/>
      <c r="X188" s="1665"/>
      <c r="Y188" s="1665"/>
      <c r="Z188" s="1665"/>
      <c r="AA188" s="1665"/>
      <c r="AB188" s="1390"/>
      <c r="AD188" s="1390"/>
      <c r="AE188" s="1660"/>
      <c r="AF188" s="1660"/>
      <c r="AG188" s="1390"/>
      <c r="AH188" s="1390"/>
      <c r="AI188" s="1390"/>
      <c r="AJ188" s="1390"/>
      <c r="AK188" s="1660"/>
      <c r="AL188" s="1390"/>
      <c r="AM188" s="1390"/>
      <c r="AN188" s="568"/>
      <c r="AO188" s="1390"/>
      <c r="AP188" s="1390"/>
      <c r="AQ188" s="1390"/>
      <c r="AR188" s="1390"/>
      <c r="AS188" s="1390"/>
      <c r="AT188" s="1656"/>
      <c r="AU188" s="646"/>
      <c r="AV188" s="646"/>
      <c r="AW188" s="646"/>
      <c r="AX188" s="646"/>
      <c r="AY188" s="1665">
        <v>11</v>
      </c>
    </row>
    <row s="1665" customFormat="1" customHeight="1" ht="11.549999999999999">
      <c r="A189" s="1011"/>
      <c r="B189" s="1011"/>
      <c r="C189" s="1011"/>
      <c r="D189" s="1011"/>
      <c r="E189" s="1011"/>
      <c r="F189" s="1660"/>
      <c r="G189" s="1660"/>
      <c r="H189" s="375"/>
      <c r="N189" s="1665"/>
      <c r="O189" s="1665"/>
      <c r="P189" s="1665"/>
      <c r="Q189" s="1665"/>
      <c r="R189" s="1665"/>
      <c r="S189" s="1665"/>
      <c r="T189" s="1665"/>
      <c r="U189" s="1665"/>
      <c r="V189" s="1665"/>
      <c r="W189" s="1665"/>
      <c r="X189" s="1665"/>
      <c r="Y189" s="1665"/>
      <c r="Z189" s="1665"/>
      <c r="AA189" s="1665"/>
      <c r="AB189" s="1390"/>
      <c r="AD189" s="1390"/>
      <c r="AE189" s="1660"/>
      <c r="AF189" s="1660"/>
      <c r="AG189" s="1390"/>
      <c r="AH189" s="1390"/>
      <c r="AI189" s="1390"/>
      <c r="AJ189" s="1390"/>
      <c r="AK189" s="1660"/>
      <c r="AL189" s="1390"/>
      <c r="AM189" s="1390"/>
      <c r="AN189" s="568"/>
      <c r="AO189" s="1390"/>
      <c r="AP189" s="1390"/>
      <c r="AQ189" s="1390"/>
      <c r="AR189" s="1390"/>
      <c r="AS189" s="1390"/>
      <c r="AT189" s="1656"/>
      <c r="AU189" s="646"/>
      <c r="AV189" s="646"/>
      <c r="AW189" s="646"/>
      <c r="AX189" s="646"/>
      <c r="AY189" s="1665">
        <v>11</v>
      </c>
    </row>
    <row customHeight="1" ht="11.549999999999999">
      <c r="N190" s="1659"/>
      <c r="O190" s="1659"/>
      <c r="P190" s="1659"/>
      <c r="Q190" s="1659"/>
      <c r="R190" s="1659"/>
      <c r="S190" s="1659"/>
      <c r="T190" s="1659"/>
      <c r="U190" s="1659"/>
      <c r="V190" s="1659"/>
      <c r="W190" s="1659"/>
      <c r="X190" s="1659"/>
      <c r="Y190" s="1659"/>
      <c r="Z190" s="1659"/>
      <c r="AA190" s="1659"/>
      <c r="AY190" s="1655">
        <v>11</v>
      </c>
    </row>
    <row customHeight="1" ht="11.549999999999999">
      <c r="N191" s="1659"/>
      <c r="O191" s="1659"/>
      <c r="P191" s="1659"/>
      <c r="Q191" s="1659"/>
      <c r="R191" s="1659"/>
      <c r="S191" s="1659"/>
      <c r="T191" s="1659"/>
      <c r="U191" s="1659"/>
      <c r="V191" s="1659"/>
      <c r="W191" s="1659"/>
      <c r="X191" s="1659"/>
      <c r="Y191" s="1659"/>
      <c r="Z191" s="1659"/>
      <c r="AA191" s="1659"/>
      <c r="AY191" s="1655">
        <v>11</v>
      </c>
    </row>
    <row customHeight="1" ht="11.549999999999999">
      <c r="N192" s="1659"/>
      <c r="O192" s="1659"/>
      <c r="P192" s="1659"/>
      <c r="Q192" s="1659"/>
      <c r="R192" s="1659"/>
      <c r="S192" s="1659"/>
      <c r="T192" s="1659"/>
      <c r="U192" s="1659"/>
      <c r="V192" s="1659"/>
      <c r="W192" s="1659"/>
      <c r="X192" s="1659"/>
      <c r="Y192" s="1659"/>
      <c r="Z192" s="1659"/>
      <c r="AA192" s="1659"/>
      <c r="AY192" s="1655">
        <v>11</v>
      </c>
    </row>
    <row customHeight="1" ht="11.549999999999999">
      <c r="A193" s="1014"/>
      <c r="B193" s="1014"/>
      <c r="C193" s="1014"/>
      <c r="D193" s="1014"/>
      <c r="E193" s="1014"/>
      <c r="F193" s="1655"/>
      <c r="H193" s="1655"/>
      <c r="N193" s="1659"/>
      <c r="O193" s="1659"/>
      <c r="P193" s="1659"/>
      <c r="Q193" s="1659"/>
      <c r="R193" s="1659"/>
      <c r="S193" s="1659"/>
      <c r="T193" s="1659"/>
      <c r="U193" s="1659"/>
      <c r="V193" s="1659"/>
      <c r="W193" s="1659"/>
      <c r="X193" s="1659"/>
      <c r="Y193" s="1659"/>
      <c r="Z193" s="1659"/>
      <c r="AA193" s="1659"/>
      <c r="AB193" s="1655"/>
      <c r="AD193" s="1655"/>
      <c r="AG193" s="1655"/>
      <c r="AH193" s="1655"/>
      <c r="AI193" s="1655"/>
      <c r="AJ193" s="1655"/>
      <c r="AL193" s="1655"/>
      <c r="AM193" s="1655"/>
      <c r="AN193" s="1655"/>
      <c r="AO193" s="1655"/>
      <c r="AP193" s="1655"/>
      <c r="AQ193" s="1655"/>
      <c r="AR193" s="1655"/>
      <c r="AS193" s="1655"/>
      <c r="AT193" s="1655"/>
      <c r="AU193" s="1655"/>
      <c r="AV193" s="1655"/>
      <c r="AW193" s="1655"/>
      <c r="AX193" s="1655"/>
      <c r="AY193" s="1655">
        <v>11</v>
      </c>
    </row>
    <row customHeight="1" ht="11.549999999999999">
      <c r="A194" s="1014"/>
      <c r="B194" s="1014"/>
      <c r="C194" s="1014"/>
      <c r="D194" s="1014"/>
      <c r="E194" s="1014"/>
      <c r="F194" s="1655"/>
      <c r="H194" s="1655"/>
      <c r="N194" s="1659"/>
      <c r="O194" s="1659"/>
      <c r="P194" s="1659"/>
      <c r="Q194" s="1659"/>
      <c r="R194" s="1659"/>
      <c r="S194" s="1659"/>
      <c r="T194" s="1659"/>
      <c r="U194" s="1659"/>
      <c r="V194" s="1659"/>
      <c r="W194" s="1659"/>
      <c r="X194" s="1659"/>
      <c r="Y194" s="1659"/>
      <c r="Z194" s="1659"/>
      <c r="AA194" s="1659"/>
      <c r="AB194" s="1655"/>
      <c r="AD194" s="1655"/>
      <c r="AG194" s="1655"/>
      <c r="AH194" s="1655"/>
      <c r="AI194" s="1655"/>
      <c r="AJ194" s="1655"/>
      <c r="AL194" s="1655"/>
      <c r="AM194" s="1655"/>
      <c r="AN194" s="1655"/>
      <c r="AO194" s="1655"/>
      <c r="AP194" s="1655"/>
      <c r="AQ194" s="1655"/>
      <c r="AR194" s="1655"/>
      <c r="AS194" s="1655"/>
      <c r="AT194" s="1655"/>
      <c r="AU194" s="1655"/>
      <c r="AV194" s="1655"/>
      <c r="AW194" s="1655"/>
      <c r="AX194" s="1655"/>
      <c r="AY194" s="1655">
        <v>11</v>
      </c>
    </row>
    <row customHeight="1" ht="11.549999999999999">
      <c r="A195" s="1014"/>
      <c r="B195" s="1014"/>
      <c r="C195" s="1014"/>
      <c r="D195" s="1014"/>
      <c r="E195" s="1014"/>
      <c r="F195" s="1655"/>
      <c r="H195" s="1655"/>
      <c r="N195" s="1659"/>
      <c r="O195" s="1659"/>
      <c r="P195" s="1659"/>
      <c r="Q195" s="1659"/>
      <c r="R195" s="1659"/>
      <c r="S195" s="1659"/>
      <c r="T195" s="1659"/>
      <c r="U195" s="1659"/>
      <c r="V195" s="1659"/>
      <c r="W195" s="1659"/>
      <c r="X195" s="1659"/>
      <c r="Y195" s="1659"/>
      <c r="Z195" s="1659"/>
      <c r="AA195" s="1659"/>
      <c r="AB195" s="1655"/>
      <c r="AD195" s="1655"/>
      <c r="AG195" s="1655"/>
      <c r="AH195" s="1655"/>
      <c r="AI195" s="1655"/>
      <c r="AJ195" s="1655"/>
      <c r="AL195" s="1655"/>
      <c r="AM195" s="1655"/>
      <c r="AN195" s="1655"/>
      <c r="AO195" s="1655"/>
      <c r="AP195" s="1655"/>
      <c r="AQ195" s="1655"/>
      <c r="AR195" s="1655"/>
      <c r="AS195" s="1655"/>
      <c r="AT195" s="1655"/>
      <c r="AU195" s="1655"/>
      <c r="AV195" s="1655"/>
      <c r="AW195" s="1655"/>
      <c r="AX195" s="1655"/>
      <c r="AY195" s="1655">
        <v>11</v>
      </c>
    </row>
    <row customHeight="1" ht="11.549999999999999">
      <c r="A196" s="1014"/>
      <c r="B196" s="1014"/>
      <c r="C196" s="1014"/>
      <c r="D196" s="1014"/>
      <c r="E196" s="1014"/>
      <c r="F196" s="1655"/>
      <c r="H196" s="1655"/>
      <c r="N196" s="1659"/>
      <c r="O196" s="1659"/>
      <c r="P196" s="1659"/>
      <c r="Q196" s="1659"/>
      <c r="R196" s="1659"/>
      <c r="S196" s="1659"/>
      <c r="T196" s="1659"/>
      <c r="U196" s="1659"/>
      <c r="V196" s="1659"/>
      <c r="W196" s="1659"/>
      <c r="X196" s="1659"/>
      <c r="Y196" s="1659"/>
      <c r="Z196" s="1659"/>
      <c r="AA196" s="1659"/>
      <c r="AB196" s="1655"/>
      <c r="AD196" s="1655"/>
      <c r="AG196" s="1655"/>
      <c r="AH196" s="1655"/>
      <c r="AI196" s="1655"/>
      <c r="AJ196" s="1655"/>
      <c r="AL196" s="1655"/>
      <c r="AM196" s="1655"/>
      <c r="AN196" s="1655"/>
      <c r="AO196" s="1655"/>
      <c r="AP196" s="1655"/>
      <c r="AQ196" s="1655"/>
      <c r="AR196" s="1655"/>
      <c r="AS196" s="1655"/>
      <c r="AT196" s="1655"/>
      <c r="AU196" s="1655"/>
      <c r="AV196" s="1655"/>
      <c r="AW196" s="1655"/>
      <c r="AX196" s="1655"/>
      <c r="AY196" s="1655">
        <v>11</v>
      </c>
    </row>
    <row customHeight="1" ht="11.549999999999999">
      <c r="A197" s="1014"/>
      <c r="B197" s="1014"/>
      <c r="C197" s="1014"/>
      <c r="D197" s="1014"/>
      <c r="E197" s="1014"/>
      <c r="F197" s="1655"/>
      <c r="H197" s="1655"/>
      <c r="N197" s="1659"/>
      <c r="O197" s="1659"/>
      <c r="P197" s="1659"/>
      <c r="Q197" s="1659"/>
      <c r="R197" s="1659"/>
      <c r="S197" s="1659"/>
      <c r="T197" s="1659"/>
      <c r="U197" s="1659"/>
      <c r="V197" s="1659"/>
      <c r="W197" s="1659"/>
      <c r="X197" s="1659"/>
      <c r="Y197" s="1659"/>
      <c r="Z197" s="1659"/>
      <c r="AA197" s="1659"/>
      <c r="AB197" s="1655"/>
      <c r="AD197" s="1655"/>
      <c r="AG197" s="1655"/>
      <c r="AH197" s="1655"/>
      <c r="AI197" s="1655"/>
      <c r="AJ197" s="1655"/>
      <c r="AL197" s="1655"/>
      <c r="AM197" s="1655"/>
      <c r="AN197" s="1655"/>
      <c r="AO197" s="1655"/>
      <c r="AP197" s="1655"/>
      <c r="AQ197" s="1655"/>
      <c r="AR197" s="1655"/>
      <c r="AS197" s="1655"/>
      <c r="AT197" s="1655"/>
      <c r="AU197" s="1655"/>
      <c r="AV197" s="1655"/>
      <c r="AW197" s="1655"/>
      <c r="AX197" s="1655"/>
      <c r="AY197" s="1655">
        <v>11</v>
      </c>
    </row>
    <row customHeight="1" ht="11.549999999999999">
      <c r="A198" s="1014"/>
      <c r="B198" s="1014"/>
      <c r="C198" s="1014"/>
      <c r="D198" s="1014"/>
      <c r="E198" s="1014"/>
      <c r="F198" s="1655"/>
      <c r="H198" s="1655"/>
      <c r="N198" s="1659"/>
      <c r="O198" s="1659"/>
      <c r="P198" s="1659"/>
      <c r="Q198" s="1659"/>
      <c r="R198" s="1659"/>
      <c r="S198" s="1659"/>
      <c r="T198" s="1659"/>
      <c r="U198" s="1659"/>
      <c r="V198" s="1659"/>
      <c r="W198" s="1659"/>
      <c r="X198" s="1659"/>
      <c r="Y198" s="1659"/>
      <c r="Z198" s="1659"/>
      <c r="AA198" s="1659"/>
      <c r="AB198" s="1655"/>
      <c r="AD198" s="1655"/>
      <c r="AG198" s="1655"/>
      <c r="AH198" s="1655"/>
      <c r="AI198" s="1655"/>
      <c r="AJ198" s="1655"/>
      <c r="AL198" s="1655"/>
      <c r="AM198" s="1655"/>
      <c r="AN198" s="1655"/>
      <c r="AO198" s="1655"/>
      <c r="AP198" s="1655"/>
      <c r="AQ198" s="1655"/>
      <c r="AR198" s="1655"/>
      <c r="AS198" s="1655"/>
      <c r="AT198" s="1655"/>
      <c r="AU198" s="1655"/>
      <c r="AV198" s="1655"/>
      <c r="AW198" s="1655"/>
      <c r="AX198" s="1655"/>
      <c r="AY198" s="1655">
        <v>11</v>
      </c>
    </row>
    <row customHeight="1" ht="11.549999999999999">
      <c r="A199" s="1014"/>
      <c r="B199" s="1014"/>
      <c r="C199" s="1014"/>
      <c r="D199" s="1014"/>
      <c r="E199" s="1014"/>
      <c r="F199" s="1655"/>
      <c r="H199" s="1655"/>
      <c r="N199" s="1659"/>
      <c r="O199" s="1659"/>
      <c r="P199" s="1659"/>
      <c r="Q199" s="1659"/>
      <c r="R199" s="1659"/>
      <c r="S199" s="1659"/>
      <c r="T199" s="1659"/>
      <c r="U199" s="1659"/>
      <c r="V199" s="1659"/>
      <c r="W199" s="1659"/>
      <c r="X199" s="1659"/>
      <c r="Y199" s="1659"/>
      <c r="Z199" s="1659"/>
      <c r="AA199" s="1659"/>
      <c r="AB199" s="1655"/>
      <c r="AD199" s="1655"/>
      <c r="AG199" s="1655"/>
      <c r="AH199" s="1655"/>
      <c r="AI199" s="1655"/>
      <c r="AJ199" s="1655"/>
      <c r="AL199" s="1655"/>
      <c r="AM199" s="1655"/>
      <c r="AN199" s="1655"/>
      <c r="AO199" s="1655"/>
      <c r="AP199" s="1655"/>
      <c r="AQ199" s="1655"/>
      <c r="AR199" s="1655"/>
      <c r="AS199" s="1655"/>
      <c r="AT199" s="1655"/>
      <c r="AU199" s="1655"/>
      <c r="AV199" s="1655"/>
      <c r="AW199" s="1655"/>
      <c r="AX199" s="1655"/>
      <c r="AY199" s="1655">
        <v>11</v>
      </c>
    </row>
    <row customHeight="1" ht="11.549999999999999">
      <c r="A200" s="1014"/>
      <c r="B200" s="1014"/>
      <c r="C200" s="1014"/>
      <c r="D200" s="1014"/>
      <c r="E200" s="1014"/>
      <c r="F200" s="1655"/>
      <c r="H200" s="1655"/>
      <c r="N200" s="1659"/>
      <c r="O200" s="1659"/>
      <c r="P200" s="1659"/>
      <c r="Q200" s="1659"/>
      <c r="R200" s="1659"/>
      <c r="S200" s="1659"/>
      <c r="T200" s="1659"/>
      <c r="U200" s="1659"/>
      <c r="V200" s="1659"/>
      <c r="W200" s="1659"/>
      <c r="X200" s="1659"/>
      <c r="Y200" s="1659"/>
      <c r="Z200" s="1659"/>
      <c r="AA200" s="1659"/>
      <c r="AB200" s="1655"/>
      <c r="AD200" s="1655"/>
      <c r="AG200" s="1655"/>
      <c r="AH200" s="1655"/>
      <c r="AI200" s="1655"/>
      <c r="AJ200" s="1655"/>
      <c r="AL200" s="1655"/>
      <c r="AM200" s="1655"/>
      <c r="AN200" s="1655"/>
      <c r="AO200" s="1655"/>
      <c r="AP200" s="1655"/>
      <c r="AQ200" s="1655"/>
      <c r="AR200" s="1655"/>
      <c r="AS200" s="1655"/>
      <c r="AT200" s="1655"/>
      <c r="AU200" s="1655"/>
      <c r="AV200" s="1655"/>
      <c r="AW200" s="1655"/>
      <c r="AX200" s="1655"/>
      <c r="AY200" s="1655">
        <v>11</v>
      </c>
    </row>
    <row customHeight="1" ht="11.549999999999999">
      <c r="A201" s="1014"/>
      <c r="B201" s="1014"/>
      <c r="C201" s="1014"/>
      <c r="D201" s="1014"/>
      <c r="E201" s="1014"/>
      <c r="F201" s="1655"/>
      <c r="H201" s="1655"/>
      <c r="N201" s="1659"/>
      <c r="O201" s="1659"/>
      <c r="P201" s="1659"/>
      <c r="Q201" s="1659"/>
      <c r="R201" s="1659"/>
      <c r="S201" s="1659"/>
      <c r="T201" s="1659"/>
      <c r="U201" s="1659"/>
      <c r="V201" s="1659"/>
      <c r="W201" s="1659"/>
      <c r="X201" s="1659"/>
      <c r="Y201" s="1659"/>
      <c r="Z201" s="1659"/>
      <c r="AA201" s="1659"/>
      <c r="AB201" s="1655"/>
      <c r="AD201" s="1655"/>
      <c r="AG201" s="1655"/>
      <c r="AH201" s="1655"/>
      <c r="AI201" s="1655"/>
      <c r="AJ201" s="1655"/>
      <c r="AL201" s="1655"/>
      <c r="AM201" s="1655"/>
      <c r="AN201" s="1655"/>
      <c r="AO201" s="1655"/>
      <c r="AP201" s="1655"/>
      <c r="AQ201" s="1655"/>
      <c r="AR201" s="1655"/>
      <c r="AS201" s="1655"/>
      <c r="AT201" s="1655"/>
      <c r="AU201" s="1655"/>
      <c r="AV201" s="1655"/>
      <c r="AW201" s="1655"/>
      <c r="AX201" s="1655"/>
      <c r="AY201" s="1655">
        <v>11</v>
      </c>
    </row>
    <row customHeight="1" ht="11.549999999999999">
      <c r="A202" s="1014"/>
      <c r="B202" s="1014"/>
      <c r="C202" s="1014"/>
      <c r="D202" s="1014"/>
      <c r="E202" s="1014"/>
      <c r="F202" s="1655"/>
      <c r="H202" s="1655"/>
      <c r="N202" s="1659"/>
      <c r="O202" s="1659"/>
      <c r="P202" s="1659"/>
      <c r="Q202" s="1659"/>
      <c r="R202" s="1659"/>
      <c r="S202" s="1659"/>
      <c r="T202" s="1659"/>
      <c r="U202" s="1659"/>
      <c r="V202" s="1659"/>
      <c r="W202" s="1659"/>
      <c r="X202" s="1659"/>
      <c r="Y202" s="1659"/>
      <c r="Z202" s="1659"/>
      <c r="AA202" s="1659"/>
      <c r="AB202" s="1655"/>
      <c r="AD202" s="1655"/>
      <c r="AG202" s="1655"/>
      <c r="AH202" s="1655"/>
      <c r="AI202" s="1655"/>
      <c r="AJ202" s="1655"/>
      <c r="AL202" s="1655"/>
      <c r="AM202" s="1655"/>
      <c r="AN202" s="1655"/>
      <c r="AO202" s="1655"/>
      <c r="AP202" s="1655"/>
      <c r="AQ202" s="1655"/>
      <c r="AR202" s="1655"/>
      <c r="AS202" s="1655"/>
      <c r="AT202" s="1655"/>
      <c r="AU202" s="1655"/>
      <c r="AV202" s="1655"/>
      <c r="AW202" s="1655"/>
      <c r="AX202" s="1655"/>
      <c r="AY202" s="1655">
        <v>11</v>
      </c>
    </row>
    <row customHeight="1" ht="11.549999999999999">
      <c r="A203" s="1014"/>
      <c r="B203" s="1014"/>
      <c r="C203" s="1014"/>
      <c r="D203" s="1014"/>
      <c r="E203" s="1014"/>
      <c r="F203" s="1655"/>
      <c r="H203" s="1655"/>
      <c r="N203" s="1659"/>
      <c r="O203" s="1659"/>
      <c r="P203" s="1659"/>
      <c r="Q203" s="1659"/>
      <c r="R203" s="1659"/>
      <c r="S203" s="1659"/>
      <c r="T203" s="1659"/>
      <c r="U203" s="1659"/>
      <c r="V203" s="1659"/>
      <c r="W203" s="1659"/>
      <c r="X203" s="1659"/>
      <c r="Y203" s="1659"/>
      <c r="Z203" s="1659"/>
      <c r="AA203" s="1659"/>
      <c r="AB203" s="1655"/>
      <c r="AD203" s="1655"/>
      <c r="AG203" s="1655"/>
      <c r="AH203" s="1655"/>
      <c r="AI203" s="1655"/>
      <c r="AJ203" s="1655"/>
      <c r="AL203" s="1655"/>
      <c r="AM203" s="1655"/>
      <c r="AN203" s="1655"/>
      <c r="AO203" s="1655"/>
      <c r="AP203" s="1655"/>
      <c r="AQ203" s="1655"/>
      <c r="AR203" s="1655"/>
      <c r="AS203" s="1655"/>
      <c r="AT203" s="1655"/>
      <c r="AU203" s="1655"/>
      <c r="AV203" s="1655"/>
      <c r="AW203" s="1655"/>
      <c r="AX203" s="1655"/>
      <c r="AY203" s="1655">
        <v>11</v>
      </c>
    </row>
    <row customHeight="1" ht="12.75" hidden="1">
      <c r="A204" s="1011" t="s">
        <v>82</v>
      </c>
      <c r="B204" s="1011" t="s">
        <v>156</v>
      </c>
      <c r="C204" s="1011" t="s">
        <v>156</v>
      </c>
      <c r="D204" s="1011" t="s">
        <v>156</v>
      </c>
      <c r="E204" s="1011" t="s">
        <v>156</v>
      </c>
      <c r="F204" s="1659">
        <v>16</v>
      </c>
      <c r="G204" s="1660">
        <v>0</v>
      </c>
      <c r="H204" s="1659">
        <v>3</v>
      </c>
      <c r="I204" s="1655">
        <v>7</v>
      </c>
      <c r="J204" s="1655">
        <v>56</v>
      </c>
      <c r="K204" s="1655">
        <v>10</v>
      </c>
      <c r="L204" s="1655">
        <v>40</v>
      </c>
      <c r="M204" s="1655">
        <v>40</v>
      </c>
      <c r="N204" s="1659">
        <v>40</v>
      </c>
      <c r="O204" s="1659">
        <v>40</v>
      </c>
      <c r="P204" s="1659">
        <v>40</v>
      </c>
      <c r="Q204" s="1659">
        <v>40</v>
      </c>
      <c r="R204" s="1659">
        <v>40</v>
      </c>
      <c r="S204" s="1659">
        <v>40</v>
      </c>
      <c r="T204" s="1659">
        <v>40</v>
      </c>
      <c r="U204" s="1659">
        <v>40</v>
      </c>
      <c r="V204" s="1659">
        <v>40</v>
      </c>
      <c r="W204" s="1659">
        <v>40</v>
      </c>
      <c r="X204" s="1659">
        <v>40</v>
      </c>
      <c r="Y204" s="1659">
        <v>40</v>
      </c>
      <c r="Z204" s="1659">
        <v>40</v>
      </c>
      <c r="AA204" s="1659">
        <v>40</v>
      </c>
      <c r="AB204" s="1390">
        <v>9</v>
      </c>
      <c r="AC204" s="1655">
        <v>102</v>
      </c>
      <c r="AD204" s="1390">
        <v>9</v>
      </c>
      <c r="AE204" s="1660">
        <v>5</v>
      </c>
      <c r="AF204" s="1660">
        <v>3</v>
      </c>
      <c r="AG204" s="1390">
        <v>3</v>
      </c>
      <c r="AH204" s="1390">
        <v>3</v>
      </c>
      <c r="AI204" s="1390">
        <v>3</v>
      </c>
      <c r="AJ204" s="1390">
        <v>3</v>
      </c>
      <c r="AK204" s="1660">
        <v>10</v>
      </c>
      <c r="AL204" s="1390">
        <v>34</v>
      </c>
      <c r="AM204" s="1390">
        <v>9</v>
      </c>
      <c r="AN204" s="568">
        <v>8</v>
      </c>
      <c r="AO204" s="1390">
        <v>8</v>
      </c>
      <c r="AP204" s="1390">
        <v>8</v>
      </c>
      <c r="AQ204" s="1390">
        <v>8</v>
      </c>
      <c r="AR204" s="1390">
        <v>8</v>
      </c>
      <c r="AS204" s="1390">
        <v>8</v>
      </c>
      <c r="AT204" s="1656">
        <v>8</v>
      </c>
      <c r="AU204" s="1656">
        <v>8</v>
      </c>
      <c r="AV204" s="1656">
        <v>8</v>
      </c>
      <c r="AW204" s="1656">
        <v>8</v>
      </c>
      <c r="AX204" s="1656">
        <v>8</v>
      </c>
      <c r="AY204" s="1655">
        <v>11</v>
      </c>
    </row>
  </sheetData>
  <sheetProtection sheet="1" sort="1" autoFilter="0" insertRows="1" insertColumns="1" deleteRows="1" deleteColumns="1"/>
  <mergeCells count="7">
    <mergeCell ref="I6:M6"/>
    <mergeCell ref="I7:M7"/>
    <mergeCell ref="J10:K10"/>
    <mergeCell ref="AC10:AC14"/>
    <mergeCell ref="J11:K11"/>
    <mergeCell ref="J12:K12"/>
    <mergeCell ref="I13:K13"/>
  </mergeCells>
  <dataValidations count="4">
    <dataValidation type="decimal" allowBlank="1" showErrorMessage="1" errorTitle="Ошибка" error="Допускается ввод только неотрицательных чисел!" sqref="L32:AA33 L19:AA29 L16:AA16 L2:AA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AA17">
      <formula1>900</formula1>
    </dataValidation>
    <dataValidation type="whole" allowBlank="1" showErrorMessage="1" errorTitle="Ошибка" error="Допускается ввод только неотрицательных целых чисел!" sqref="L30:AA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AA15 L34:AA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EC9AA9-996A-83EE-C936-0.733CDD67}"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59" width="10.57421875" hidden="1"/>
    <col min="5" max="5" style="2421" width="9.140625" hidden="1" customWidth="1"/>
    <col min="6" max="7" style="1390" width="9.140625" hidden="1" customWidth="1"/>
    <col min="8" max="8" style="368" width="3.00390625" customWidth="1"/>
    <col min="9" max="9" style="1659" width="6.00390625" customWidth="1"/>
    <col min="10" max="10" style="1659" width="63.00390625" customWidth="1"/>
    <col min="11" max="11" style="1659" width="9.00390625" customWidth="1"/>
    <col min="12" max="12" style="1659" width="39.00390625" customWidth="1"/>
    <col min="13" max="13" style="1659" width="89.00390625" customWidth="1"/>
    <col min="14" max="14" style="1659" width="10.00390625" customWidth="1"/>
    <col min="15" max="16" style="1648" width="10.00390625" customWidth="1"/>
    <col min="17" max="22" style="1659" width="10.00390625" customWidth="1"/>
    <col min="23" max="23" style="1659" width="10.57421875" hidden="1"/>
  </cols>
  <sheetData>
    <row customHeight="1" ht="22.5" hidden="1">
      <c r="S1" s="279"/>
      <c r="T1" s="279"/>
      <c r="V1" s="279"/>
      <c r="W1" s="1655" t="s">
        <v>14</v>
      </c>
    </row>
    <row customHeight="1" ht="22.5" hidden="1">
      <c r="B2" s="2077" t="s">
        <v>785</v>
      </c>
      <c r="C2" s="2077" t="s">
        <v>786</v>
      </c>
      <c r="D2" s="2076" t="s">
        <v>725</v>
      </c>
      <c r="E2" s="2082">
        <f>I2-3</f>
        <v>-3</v>
      </c>
      <c r="F2" s="2082">
        <f>J2</f>
        <v>0</v>
      </c>
      <c r="H2" s="1754" t="s">
        <v>104</v>
      </c>
      <c r="I2" s="2048"/>
      <c r="J2" s="1706"/>
      <c r="K2" s="2042" t="s">
        <v>390</v>
      </c>
      <c r="L2" s="1188"/>
      <c r="M2" s="321"/>
      <c r="N2" s="1648"/>
      <c r="P2" s="1655"/>
      <c r="W2" s="1655">
        <v>0</v>
      </c>
    </row>
    <row customHeight="1" ht="14.25" hidden="1">
      <c r="W3" s="1655">
        <v>0</v>
      </c>
    </row>
    <row customHeight="1" ht="6.3">
      <c r="H4" s="400"/>
      <c r="I4" s="481"/>
      <c r="J4" s="481"/>
      <c r="K4" s="481"/>
      <c r="L4" s="109"/>
      <c r="M4" s="109"/>
      <c r="W4" s="1655">
        <v>6</v>
      </c>
    </row>
    <row customHeight="1" ht="50.25">
      <c r="H5" s="400"/>
      <c r="I5" s="2272" t="s">
        <v>787</v>
      </c>
      <c r="J5" s="2272"/>
      <c r="K5" s="2272"/>
      <c r="L5" s="2272"/>
      <c r="M5" s="290"/>
      <c r="W5" s="1655">
        <v>48</v>
      </c>
    </row>
    <row customHeight="1" ht="18">
      <c r="H6" s="400"/>
      <c r="I6" s="2273" t="str">
        <f>IF(org=0,"Не определено",org)</f>
        <v>АО "ДГК"</v>
      </c>
      <c r="J6" s="2273"/>
      <c r="K6" s="2273"/>
      <c r="L6" s="2273"/>
      <c r="M6" s="290"/>
      <c r="W6" s="1655">
        <v>17</v>
      </c>
    </row>
    <row customHeight="1" ht="14.699999999999998">
      <c r="H7" s="400"/>
      <c r="I7" s="481"/>
      <c r="J7" s="487"/>
      <c r="K7" s="487"/>
      <c r="L7" s="776"/>
      <c r="M7" s="217"/>
      <c r="W7" s="1655">
        <v>14</v>
      </c>
    </row>
    <row customHeight="1" ht="14.699999999999998">
      <c r="H8" s="400"/>
      <c r="I8" s="2410" t="s">
        <v>384</v>
      </c>
      <c r="J8" s="2411"/>
      <c r="K8" s="2411"/>
      <c r="L8" s="2412"/>
      <c r="M8" s="2413" t="s">
        <v>385</v>
      </c>
      <c r="W8" s="1655">
        <v>14</v>
      </c>
    </row>
    <row customHeight="1" ht="35.699999999999996">
      <c r="E9" s="2075" t="s">
        <v>716</v>
      </c>
      <c r="F9" s="2075" t="s">
        <v>722</v>
      </c>
      <c r="H9" s="400"/>
      <c r="I9" s="2049" t="s">
        <v>88</v>
      </c>
      <c r="J9" s="2050" t="s">
        <v>386</v>
      </c>
      <c r="K9" s="2088" t="s">
        <v>650</v>
      </c>
      <c r="L9" s="2089" t="s">
        <v>387</v>
      </c>
      <c r="M9" s="2413"/>
      <c r="W9" s="1655">
        <v>34</v>
      </c>
    </row>
    <row customHeight="1" ht="35.699999999999996">
      <c r="B10" s="2077" t="s">
        <v>788</v>
      </c>
      <c r="C10" s="2077" t="s">
        <v>789</v>
      </c>
      <c r="D10" s="2076" t="s">
        <v>725</v>
      </c>
      <c r="E10" s="2080" t="s">
        <v>726</v>
      </c>
      <c r="F10" s="2080" t="s">
        <v>726</v>
      </c>
      <c r="H10" s="400"/>
      <c r="I10" s="2048" t="s">
        <v>170</v>
      </c>
      <c r="J10" s="1910" t="s">
        <v>790</v>
      </c>
      <c r="K10" s="2042" t="s">
        <v>390</v>
      </c>
      <c r="L10" s="842"/>
      <c r="M10" s="321" t="s">
        <v>791</v>
      </c>
      <c r="W10" s="1655">
        <v>34</v>
      </c>
    </row>
    <row customHeight="1" ht="50.25">
      <c r="B11" s="2077" t="s">
        <v>792</v>
      </c>
      <c r="C11" s="2077" t="s">
        <v>793</v>
      </c>
      <c r="D11" s="2076" t="s">
        <v>725</v>
      </c>
      <c r="E11" s="2080" t="s">
        <v>726</v>
      </c>
      <c r="F11" s="2080" t="s">
        <v>726</v>
      </c>
      <c r="H11" s="400"/>
      <c r="I11" s="2048" t="s">
        <v>103</v>
      </c>
      <c r="J11" s="1910" t="s">
        <v>794</v>
      </c>
      <c r="K11" s="2042" t="s">
        <v>390</v>
      </c>
      <c r="L11" s="842"/>
      <c r="M11" s="321" t="s">
        <v>791</v>
      </c>
      <c r="W11" s="1655">
        <v>48</v>
      </c>
    </row>
    <row customHeight="1" ht="48.29999999999999">
      <c r="B12" s="2077" t="s">
        <v>795</v>
      </c>
      <c r="C12" s="2077" t="s">
        <v>796</v>
      </c>
      <c r="D12" s="2076" t="s">
        <v>725</v>
      </c>
      <c r="E12" s="2080" t="s">
        <v>726</v>
      </c>
      <c r="F12" s="2080" t="s">
        <v>726</v>
      </c>
      <c r="H12" s="1712"/>
      <c r="I12" s="2048" t="s">
        <v>90</v>
      </c>
      <c r="J12" s="2055" t="s">
        <v>797</v>
      </c>
      <c r="K12" s="2042" t="s">
        <v>390</v>
      </c>
      <c r="L12" s="842"/>
      <c r="M12" s="321" t="s">
        <v>798</v>
      </c>
      <c r="N12" s="1648"/>
      <c r="P12" s="1655"/>
      <c r="W12" s="1655">
        <v>46</v>
      </c>
    </row>
    <row customHeight="1" ht="14.699999999999998">
      <c r="E13" s="367"/>
      <c r="H13" s="400"/>
      <c r="I13" s="371"/>
      <c r="J13" s="675" t="s">
        <v>799</v>
      </c>
      <c r="K13" s="595"/>
      <c r="L13" s="238"/>
      <c r="M13" s="321"/>
      <c r="W13" s="1655">
        <v>14</v>
      </c>
    </row>
    <row customHeight="1" ht="14.699999999999998">
      <c r="E14" s="367"/>
      <c r="H14" s="400"/>
      <c r="I14" s="1081"/>
      <c r="J14" s="1701"/>
      <c r="K14" s="1702"/>
      <c r="L14" s="1703"/>
      <c r="M14" s="2052"/>
      <c r="W14" s="1655">
        <v>14</v>
      </c>
    </row>
    <row customHeight="1" ht="14.699999999999998">
      <c r="I15" s="1705"/>
      <c r="J15" s="2409"/>
      <c r="K15" s="2409"/>
      <c r="L15" s="2409"/>
      <c r="M15" s="2409"/>
      <c r="W15" s="1655">
        <v>14</v>
      </c>
    </row>
    <row customHeight="1" ht="21" hidden="1">
      <c r="A16" s="2054" t="s">
        <v>82</v>
      </c>
      <c r="B16" s="1655">
        <v>9</v>
      </c>
      <c r="C16" s="1655">
        <v>9</v>
      </c>
      <c r="D16" s="1655">
        <v>9</v>
      </c>
      <c r="E16" s="2054" t="s">
        <v>145</v>
      </c>
      <c r="F16" s="2079" t="s">
        <v>145</v>
      </c>
      <c r="G16" s="2081"/>
      <c r="H16" s="368">
        <v>3</v>
      </c>
      <c r="I16" s="1655">
        <v>6</v>
      </c>
      <c r="J16" s="1655">
        <v>63</v>
      </c>
      <c r="K16" s="1655">
        <v>9</v>
      </c>
      <c r="L16" s="1655">
        <v>39</v>
      </c>
      <c r="M16" s="1655">
        <v>89</v>
      </c>
      <c r="N16" s="1655">
        <v>10</v>
      </c>
      <c r="O16" s="1648">
        <v>10</v>
      </c>
      <c r="P16" s="1648">
        <v>10</v>
      </c>
      <c r="Q16" s="1655">
        <v>10</v>
      </c>
      <c r="R16" s="1655">
        <v>10</v>
      </c>
      <c r="S16" s="1655">
        <v>10</v>
      </c>
      <c r="T16" s="1655">
        <v>10</v>
      </c>
      <c r="U16" s="1655">
        <v>10</v>
      </c>
      <c r="V16" s="1655">
        <v>10</v>
      </c>
      <c r="W16" s="1655">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C976C2-4819-ACAB-3708-0.DEC00168}" mc:Ignorable="x14ac xr xr2 xr3">
  <sheetPr>
    <tabColor theme="9" tint="-0.25"/>
  </sheetPr>
  <dimension ref="A1:AT217"/>
  <sheetViews>
    <sheetView showGridLines="0" zoomScale="90" workbookViewId="0">
      <pane xSplit="8" ySplit="14" topLeftCell="W15" activePane="bottomRight" state="frozen"/>
      <selection pane="bottomLeft" activeCell="A15" sqref="A15"/>
      <selection pane="topRight" activeCell="I1" sqref="I1"/>
      <selection pane="bottomRight" activeCell="W9" sqref="W9"/>
    </sheetView>
  </sheetViews>
  <sheetFormatPr defaultColWidth="9.140625" customHeight="1" defaultRowHeight="11.25"/>
  <cols>
    <col min="1" max="1" style="1011" width="10.7109375" hidden="1" customWidth="1"/>
    <col min="2" max="2" style="1390" width="16.8515625" hidden="1" customWidth="1"/>
    <col min="3" max="3" style="1666" width="5.57421875" hidden="1" customWidth="1"/>
    <col min="4" max="4" style="1659" width="3.00390625" customWidth="1"/>
    <col min="5" max="5" style="1659" width="7.00390625" customWidth="1"/>
    <col min="6" max="6" style="1659" width="56.00390625" customWidth="1"/>
    <col min="7" max="7" style="1659" width="10.00390625" customWidth="1"/>
    <col min="8" max="8" style="1659" width="40.7109375" hidden="1" customWidth="1"/>
    <col min="9" max="9" style="1659" width="40.00390625" customWidth="1"/>
    <col min="10" max="23" style="1659" width="40.7109375" customWidth="1"/>
    <col min="24" max="24" style="1659" width="102.00390625" customWidth="1"/>
    <col min="25" max="25" style="1390" width="9.00390625" customWidth="1"/>
    <col min="26" max="26" style="1666" width="5.00390625" customWidth="1"/>
    <col min="27" max="27" style="1666" width="3.00390625" customWidth="1"/>
    <col min="28" max="31" style="1390" width="3.00390625" customWidth="1"/>
    <col min="32" max="32" style="1666" width="10.00390625" customWidth="1"/>
    <col min="33" max="33" style="1390" width="34.00390625" customWidth="1"/>
    <col min="34" max="34" style="1390" width="9.00390625" customWidth="1"/>
    <col min="35" max="35" style="760" width="8.00390625" customWidth="1"/>
    <col min="36" max="40" style="1390" width="8.00390625" customWidth="1"/>
    <col min="41" max="45" style="1656" width="8.00390625" customWidth="1"/>
    <col min="46" max="46" style="1659" width="10.421875" hidden="1" customWidth="1"/>
  </cols>
  <sheetData>
    <row s="1390" customFormat="1" customHeight="1" ht="22.5" hidden="1">
      <c r="A1" s="1011"/>
      <c r="C1" s="1660"/>
      <c r="D1" s="561"/>
      <c r="H1" s="1184">
        <v>4</v>
      </c>
      <c r="I1" s="1184">
        <v>4</v>
      </c>
      <c r="J1" s="1390">
        <v>4</v>
      </c>
      <c r="K1" s="1390">
        <v>4</v>
      </c>
      <c r="L1" s="1390">
        <v>4</v>
      </c>
      <c r="M1" s="1390">
        <v>4</v>
      </c>
      <c r="N1" s="1390">
        <v>4</v>
      </c>
      <c r="O1" s="1390">
        <v>4</v>
      </c>
      <c r="P1" s="1390">
        <v>4</v>
      </c>
      <c r="Q1" s="1390">
        <v>4</v>
      </c>
      <c r="R1" s="1390">
        <v>4</v>
      </c>
      <c r="S1" s="1390">
        <v>4</v>
      </c>
      <c r="T1" s="1390">
        <v>4</v>
      </c>
      <c r="U1" s="1390">
        <v>4</v>
      </c>
      <c r="V1" s="1390">
        <v>4</v>
      </c>
      <c r="W1" s="1390">
        <v>4</v>
      </c>
      <c r="Z1" s="1660"/>
      <c r="AA1" s="1660"/>
      <c r="AF1" s="1660"/>
      <c r="AT1" s="1184" t="s">
        <v>14</v>
      </c>
    </row>
    <row s="1390" customFormat="1" customHeight="1" ht="22.5" hidden="1">
      <c r="A2" s="1011"/>
      <c r="C2" s="1660"/>
      <c r="D2" s="562"/>
      <c r="E2" s="1661"/>
      <c r="F2" s="564"/>
      <c r="G2" s="1663" t="s">
        <v>636</v>
      </c>
      <c r="H2" s="565"/>
      <c r="I2" s="565"/>
      <c r="J2" s="775"/>
      <c r="K2" s="775"/>
      <c r="L2" s="775"/>
      <c r="M2" s="775"/>
      <c r="N2" s="775"/>
      <c r="O2" s="775"/>
      <c r="P2" s="775"/>
      <c r="Q2" s="775"/>
      <c r="R2" s="775"/>
      <c r="S2" s="775"/>
      <c r="T2" s="775"/>
      <c r="U2" s="775"/>
      <c r="V2" s="775"/>
      <c r="W2" s="775"/>
      <c r="X2" s="566" t="s">
        <v>800</v>
      </c>
      <c r="Y2" s="567"/>
      <c r="Z2" s="1660"/>
      <c r="AA2" s="1660"/>
      <c r="AF2" s="1660"/>
      <c r="AI2" s="568"/>
      <c r="AO2" s="1656"/>
      <c r="AP2" s="1656"/>
      <c r="AQ2" s="1656"/>
      <c r="AR2" s="1656"/>
      <c r="AS2" s="1656"/>
      <c r="AT2" s="1184">
        <v>0</v>
      </c>
    </row>
    <row customHeight="1" ht="11.25" hidden="1">
      <c r="J3" s="1659"/>
      <c r="K3" s="1659"/>
      <c r="L3" s="1659"/>
      <c r="M3" s="1659"/>
      <c r="N3" s="1659"/>
      <c r="O3" s="1659"/>
      <c r="P3" s="1659"/>
      <c r="Q3" s="1659"/>
      <c r="R3" s="1659"/>
      <c r="S3" s="1659"/>
      <c r="T3" s="1659"/>
      <c r="U3" s="1659"/>
      <c r="V3" s="1659"/>
      <c r="W3" s="1659"/>
      <c r="AT3" s="1655">
        <v>0</v>
      </c>
    </row>
    <row s="1656" customFormat="1" customHeight="1" ht="11.25" hidden="1">
      <c r="A4" s="1011"/>
      <c r="B4" s="1184"/>
      <c r="C4" s="1660"/>
      <c r="D4" s="386"/>
      <c r="J4" s="1656"/>
      <c r="K4" s="1656"/>
      <c r="L4" s="1656"/>
      <c r="M4" s="1656"/>
      <c r="N4" s="1656"/>
      <c r="O4" s="1656"/>
      <c r="P4" s="1656"/>
      <c r="Q4" s="1656"/>
      <c r="R4" s="1656"/>
      <c r="S4" s="1656"/>
      <c r="T4" s="1656"/>
      <c r="U4" s="1656"/>
      <c r="V4" s="1656"/>
      <c r="W4" s="1656"/>
      <c r="X4" s="1656">
        <v>4</v>
      </c>
      <c r="Y4" s="1184"/>
      <c r="Z4" s="1660"/>
      <c r="AA4" s="1660"/>
      <c r="AB4" s="1184"/>
      <c r="AC4" s="1184"/>
      <c r="AD4" s="1184"/>
      <c r="AE4" s="1184"/>
      <c r="AF4" s="1660"/>
      <c r="AG4" s="1184"/>
      <c r="AH4" s="1184"/>
      <c r="AI4" s="568"/>
      <c r="AJ4" s="1184"/>
      <c r="AK4" s="1184"/>
      <c r="AL4" s="1184"/>
      <c r="AM4" s="1184"/>
      <c r="AN4" s="1184"/>
      <c r="AT4" s="1656">
        <v>0</v>
      </c>
    </row>
    <row customHeight="1" ht="11.549999999999999">
      <c r="J5" s="1659"/>
      <c r="K5" s="1659"/>
      <c r="L5" s="1659"/>
      <c r="M5" s="1659"/>
      <c r="N5" s="1659"/>
      <c r="O5" s="1659"/>
      <c r="P5" s="1659"/>
      <c r="Q5" s="1659"/>
      <c r="R5" s="1659"/>
      <c r="S5" s="1659"/>
      <c r="T5" s="1659"/>
      <c r="U5" s="1659"/>
      <c r="V5" s="1659"/>
      <c r="W5" s="1659"/>
      <c r="AT5" s="1655">
        <v>11</v>
      </c>
    </row>
    <row customHeight="1" ht="31.5">
      <c r="E6" s="2331" t="s">
        <v>801</v>
      </c>
      <c r="F6" s="2331"/>
      <c r="G6" s="2331"/>
      <c r="H6" s="2331"/>
      <c r="I6" s="2331"/>
      <c r="J6" s="2331"/>
      <c r="K6" s="2331"/>
      <c r="L6" s="2331"/>
      <c r="M6" s="2331"/>
      <c r="N6" s="2331"/>
      <c r="O6" s="2331"/>
      <c r="P6" s="2331"/>
      <c r="Q6" s="2331"/>
      <c r="R6" s="2331"/>
      <c r="S6" s="2331"/>
      <c r="T6" s="2331"/>
      <c r="U6" s="2331"/>
      <c r="V6" s="2331"/>
      <c r="W6" s="2331"/>
      <c r="X6" s="580"/>
      <c r="AT6" s="1655">
        <v>30</v>
      </c>
    </row>
    <row customHeight="1" ht="11.549999999999999">
      <c r="E7" s="2273" t="str">
        <f>IF(org=0,"Не определено",org)</f>
        <v>АО "ДГК"</v>
      </c>
      <c r="F7" s="2273"/>
      <c r="G7" s="2273"/>
      <c r="H7" s="2273"/>
      <c r="I7" s="2273"/>
      <c r="J7" s="2273"/>
      <c r="K7" s="2273"/>
      <c r="L7" s="2273"/>
      <c r="M7" s="2273"/>
      <c r="N7" s="2273"/>
      <c r="O7" s="2273"/>
      <c r="P7" s="2273"/>
      <c r="Q7" s="2273"/>
      <c r="R7" s="2273"/>
      <c r="S7" s="2273"/>
      <c r="T7" s="2273"/>
      <c r="U7" s="2273"/>
      <c r="V7" s="2273"/>
      <c r="W7" s="2273"/>
      <c r="AT7" s="1655">
        <v>11</v>
      </c>
    </row>
    <row customHeight="1" ht="11.549999999999999">
      <c r="E8" s="1159"/>
      <c r="F8" s="1159"/>
      <c r="G8" s="1159"/>
      <c r="H8" s="1159"/>
      <c r="I8" s="1159"/>
      <c r="J8" s="1160" t="s">
        <v>22</v>
      </c>
      <c r="K8" s="1160" t="s">
        <v>22</v>
      </c>
      <c r="L8" s="1160" t="s">
        <v>22</v>
      </c>
      <c r="M8" s="1160" t="s">
        <v>22</v>
      </c>
      <c r="N8" s="1160" t="s">
        <v>22</v>
      </c>
      <c r="O8" s="1160" t="s">
        <v>22</v>
      </c>
      <c r="P8" s="1160" t="s">
        <v>22</v>
      </c>
      <c r="Q8" s="1160" t="s">
        <v>22</v>
      </c>
      <c r="R8" s="1160" t="s">
        <v>22</v>
      </c>
      <c r="S8" s="1160" t="s">
        <v>22</v>
      </c>
      <c r="T8" s="1160" t="s">
        <v>22</v>
      </c>
      <c r="U8" s="1160" t="s">
        <v>22</v>
      </c>
      <c r="V8" s="1160" t="s">
        <v>22</v>
      </c>
      <c r="W8" s="1160" t="s">
        <v>22</v>
      </c>
      <c r="AT8" s="1655">
        <v>11</v>
      </c>
    </row>
    <row s="1666" customFormat="1" customHeight="1" ht="4.2">
      <c r="A9" s="1191"/>
      <c r="D9" s="1666"/>
      <c r="H9" s="913"/>
      <c r="I9" s="913" t="s">
        <v>176</v>
      </c>
      <c r="J9" s="913" t="s">
        <v>181</v>
      </c>
      <c r="K9" s="913" t="s">
        <v>183</v>
      </c>
      <c r="L9" s="913" t="s">
        <v>185</v>
      </c>
      <c r="M9" s="913" t="s">
        <v>187</v>
      </c>
      <c r="N9" s="913" t="s">
        <v>189</v>
      </c>
      <c r="O9" s="913" t="s">
        <v>191</v>
      </c>
      <c r="P9" s="913" t="s">
        <v>193</v>
      </c>
      <c r="Q9" s="913" t="s">
        <v>195</v>
      </c>
      <c r="R9" s="913" t="s">
        <v>197</v>
      </c>
      <c r="S9" s="913" t="s">
        <v>199</v>
      </c>
      <c r="T9" s="913" t="s">
        <v>201</v>
      </c>
      <c r="U9" s="913" t="s">
        <v>203</v>
      </c>
      <c r="V9" s="913" t="s">
        <v>205</v>
      </c>
      <c r="W9" s="913" t="s">
        <v>207</v>
      </c>
      <c r="AT9" s="1660">
        <v>4</v>
      </c>
    </row>
    <row customHeight="1" ht="11.549999999999999">
      <c r="E10" s="735"/>
      <c r="F10" s="2391" t="s">
        <v>166</v>
      </c>
      <c r="G10" s="2392"/>
      <c r="H10" s="1576" t="str">
        <f>IF(H9="","",INDEX(DIFFERENTIATION_UNMERGE_VD,MATCH(H9,DIFFERENTIATION_ID_DIFF,0)))</f>
        <v/>
      </c>
      <c r="I10" s="1576" t="str">
        <f>IF(I9="","",INDEX(DIFFERENTIATION_UNMERGE_VD,MATCH(I9,DIFFERENTIATION_ID_DIFF,0)))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10" s="2417" t="str">
        <f>IF(J9="","",INDEX(DIFFERENTIATION_UNMERGE_VD,MATCH(J9,DIFFERENTIATION_ID_DIFF,0)))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K10" s="2417" t="str">
        <f>IF(K9="","",INDEX(DIFFERENTIATION_UNMERGE_VD,MATCH(K9,DIFFERENTIATION_ID_DIFF,0)))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L10" s="2417" t="str">
        <f>IF(L9="","",INDEX(DIFFERENTIATION_UNMERGE_VD,MATCH(L9,DIFFERENTIATION_ID_DIFF,0)))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M10" s="2417" t="str">
        <f>IF(M9="","",INDEX(DIFFERENTIATION_UNMERGE_VD,MATCH(M9,DIFFERENTIATION_ID_DIFF,0)))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N10" s="2417" t="str">
        <f>IF(N9="","",INDEX(DIFFERENTIATION_UNMERGE_VD,MATCH(N9,DIFFERENTIATION_ID_DIFF,0)))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O10" s="2417" t="str">
        <f>IF(O9="","",INDEX(DIFFERENTIATION_UNMERGE_VD,MATCH(O9,DIFFERENTIATION_ID_DIFF,0)))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10" s="2417" t="str">
        <f>IF(P9="","",INDEX(DIFFERENTIATION_UNMERGE_VD,MATCH(P9,DIFFERENTIATION_ID_DIFF,0)))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10" s="2417" t="str">
        <f>IF(Q9="","",INDEX(DIFFERENTIATION_UNMERGE_VD,MATCH(Q9,DIFFERENTIATION_ID_DIFF,0)))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R10" s="2417" t="str">
        <f>IF(R9="","",INDEX(DIFFERENTIATION_UNMERGE_VD,MATCH(R9,DIFFERENTIATION_ID_DIFF,0)))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S10" s="2417" t="str">
        <f>IF(S9="","",INDEX(DIFFERENTIATION_UNMERGE_VD,MATCH(S9,DIFFERENTIATION_ID_DIFF,0)))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T10" s="2417" t="str">
        <f>IF(T9="","",INDEX(DIFFERENTIATION_UNMERGE_VD,MATCH(T9,DIFFERENTIATION_ID_DIFF,0)))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U10" s="2417" t="str">
        <f>IF(U9="","",INDEX(DIFFERENTIATION_UNMERGE_VD,MATCH(U9,DIFFERENTIATION_ID_DIFF,0)))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V10" s="2417" t="str">
        <f>IF(V9="","",INDEX(DIFFERENTIATION_UNMERGE_VD,MATCH(V9,DIFFERENTIATION_ID_DIFF,0)))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W10" s="2417" t="str">
        <f>IF(W9="","",INDEX(DIFFERENTIATION_UNMERGE_VD,MATCH(W9,DIFFERENTIATION_ID_DIFF,0)))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X10" s="2151"/>
      <c r="AT10" s="1655">
        <v>11</v>
      </c>
    </row>
    <row customHeight="1" ht="11.549999999999999">
      <c r="E11" s="735"/>
      <c r="F11" s="2391" t="s">
        <v>648</v>
      </c>
      <c r="G11" s="2392"/>
      <c r="H11" s="1576" t="str">
        <f>IF(H9="","",INDEX(DIFFERENTIATION_UNMERGE_AREA,MATCH(H9,DIFFERENTIATION_ID_DIFF,0)))</f>
        <v/>
      </c>
      <c r="I11" s="1576" t="str">
        <f>IF(I9="","",INDEX(DIFFERENTIATION_UNMERGE_AREA,MATCH(I9,DIFFERENTIATION_ID_DIFF,0)))</f>
        <v>Территория 1</v>
      </c>
      <c r="J11" s="2417" t="str">
        <f>IF(J9="","",INDEX(DIFFERENTIATION_UNMERGE_AREA,MATCH(J9,DIFFERENTIATION_ID_DIFF,0)))</f>
        <v>Территория 2</v>
      </c>
      <c r="K11" s="2417" t="str">
        <f>IF(K9="","",INDEX(DIFFERENTIATION_UNMERGE_AREA,MATCH(K9,DIFFERENTIATION_ID_DIFF,0)))</f>
        <v>Территория 2</v>
      </c>
      <c r="L11" s="2417" t="str">
        <f>IF(L9="","",INDEX(DIFFERENTIATION_UNMERGE_AREA,MATCH(L9,DIFFERENTIATION_ID_DIFF,0)))</f>
        <v>Территория 3</v>
      </c>
      <c r="M11" s="2417" t="str">
        <f>IF(M9="","",INDEX(DIFFERENTIATION_UNMERGE_AREA,MATCH(M9,DIFFERENTIATION_ID_DIFF,0)))</f>
        <v>Территория 3</v>
      </c>
      <c r="N11" s="2417" t="str">
        <f>IF(N9="","",INDEX(DIFFERENTIATION_UNMERGE_AREA,MATCH(N9,DIFFERENTIATION_ID_DIFF,0)))</f>
        <v>Территория 3</v>
      </c>
      <c r="O11" s="2417" t="str">
        <f>IF(O9="","",INDEX(DIFFERENTIATION_UNMERGE_AREA,MATCH(O9,DIFFERENTIATION_ID_DIFF,0)))</f>
        <v>Территория 3</v>
      </c>
      <c r="P11" s="2417" t="str">
        <f>IF(P9="","",INDEX(DIFFERENTIATION_UNMERGE_AREA,MATCH(P9,DIFFERENTIATION_ID_DIFF,0)))</f>
        <v>Территория 4</v>
      </c>
      <c r="Q11" s="2417" t="str">
        <f>IF(Q9="","",INDEX(DIFFERENTIATION_UNMERGE_AREA,MATCH(Q9,DIFFERENTIATION_ID_DIFF,0)))</f>
        <v>Территория 5</v>
      </c>
      <c r="R11" s="2417" t="str">
        <f>IF(R9="","",INDEX(DIFFERENTIATION_UNMERGE_AREA,MATCH(R9,DIFFERENTIATION_ID_DIFF,0)))</f>
        <v>Территория 6</v>
      </c>
      <c r="S11" s="2417" t="str">
        <f>IF(S9="","",INDEX(DIFFERENTIATION_UNMERGE_AREA,MATCH(S9,DIFFERENTIATION_ID_DIFF,0)))</f>
        <v>Территория 7</v>
      </c>
      <c r="T11" s="2417" t="str">
        <f>IF(T9="","",INDEX(DIFFERENTIATION_UNMERGE_AREA,MATCH(T9,DIFFERENTIATION_ID_DIFF,0)))</f>
        <v>Территория 8</v>
      </c>
      <c r="U11" s="2417" t="str">
        <f>IF(U9="","",INDEX(DIFFERENTIATION_UNMERGE_AREA,MATCH(U9,DIFFERENTIATION_ID_DIFF,0)))</f>
        <v>Территория 8</v>
      </c>
      <c r="V11" s="2417" t="str">
        <f>IF(V9="","",INDEX(DIFFERENTIATION_UNMERGE_AREA,MATCH(V9,DIFFERENTIATION_ID_DIFF,0)))</f>
        <v>Территория 9</v>
      </c>
      <c r="W11" s="2417" t="str">
        <f>IF(W9="","",INDEX(DIFFERENTIATION_UNMERGE_AREA,MATCH(W9,DIFFERENTIATION_ID_DIFF,0)))</f>
        <v>Территория 10</v>
      </c>
      <c r="X11" s="2151"/>
      <c r="AT11" s="1655">
        <v>11</v>
      </c>
    </row>
    <row customHeight="1" ht="1.05">
      <c r="E12" s="1686"/>
      <c r="F12" s="2414" t="s">
        <v>649</v>
      </c>
      <c r="G12" s="2415"/>
      <c r="H12" s="1687" t="str">
        <f>IF(H9="","",INDEX(DIFFERENTIATION_UNMERGE_SYSTEM,MATCH(H9,DIFFERENTIATION_ID_DIFF,0)))</f>
        <v/>
      </c>
      <c r="I12" s="1687" t="str">
        <f>IF(I9="","",INDEX(DIFFERENTIATION_UNMERGE_SYSTEM,MATCH(I9,DIFFERENTIATION_ID_DIFF,0)))</f>
        <v>Амурская ТЭЦ-1 (г. Амурск)</v>
      </c>
      <c r="J12" s="1687" t="str">
        <f>IF(J9="","",INDEX(DIFFERENTIATION_UNMERGE_SYSTEM,MATCH(J9,DIFFERENTIATION_ID_DIFF,0)))</f>
        <v>Николаевская ТЭЦ (г. Николаевск)</v>
      </c>
      <c r="K12" s="1687" t="str">
        <f>IF(K9="","",INDEX(DIFFERENTIATION_UNMERGE_SYSTEM,MATCH(K9,DIFFERENTIATION_ID_DIFF,0)))</f>
        <v>котельная "Аэропорт"</v>
      </c>
      <c r="L12" s="1687" t="str">
        <f>IF(L9="","",INDEX(DIFFERENTIATION_UNMERGE_SYSTEM,MATCH(L9,DIFFERENTIATION_ID_DIFF,0)))</f>
        <v>Комсомольская ТЭЦ-1 (г. Комсомольск)</v>
      </c>
      <c r="M12" s="1687" t="str">
        <f>IF(M9="","",INDEX(DIFFERENTIATION_UNMERGE_SYSTEM,MATCH(M9,DIFFERENTIATION_ID_DIFF,0)))</f>
        <v>Комсомольская ТЭЦ-2 (г. Комсомольск)</v>
      </c>
      <c r="N12" s="1687" t="str">
        <f>IF(N9="","",INDEX(DIFFERENTIATION_UNMERGE_SYSTEM,MATCH(N9,DIFFERENTIATION_ID_DIFF,0)))</f>
        <v>Комсомольская ТЭЦ-3 (г. Комсомольск)</v>
      </c>
      <c r="O12" s="1687" t="str">
        <f>IF(O9="","",INDEX(DIFFERENTIATION_UNMERGE_SYSTEM,MATCH(O9,DIFFERENTIATION_ID_DIFF,0)))</f>
        <v>ВК "Дземги" (г. Комсомольск)</v>
      </c>
      <c r="P12" s="1687" t="str">
        <f>IF(P9="","",INDEX(DIFFERENTIATION_UNMERGE_SYSTEM,MATCH(P9,DIFFERENTIATION_ID_DIFF,0)))</f>
        <v>ТЭЦ в г. Советская Гавань</v>
      </c>
      <c r="Q12" s="1687" t="str">
        <f>IF(Q9="","",INDEX(DIFFERENTIATION_UNMERGE_SYSTEM,MATCH(Q9,DIFFERENTIATION_ID_DIFF,0)))</f>
        <v>Майская котельная </v>
      </c>
      <c r="R12" s="1687" t="str">
        <f>IF(R9="","",INDEX(DIFFERENTIATION_UNMERGE_SYSTEM,MATCH(R9,DIFFERENTIATION_ID_DIFF,0)))</f>
        <v>Ургальская котельная (п. Чегдомын)</v>
      </c>
      <c r="S12" s="1687" t="str">
        <f>IF(S9="","",INDEX(DIFFERENTIATION_UNMERGE_SYSTEM,MATCH(S9,DIFFERENTIATION_ID_DIFF,0)))</f>
        <v>Хабаровская ТЭЦ-1 (г. Хабаровск, с. Ильинское, п. Корфовский, с. Ракитненское)</v>
      </c>
      <c r="T12" s="1687" t="str">
        <f>IF(T9="","",INDEX(DIFFERENTIATION_UNMERGE_SYSTEM,MATCH(T9,DIFFERENTIATION_ID_DIFF,0)))</f>
        <v>Хабаровская ТЭЦ-2 (г. Хабаровск)</v>
      </c>
      <c r="U12" s="1687" t="str">
        <f>IF(U9="","",INDEX(DIFFERENTIATION_UNMERGE_SYSTEM,MATCH(U9,DIFFERENTIATION_ID_DIFF,0)))</f>
        <v>Котельная в Волочаевском городке</v>
      </c>
      <c r="V12" s="1687" t="str">
        <f>IF(V9="","",INDEX(DIFFERENTIATION_UNMERGE_SYSTEM,MATCH(V9,DIFFERENTIATION_ID_DIFF,0)))</f>
        <v>Хабаровская ТЭЦ-3 (г. Хабаровск, с. Восточное, с. Мирненское, с. Тополевское)</v>
      </c>
      <c r="W12" s="1687" t="str">
        <f>IF(W9="","",INDEX(DIFFERENTIATION_UNMERGE_SYSTEM,MATCH(W9,DIFFERENTIATION_ID_DIFF,0)))</f>
        <v>Котельная в с. Некрасовка (с. Дружбинское, с. Некрасовское) </v>
      </c>
      <c r="X12" s="2151"/>
      <c r="AT12" s="1655">
        <v>1</v>
      </c>
    </row>
    <row customHeight="1" ht="11.549999999999999">
      <c r="E13" s="2393" t="s">
        <v>384</v>
      </c>
      <c r="F13" s="2394"/>
      <c r="G13" s="2394"/>
      <c r="H13" s="1575"/>
      <c r="I13" s="1575"/>
      <c r="J13" s="2391"/>
      <c r="K13" s="2391"/>
      <c r="L13" s="2391"/>
      <c r="M13" s="2391"/>
      <c r="N13" s="2391"/>
      <c r="O13" s="2391"/>
      <c r="P13" s="2391"/>
      <c r="Q13" s="2391"/>
      <c r="R13" s="2391"/>
      <c r="S13" s="2391"/>
      <c r="T13" s="2391"/>
      <c r="U13" s="2391"/>
      <c r="V13" s="2391"/>
      <c r="W13" s="2391"/>
      <c r="X13" s="2151"/>
      <c r="AT13" s="1655">
        <v>11</v>
      </c>
    </row>
    <row customHeight="1" ht="24">
      <c r="E14" s="1663" t="s">
        <v>88</v>
      </c>
      <c r="F14" s="1658" t="s">
        <v>386</v>
      </c>
      <c r="G14" s="1658" t="s">
        <v>650</v>
      </c>
      <c r="H14" s="1658" t="s">
        <v>387</v>
      </c>
      <c r="I14" s="1658" t="s">
        <v>387</v>
      </c>
      <c r="J14" s="2336" t="s">
        <v>387</v>
      </c>
      <c r="K14" s="2336" t="s">
        <v>387</v>
      </c>
      <c r="L14" s="2336" t="s">
        <v>387</v>
      </c>
      <c r="M14" s="2336" t="s">
        <v>387</v>
      </c>
      <c r="N14" s="2336" t="s">
        <v>387</v>
      </c>
      <c r="O14" s="2336" t="s">
        <v>387</v>
      </c>
      <c r="P14" s="2336" t="s">
        <v>387</v>
      </c>
      <c r="Q14" s="2336" t="s">
        <v>387</v>
      </c>
      <c r="R14" s="2336" t="s">
        <v>387</v>
      </c>
      <c r="S14" s="2336" t="s">
        <v>387</v>
      </c>
      <c r="T14" s="2336" t="s">
        <v>387</v>
      </c>
      <c r="U14" s="2336" t="s">
        <v>387</v>
      </c>
      <c r="V14" s="2336" t="s">
        <v>387</v>
      </c>
      <c r="W14" s="2336" t="s">
        <v>387</v>
      </c>
      <c r="X14" s="2151"/>
      <c r="AT14" s="1655">
        <v>23</v>
      </c>
    </row>
    <row customHeight="1" ht="19.95">
      <c r="D15" s="1662"/>
      <c r="E15" s="1654" t="s">
        <v>170</v>
      </c>
      <c r="F15" s="731" t="s">
        <v>802</v>
      </c>
      <c r="G15" s="1670" t="s">
        <v>636</v>
      </c>
      <c r="H15" s="581"/>
      <c r="I15" s="581"/>
      <c r="J15" s="581"/>
      <c r="K15" s="581"/>
      <c r="L15" s="581"/>
      <c r="M15" s="581"/>
      <c r="N15" s="581"/>
      <c r="O15" s="581"/>
      <c r="P15" s="581"/>
      <c r="Q15" s="581"/>
      <c r="R15" s="581"/>
      <c r="S15" s="581"/>
      <c r="T15" s="581"/>
      <c r="U15" s="581"/>
      <c r="V15" s="581"/>
      <c r="W15" s="581"/>
      <c r="X15" s="313" t="s">
        <v>803</v>
      </c>
      <c r="Y15" s="567" t="s">
        <v>728</v>
      </c>
      <c r="AT15" s="1655">
        <v>19</v>
      </c>
    </row>
    <row customHeight="1" ht="35.699999999999996">
      <c r="D16" s="1662"/>
      <c r="E16" s="1654" t="s">
        <v>103</v>
      </c>
      <c r="F16" s="731" t="s">
        <v>804</v>
      </c>
      <c r="G16" s="1670" t="s">
        <v>636</v>
      </c>
      <c r="H16" s="582">
        <f>SUM(H17,H20:H32)</f>
        <v>0</v>
      </c>
      <c r="I16" s="582">
        <f>SUM(I17,I20,I23,I26,I29:I32)</f>
        <v>0</v>
      </c>
      <c r="J16" s="582">
        <f>SUM(J17,J20:J32)</f>
        <v>0</v>
      </c>
      <c r="K16" s="582">
        <f>SUM(K17,K20:K32)</f>
        <v>0</v>
      </c>
      <c r="L16" s="582">
        <f>SUM(L17,L20:L32)</f>
        <v>0</v>
      </c>
      <c r="M16" s="582">
        <f>SUM(M17,M20:M32)</f>
        <v>0</v>
      </c>
      <c r="N16" s="582">
        <f>SUM(N17,N20:N32)</f>
        <v>0</v>
      </c>
      <c r="O16" s="582">
        <f>SUM(O17,O20:O32)</f>
        <v>0</v>
      </c>
      <c r="P16" s="582">
        <f>SUM(P17,P20:P32)</f>
        <v>0</v>
      </c>
      <c r="Q16" s="582">
        <f>SUM(Q17,Q20:Q32)</f>
        <v>0</v>
      </c>
      <c r="R16" s="582">
        <f>SUM(R17,R20:R32)</f>
        <v>0</v>
      </c>
      <c r="S16" s="582">
        <f>SUM(S17,S20:S32)</f>
        <v>0</v>
      </c>
      <c r="T16" s="582">
        <f>SUM(T17,T20:T32)</f>
        <v>0</v>
      </c>
      <c r="U16" s="582">
        <f>SUM(U17,U20:U32)</f>
        <v>0</v>
      </c>
      <c r="V16" s="582">
        <f>SUM(V17,V20:V32)</f>
        <v>0</v>
      </c>
      <c r="W16" s="582">
        <f>SUM(W17,W20:W32)</f>
        <v>0</v>
      </c>
      <c r="X16" s="313" t="s">
        <v>805</v>
      </c>
      <c r="Y16" s="567" t="s">
        <v>728</v>
      </c>
      <c r="AT16" s="1655">
        <v>34</v>
      </c>
    </row>
    <row customHeight="1" ht="19.95">
      <c r="D17" s="1662"/>
      <c r="E17" s="1688" t="s">
        <v>806</v>
      </c>
      <c r="F17" s="978" t="s">
        <v>807</v>
      </c>
      <c r="G17" s="1667" t="s">
        <v>636</v>
      </c>
      <c r="H17" s="581"/>
      <c r="I17" s="581"/>
      <c r="J17" s="581"/>
      <c r="K17" s="581"/>
      <c r="L17" s="581"/>
      <c r="M17" s="581"/>
      <c r="N17" s="581"/>
      <c r="O17" s="581"/>
      <c r="P17" s="581"/>
      <c r="Q17" s="581"/>
      <c r="R17" s="581"/>
      <c r="S17" s="581"/>
      <c r="T17" s="581"/>
      <c r="U17" s="581"/>
      <c r="V17" s="581"/>
      <c r="W17" s="581"/>
      <c r="X17" s="313" t="s">
        <v>808</v>
      </c>
      <c r="Y17" s="567"/>
      <c r="AT17" s="1655">
        <v>19</v>
      </c>
    </row>
    <row customHeight="1" ht="24">
      <c r="D18" s="1662"/>
      <c r="E18" s="1688" t="s">
        <v>809</v>
      </c>
      <c r="F18" s="1674" t="s">
        <v>810</v>
      </c>
      <c r="G18" s="1667" t="s">
        <v>636</v>
      </c>
      <c r="H18" s="581"/>
      <c r="I18" s="581"/>
      <c r="J18" s="581"/>
      <c r="K18" s="581"/>
      <c r="L18" s="581"/>
      <c r="M18" s="581"/>
      <c r="N18" s="581"/>
      <c r="O18" s="581"/>
      <c r="P18" s="581"/>
      <c r="Q18" s="581"/>
      <c r="R18" s="581"/>
      <c r="S18" s="581"/>
      <c r="T18" s="581"/>
      <c r="U18" s="581"/>
      <c r="V18" s="581"/>
      <c r="W18" s="581"/>
      <c r="X18" s="313" t="s">
        <v>811</v>
      </c>
      <c r="Y18" s="567"/>
      <c r="AT18" s="1655">
        <v>23</v>
      </c>
    </row>
    <row customHeight="1" ht="35.699999999999996">
      <c r="D19" s="1662"/>
      <c r="E19" s="1688" t="s">
        <v>812</v>
      </c>
      <c r="F19" s="1674" t="s">
        <v>813</v>
      </c>
      <c r="G19" s="1667" t="s">
        <v>636</v>
      </c>
      <c r="H19" s="581"/>
      <c r="I19" s="581"/>
      <c r="J19" s="581"/>
      <c r="K19" s="581"/>
      <c r="L19" s="581"/>
      <c r="M19" s="581"/>
      <c r="N19" s="581"/>
      <c r="O19" s="581"/>
      <c r="P19" s="581"/>
      <c r="Q19" s="581"/>
      <c r="R19" s="581"/>
      <c r="S19" s="581"/>
      <c r="T19" s="581"/>
      <c r="U19" s="581"/>
      <c r="V19" s="581"/>
      <c r="W19" s="581"/>
      <c r="X19" s="313"/>
      <c r="Y19" s="567"/>
      <c r="AT19" s="1655">
        <v>34</v>
      </c>
    </row>
    <row customHeight="1" ht="19.95">
      <c r="D20" s="1662"/>
      <c r="E20" s="1688" t="s">
        <v>391</v>
      </c>
      <c r="F20" s="978" t="s">
        <v>814</v>
      </c>
      <c r="G20" s="1667" t="s">
        <v>636</v>
      </c>
      <c r="H20" s="581"/>
      <c r="I20" s="581"/>
      <c r="J20" s="581"/>
      <c r="K20" s="581"/>
      <c r="L20" s="581"/>
      <c r="M20" s="581"/>
      <c r="N20" s="581"/>
      <c r="O20" s="581"/>
      <c r="P20" s="581"/>
      <c r="Q20" s="581"/>
      <c r="R20" s="581"/>
      <c r="S20" s="581"/>
      <c r="T20" s="581"/>
      <c r="U20" s="581"/>
      <c r="V20" s="581"/>
      <c r="W20" s="581"/>
      <c r="X20" s="313" t="s">
        <v>815</v>
      </c>
      <c r="Y20" s="567"/>
      <c r="AT20" s="1655">
        <v>19</v>
      </c>
    </row>
    <row customHeight="1" ht="19.95">
      <c r="D21" s="1662"/>
      <c r="E21" s="1688" t="s">
        <v>816</v>
      </c>
      <c r="F21" s="1674" t="s">
        <v>817</v>
      </c>
      <c r="G21" s="1667" t="s">
        <v>636</v>
      </c>
      <c r="H21" s="581"/>
      <c r="I21" s="581"/>
      <c r="J21" s="581"/>
      <c r="K21" s="581"/>
      <c r="L21" s="581"/>
      <c r="M21" s="581"/>
      <c r="N21" s="581"/>
      <c r="O21" s="581"/>
      <c r="P21" s="581"/>
      <c r="Q21" s="581"/>
      <c r="R21" s="581"/>
      <c r="S21" s="581"/>
      <c r="T21" s="581"/>
      <c r="U21" s="581"/>
      <c r="V21" s="581"/>
      <c r="W21" s="581"/>
      <c r="X21" s="313"/>
      <c r="Y21" s="567"/>
      <c r="AT21" s="1655">
        <v>19</v>
      </c>
    </row>
    <row customHeight="1" ht="19.95">
      <c r="D22" s="1662"/>
      <c r="E22" s="1688" t="s">
        <v>818</v>
      </c>
      <c r="F22" s="1674" t="s">
        <v>819</v>
      </c>
      <c r="G22" s="1667" t="s">
        <v>636</v>
      </c>
      <c r="H22" s="581"/>
      <c r="I22" s="581"/>
      <c r="J22" s="581"/>
      <c r="K22" s="581"/>
      <c r="L22" s="581"/>
      <c r="M22" s="581"/>
      <c r="N22" s="581"/>
      <c r="O22" s="581"/>
      <c r="P22" s="581"/>
      <c r="Q22" s="581"/>
      <c r="R22" s="581"/>
      <c r="S22" s="581"/>
      <c r="T22" s="581"/>
      <c r="U22" s="581"/>
      <c r="V22" s="581"/>
      <c r="W22" s="581"/>
      <c r="X22" s="313"/>
      <c r="Y22" s="567"/>
      <c r="AT22" s="1655">
        <v>19</v>
      </c>
    </row>
    <row customHeight="1" ht="24">
      <c r="D23" s="1662"/>
      <c r="E23" s="1688" t="s">
        <v>394</v>
      </c>
      <c r="F23" s="978" t="s">
        <v>820</v>
      </c>
      <c r="G23" s="1667" t="s">
        <v>636</v>
      </c>
      <c r="H23" s="581"/>
      <c r="I23" s="581"/>
      <c r="J23" s="581"/>
      <c r="K23" s="581"/>
      <c r="L23" s="581"/>
      <c r="M23" s="581"/>
      <c r="N23" s="581"/>
      <c r="O23" s="581"/>
      <c r="P23" s="581"/>
      <c r="Q23" s="581"/>
      <c r="R23" s="581"/>
      <c r="S23" s="581"/>
      <c r="T23" s="581"/>
      <c r="U23" s="581"/>
      <c r="V23" s="581"/>
      <c r="W23" s="581"/>
      <c r="X23" s="313" t="s">
        <v>821</v>
      </c>
      <c r="Y23" s="567"/>
      <c r="AT23" s="1655">
        <v>23</v>
      </c>
    </row>
    <row customHeight="1" ht="19.95">
      <c r="D24" s="1662"/>
      <c r="E24" s="1688" t="s">
        <v>822</v>
      </c>
      <c r="F24" s="1674" t="s">
        <v>823</v>
      </c>
      <c r="G24" s="1667" t="s">
        <v>636</v>
      </c>
      <c r="H24" s="581"/>
      <c r="I24" s="581"/>
      <c r="J24" s="581"/>
      <c r="K24" s="581"/>
      <c r="L24" s="581"/>
      <c r="M24" s="581"/>
      <c r="N24" s="581"/>
      <c r="O24" s="581"/>
      <c r="P24" s="581"/>
      <c r="Q24" s="581"/>
      <c r="R24" s="581"/>
      <c r="S24" s="581"/>
      <c r="T24" s="581"/>
      <c r="U24" s="581"/>
      <c r="V24" s="581"/>
      <c r="W24" s="581"/>
      <c r="X24" s="313"/>
      <c r="Y24" s="567"/>
      <c r="AT24" s="1655">
        <v>19</v>
      </c>
    </row>
    <row customHeight="1" ht="35.699999999999996">
      <c r="D25" s="1662"/>
      <c r="E25" s="1688" t="s">
        <v>824</v>
      </c>
      <c r="F25" s="1674" t="s">
        <v>825</v>
      </c>
      <c r="G25" s="1667" t="s">
        <v>636</v>
      </c>
      <c r="H25" s="581"/>
      <c r="I25" s="581"/>
      <c r="J25" s="581"/>
      <c r="K25" s="581"/>
      <c r="L25" s="581"/>
      <c r="M25" s="581"/>
      <c r="N25" s="581"/>
      <c r="O25" s="581"/>
      <c r="P25" s="581"/>
      <c r="Q25" s="581"/>
      <c r="R25" s="581"/>
      <c r="S25" s="581"/>
      <c r="T25" s="581"/>
      <c r="U25" s="581"/>
      <c r="V25" s="581"/>
      <c r="W25" s="581"/>
      <c r="X25" s="313"/>
      <c r="Y25" s="567"/>
      <c r="AT25" s="1655">
        <v>34</v>
      </c>
    </row>
    <row customHeight="1" ht="24">
      <c r="D26" s="1662"/>
      <c r="E26" s="1688" t="s">
        <v>826</v>
      </c>
      <c r="F26" s="978" t="s">
        <v>827</v>
      </c>
      <c r="G26" s="1667" t="s">
        <v>636</v>
      </c>
      <c r="H26" s="581"/>
      <c r="I26" s="581"/>
      <c r="J26" s="581"/>
      <c r="K26" s="581"/>
      <c r="L26" s="581"/>
      <c r="M26" s="581"/>
      <c r="N26" s="581"/>
      <c r="O26" s="581"/>
      <c r="P26" s="581"/>
      <c r="Q26" s="581"/>
      <c r="R26" s="581"/>
      <c r="S26" s="581"/>
      <c r="T26" s="581"/>
      <c r="U26" s="581"/>
      <c r="V26" s="581"/>
      <c r="W26" s="581"/>
      <c r="X26" s="313" t="s">
        <v>828</v>
      </c>
      <c r="Y26" s="567"/>
      <c r="AT26" s="1655">
        <v>23</v>
      </c>
    </row>
    <row customHeight="1" ht="19.95">
      <c r="D27" s="1662"/>
      <c r="E27" s="1699" t="s">
        <v>829</v>
      </c>
      <c r="F27" s="1674" t="s">
        <v>830</v>
      </c>
      <c r="G27" s="1678" t="s">
        <v>636</v>
      </c>
      <c r="H27" s="1700"/>
      <c r="I27" s="1700"/>
      <c r="J27" s="1700"/>
      <c r="K27" s="1700"/>
      <c r="L27" s="1700"/>
      <c r="M27" s="1700"/>
      <c r="N27" s="1700"/>
      <c r="O27" s="1700"/>
      <c r="P27" s="1700"/>
      <c r="Q27" s="1700"/>
      <c r="R27" s="1700"/>
      <c r="S27" s="1700"/>
      <c r="T27" s="1700"/>
      <c r="U27" s="1700"/>
      <c r="V27" s="1700"/>
      <c r="W27" s="1700"/>
      <c r="X27" s="313"/>
      <c r="Y27" s="567"/>
      <c r="AT27" s="1655">
        <v>19</v>
      </c>
    </row>
    <row customHeight="1" ht="19.95">
      <c r="D28" s="1662"/>
      <c r="E28" s="1699" t="s">
        <v>831</v>
      </c>
      <c r="F28" s="1674" t="s">
        <v>832</v>
      </c>
      <c r="G28" s="1678" t="s">
        <v>636</v>
      </c>
      <c r="H28" s="1700"/>
      <c r="I28" s="1700"/>
      <c r="J28" s="1700"/>
      <c r="K28" s="1700"/>
      <c r="L28" s="1700"/>
      <c r="M28" s="1700"/>
      <c r="N28" s="1700"/>
      <c r="O28" s="1700"/>
      <c r="P28" s="1700"/>
      <c r="Q28" s="1700"/>
      <c r="R28" s="1700"/>
      <c r="S28" s="1700"/>
      <c r="T28" s="1700"/>
      <c r="U28" s="1700"/>
      <c r="V28" s="1700"/>
      <c r="W28" s="1700"/>
      <c r="X28" s="313"/>
      <c r="Y28" s="567"/>
      <c r="AT28" s="1655">
        <v>19</v>
      </c>
    </row>
    <row customHeight="1" ht="19.95">
      <c r="D29" s="1662"/>
      <c r="E29" s="1699" t="s">
        <v>833</v>
      </c>
      <c r="F29" s="978" t="s">
        <v>834</v>
      </c>
      <c r="G29" s="1678" t="s">
        <v>636</v>
      </c>
      <c r="H29" s="1700"/>
      <c r="I29" s="1700"/>
      <c r="J29" s="1700"/>
      <c r="K29" s="1700"/>
      <c r="L29" s="1700"/>
      <c r="M29" s="1700"/>
      <c r="N29" s="1700"/>
      <c r="O29" s="1700"/>
      <c r="P29" s="1700"/>
      <c r="Q29" s="1700"/>
      <c r="R29" s="1700"/>
      <c r="S29" s="1700"/>
      <c r="T29" s="1700"/>
      <c r="U29" s="1700"/>
      <c r="V29" s="1700"/>
      <c r="W29" s="1700"/>
      <c r="X29" s="313"/>
      <c r="Y29" s="567"/>
      <c r="AT29" s="1655">
        <v>19</v>
      </c>
    </row>
    <row customHeight="1" ht="19.95">
      <c r="D30" s="1662"/>
      <c r="E30" s="1699" t="s">
        <v>835</v>
      </c>
      <c r="F30" s="978" t="s">
        <v>836</v>
      </c>
      <c r="G30" s="1678" t="s">
        <v>636</v>
      </c>
      <c r="H30" s="1700"/>
      <c r="I30" s="1700"/>
      <c r="J30" s="1700"/>
      <c r="K30" s="1700"/>
      <c r="L30" s="1700"/>
      <c r="M30" s="1700"/>
      <c r="N30" s="1700"/>
      <c r="O30" s="1700"/>
      <c r="P30" s="1700"/>
      <c r="Q30" s="1700"/>
      <c r="R30" s="1700"/>
      <c r="S30" s="1700"/>
      <c r="T30" s="1700"/>
      <c r="U30" s="1700"/>
      <c r="V30" s="1700"/>
      <c r="W30" s="1700"/>
      <c r="X30" s="313"/>
      <c r="Y30" s="567"/>
      <c r="AT30" s="1655">
        <v>19</v>
      </c>
    </row>
    <row customHeight="1" ht="19.95">
      <c r="D31" s="1662"/>
      <c r="E31" s="1699" t="s">
        <v>837</v>
      </c>
      <c r="F31" s="978" t="s">
        <v>838</v>
      </c>
      <c r="G31" s="1678" t="s">
        <v>636</v>
      </c>
      <c r="H31" s="1700"/>
      <c r="I31" s="1700"/>
      <c r="J31" s="1700"/>
      <c r="K31" s="1700"/>
      <c r="L31" s="1700"/>
      <c r="M31" s="1700"/>
      <c r="N31" s="1700"/>
      <c r="O31" s="1700"/>
      <c r="P31" s="1700"/>
      <c r="Q31" s="1700"/>
      <c r="R31" s="1700"/>
      <c r="S31" s="1700"/>
      <c r="T31" s="1700"/>
      <c r="U31" s="1700"/>
      <c r="V31" s="1700"/>
      <c r="W31" s="1700"/>
      <c r="X31" s="313"/>
      <c r="Y31" s="567"/>
      <c r="AT31" s="1655">
        <v>19</v>
      </c>
    </row>
    <row s="1390" customFormat="1" customHeight="1" ht="35.699999999999996">
      <c r="A32" s="1011"/>
      <c r="C32" s="1660"/>
      <c r="D32" s="1662"/>
      <c r="E32" s="1699" t="s">
        <v>839</v>
      </c>
      <c r="F32" s="978" t="s">
        <v>840</v>
      </c>
      <c r="G32" s="1668" t="s">
        <v>636</v>
      </c>
      <c r="H32" s="603">
        <f>SUM(H33:H34)</f>
        <v>0</v>
      </c>
      <c r="I32" s="603">
        <f>SUM(I33:I34)</f>
        <v>0</v>
      </c>
      <c r="J32" s="603">
        <f>SUM(J33:J34)</f>
        <v>0</v>
      </c>
      <c r="K32" s="603">
        <f>SUM(K33:K34)</f>
        <v>0</v>
      </c>
      <c r="L32" s="603">
        <f>SUM(L33:L34)</f>
        <v>0</v>
      </c>
      <c r="M32" s="603">
        <f>SUM(M33:M34)</f>
        <v>0</v>
      </c>
      <c r="N32" s="603">
        <f>SUM(N33:N34)</f>
        <v>0</v>
      </c>
      <c r="O32" s="603">
        <f>SUM(O33:O34)</f>
        <v>0</v>
      </c>
      <c r="P32" s="603">
        <f>SUM(P33:P34)</f>
        <v>0</v>
      </c>
      <c r="Q32" s="603">
        <f>SUM(Q33:Q34)</f>
        <v>0</v>
      </c>
      <c r="R32" s="603">
        <f>SUM(R33:R34)</f>
        <v>0</v>
      </c>
      <c r="S32" s="603">
        <f>SUM(S33:S34)</f>
        <v>0</v>
      </c>
      <c r="T32" s="603">
        <f>SUM(T33:T34)</f>
        <v>0</v>
      </c>
      <c r="U32" s="603">
        <f>SUM(U33:U34)</f>
        <v>0</v>
      </c>
      <c r="V32" s="603">
        <f>SUM(V33:V34)</f>
        <v>0</v>
      </c>
      <c r="W32" s="603">
        <f>SUM(W33:W34)</f>
        <v>0</v>
      </c>
      <c r="X32" s="313" t="s">
        <v>841</v>
      </c>
      <c r="Y32" s="567"/>
      <c r="Z32" s="1660"/>
      <c r="AA32" s="1660"/>
      <c r="AF32" s="1660"/>
      <c r="AI32" s="568"/>
      <c r="AO32" s="1656"/>
      <c r="AP32" s="1656"/>
      <c r="AQ32" s="1656"/>
      <c r="AR32" s="1656"/>
      <c r="AS32" s="1656"/>
      <c r="AT32" s="1184">
        <v>34</v>
      </c>
    </row>
    <row s="1666" customFormat="1" customHeight="1" ht="1.05">
      <c r="A33" s="1191"/>
      <c r="D33" s="572"/>
      <c r="E33" s="826" t="str">
        <f>E32&amp;".0"</f>
        <v>2.8.0</v>
      </c>
      <c r="F33" s="1015"/>
      <c r="G33" s="575"/>
      <c r="H33" s="1016"/>
      <c r="I33" s="1016"/>
      <c r="J33" s="1016"/>
      <c r="K33" s="1016"/>
      <c r="L33" s="1016"/>
      <c r="M33" s="1016"/>
      <c r="N33" s="1016"/>
      <c r="O33" s="1016"/>
      <c r="P33" s="1016"/>
      <c r="Q33" s="1016"/>
      <c r="R33" s="1016"/>
      <c r="S33" s="1016"/>
      <c r="T33" s="1016"/>
      <c r="U33" s="1016"/>
      <c r="V33" s="1016"/>
      <c r="W33" s="1016"/>
      <c r="X33" s="1017"/>
      <c r="AT33" s="1660">
        <v>1</v>
      </c>
    </row>
    <row s="1390" customFormat="1" customHeight="1" ht="19.95">
      <c r="A34" s="1011"/>
      <c r="C34" s="1660"/>
      <c r="D34" s="1657"/>
      <c r="E34" s="594"/>
      <c r="F34" s="1690" t="s">
        <v>661</v>
      </c>
      <c r="G34" s="596"/>
      <c r="H34" s="597"/>
      <c r="I34" s="597"/>
      <c r="J34" s="2755"/>
      <c r="K34" s="2756"/>
      <c r="L34" s="2757"/>
      <c r="M34" s="2758"/>
      <c r="N34" s="2759"/>
      <c r="O34" s="2760"/>
      <c r="P34" s="2761"/>
      <c r="Q34" s="2762"/>
      <c r="R34" s="2763"/>
      <c r="S34" s="2764"/>
      <c r="T34" s="2765"/>
      <c r="U34" s="2766"/>
      <c r="V34" s="2767"/>
      <c r="W34" s="2768"/>
      <c r="X34" s="325" t="s">
        <v>842</v>
      </c>
      <c r="Y34" s="567"/>
      <c r="Z34" s="1660"/>
      <c r="AA34" s="1660"/>
      <c r="AF34" s="1660"/>
      <c r="AI34" s="568"/>
      <c r="AO34" s="1656"/>
      <c r="AP34" s="1656"/>
      <c r="AQ34" s="1656"/>
      <c r="AR34" s="1656"/>
      <c r="AS34" s="1656"/>
      <c r="AT34" s="1184">
        <v>19</v>
      </c>
    </row>
    <row customHeight="1" ht="60">
      <c r="D35" s="1662"/>
      <c r="E35" s="1699" t="s">
        <v>843</v>
      </c>
      <c r="F35" s="978" t="s">
        <v>844</v>
      </c>
      <c r="G35" s="1678" t="s">
        <v>636</v>
      </c>
      <c r="H35" s="1700"/>
      <c r="I35" s="1700"/>
      <c r="J35" s="1700"/>
      <c r="K35" s="1700"/>
      <c r="L35" s="1700"/>
      <c r="M35" s="1700"/>
      <c r="N35" s="1700"/>
      <c r="O35" s="1700"/>
      <c r="P35" s="1700"/>
      <c r="Q35" s="1700"/>
      <c r="R35" s="1700"/>
      <c r="S35" s="1700"/>
      <c r="T35" s="1700"/>
      <c r="U35" s="1700"/>
      <c r="V35" s="1700"/>
      <c r="W35" s="1700"/>
      <c r="X35" s="313" t="s">
        <v>845</v>
      </c>
      <c r="Y35" s="567"/>
      <c r="AT35" s="1655">
        <v>57</v>
      </c>
    </row>
    <row s="1390" customFormat="1" customHeight="1" ht="24">
      <c r="A36" s="1013" t="s">
        <v>662</v>
      </c>
      <c r="C36" s="1660"/>
      <c r="D36" s="1662"/>
      <c r="E36" s="1688" t="s">
        <v>90</v>
      </c>
      <c r="F36" s="731" t="s">
        <v>846</v>
      </c>
      <c r="G36" s="1667" t="s">
        <v>636</v>
      </c>
      <c r="H36" s="581"/>
      <c r="I36" s="581"/>
      <c r="J36" s="581"/>
      <c r="K36" s="581"/>
      <c r="L36" s="581"/>
      <c r="M36" s="581"/>
      <c r="N36" s="581"/>
      <c r="O36" s="581"/>
      <c r="P36" s="581"/>
      <c r="Q36" s="581"/>
      <c r="R36" s="581"/>
      <c r="S36" s="581"/>
      <c r="T36" s="581"/>
      <c r="U36" s="581"/>
      <c r="V36" s="581"/>
      <c r="W36" s="581"/>
      <c r="X36" s="313" t="s">
        <v>847</v>
      </c>
      <c r="Y36" s="567"/>
      <c r="Z36" s="1660"/>
      <c r="AA36" s="1660"/>
      <c r="AF36" s="1660"/>
      <c r="AI36" s="568"/>
      <c r="AO36" s="1656"/>
      <c r="AP36" s="1656"/>
      <c r="AQ36" s="1656"/>
      <c r="AR36" s="1656"/>
      <c r="AS36" s="1656"/>
      <c r="AT36" s="1184">
        <v>23</v>
      </c>
    </row>
    <row s="1390" customFormat="1" customHeight="1" ht="35.699999999999996">
      <c r="A37" s="1013"/>
      <c r="C37" s="1660"/>
      <c r="D37" s="1662"/>
      <c r="E37" s="1688" t="s">
        <v>408</v>
      </c>
      <c r="F37" s="978" t="s">
        <v>848</v>
      </c>
      <c r="G37" s="1678"/>
      <c r="H37" s="581"/>
      <c r="I37" s="581"/>
      <c r="J37" s="581"/>
      <c r="K37" s="581"/>
      <c r="L37" s="581"/>
      <c r="M37" s="581"/>
      <c r="N37" s="581"/>
      <c r="O37" s="581"/>
      <c r="P37" s="581"/>
      <c r="Q37" s="581"/>
      <c r="R37" s="581"/>
      <c r="S37" s="581"/>
      <c r="T37" s="581"/>
      <c r="U37" s="581"/>
      <c r="V37" s="581"/>
      <c r="W37" s="581"/>
      <c r="X37" s="313"/>
      <c r="Y37" s="567"/>
      <c r="Z37" s="1660"/>
      <c r="AA37" s="1660"/>
      <c r="AF37" s="1660"/>
      <c r="AI37" s="568"/>
      <c r="AO37" s="1656"/>
      <c r="AP37" s="1656"/>
      <c r="AQ37" s="1656"/>
      <c r="AR37" s="1656"/>
      <c r="AS37" s="1656"/>
      <c r="AT37" s="1184">
        <v>34</v>
      </c>
    </row>
    <row s="1390" customFormat="1" customHeight="1" ht="19.95">
      <c r="A38" s="1011"/>
      <c r="C38" s="1660"/>
      <c r="D38" s="599"/>
      <c r="E38" s="1688" t="s">
        <v>91</v>
      </c>
      <c r="F38" s="731" t="s">
        <v>849</v>
      </c>
      <c r="G38" s="1667" t="s">
        <v>636</v>
      </c>
      <c r="H38" s="581"/>
      <c r="I38" s="581"/>
      <c r="J38" s="581"/>
      <c r="K38" s="581"/>
      <c r="L38" s="581"/>
      <c r="M38" s="581"/>
      <c r="N38" s="581"/>
      <c r="O38" s="581"/>
      <c r="P38" s="581"/>
      <c r="Q38" s="581"/>
      <c r="R38" s="581"/>
      <c r="S38" s="581"/>
      <c r="T38" s="581"/>
      <c r="U38" s="581"/>
      <c r="V38" s="581"/>
      <c r="W38" s="581"/>
      <c r="X38" s="313" t="s">
        <v>850</v>
      </c>
      <c r="Y38" s="567"/>
      <c r="Z38" s="1660"/>
      <c r="AA38" s="1660"/>
      <c r="AF38" s="1660"/>
      <c r="AI38" s="568"/>
      <c r="AO38" s="1656"/>
      <c r="AP38" s="1656"/>
      <c r="AQ38" s="1656"/>
      <c r="AR38" s="1656"/>
      <c r="AS38" s="1656"/>
      <c r="AT38" s="1184">
        <v>19</v>
      </c>
    </row>
    <row s="1390" customFormat="1" customHeight="1" ht="24">
      <c r="A39" s="1011"/>
      <c r="C39" s="1660"/>
      <c r="D39" s="599"/>
      <c r="E39" s="1688" t="s">
        <v>851</v>
      </c>
      <c r="F39" s="978" t="s">
        <v>852</v>
      </c>
      <c r="G39" s="1678" t="s">
        <v>636</v>
      </c>
      <c r="H39" s="581"/>
      <c r="I39" s="581"/>
      <c r="J39" s="581"/>
      <c r="K39" s="581"/>
      <c r="L39" s="581"/>
      <c r="M39" s="581"/>
      <c r="N39" s="581"/>
      <c r="O39" s="581"/>
      <c r="P39" s="581"/>
      <c r="Q39" s="581"/>
      <c r="R39" s="581"/>
      <c r="S39" s="581"/>
      <c r="T39" s="581"/>
      <c r="U39" s="581"/>
      <c r="V39" s="581"/>
      <c r="W39" s="581"/>
      <c r="X39" s="313" t="s">
        <v>853</v>
      </c>
      <c r="Y39" s="567"/>
      <c r="Z39" s="1660"/>
      <c r="AA39" s="1660"/>
      <c r="AF39" s="1660"/>
      <c r="AI39" s="568"/>
      <c r="AO39" s="1656"/>
      <c r="AP39" s="1656"/>
      <c r="AQ39" s="1656"/>
      <c r="AR39" s="1656"/>
      <c r="AS39" s="1656"/>
      <c r="AT39" s="1184">
        <v>23</v>
      </c>
    </row>
    <row s="1390" customFormat="1" customHeight="1" ht="24">
      <c r="A40" s="1011"/>
      <c r="C40" s="1660"/>
      <c r="D40" s="1662"/>
      <c r="E40" s="1688" t="s">
        <v>854</v>
      </c>
      <c r="F40" s="1674" t="s">
        <v>855</v>
      </c>
      <c r="G40" s="1667" t="s">
        <v>636</v>
      </c>
      <c r="H40" s="581"/>
      <c r="I40" s="581"/>
      <c r="J40" s="581"/>
      <c r="K40" s="581"/>
      <c r="L40" s="581"/>
      <c r="M40" s="581"/>
      <c r="N40" s="581"/>
      <c r="O40" s="581"/>
      <c r="P40" s="581"/>
      <c r="Q40" s="581"/>
      <c r="R40" s="581"/>
      <c r="S40" s="581"/>
      <c r="T40" s="581"/>
      <c r="U40" s="581"/>
      <c r="V40" s="581"/>
      <c r="W40" s="581"/>
      <c r="X40" s="313" t="s">
        <v>856</v>
      </c>
      <c r="Y40" s="567"/>
      <c r="Z40" s="1660"/>
      <c r="AA40" s="1660"/>
      <c r="AF40" s="1660"/>
      <c r="AI40" s="568"/>
      <c r="AO40" s="1656"/>
      <c r="AP40" s="1656"/>
      <c r="AQ40" s="1656"/>
      <c r="AR40" s="1656"/>
      <c r="AS40" s="1656"/>
      <c r="AT40" s="1184">
        <v>23</v>
      </c>
    </row>
    <row s="1390" customFormat="1" customHeight="1" ht="24">
      <c r="A41" s="1011"/>
      <c r="C41" s="1660"/>
      <c r="D41" s="1662"/>
      <c r="E41" s="1688" t="s">
        <v>857</v>
      </c>
      <c r="F41" s="1674" t="s">
        <v>858</v>
      </c>
      <c r="G41" s="1667" t="s">
        <v>636</v>
      </c>
      <c r="H41" s="581"/>
      <c r="I41" s="581"/>
      <c r="J41" s="581"/>
      <c r="K41" s="581"/>
      <c r="L41" s="581"/>
      <c r="M41" s="581"/>
      <c r="N41" s="581"/>
      <c r="O41" s="581"/>
      <c r="P41" s="581"/>
      <c r="Q41" s="581"/>
      <c r="R41" s="581"/>
      <c r="S41" s="581"/>
      <c r="T41" s="581"/>
      <c r="U41" s="581"/>
      <c r="V41" s="581"/>
      <c r="W41" s="581"/>
      <c r="X41" s="313" t="s">
        <v>859</v>
      </c>
      <c r="Y41" s="567"/>
      <c r="Z41" s="1660"/>
      <c r="AA41" s="1660"/>
      <c r="AF41" s="1660"/>
      <c r="AI41" s="568"/>
      <c r="AO41" s="1656"/>
      <c r="AP41" s="1656"/>
      <c r="AQ41" s="1656"/>
      <c r="AR41" s="1656"/>
      <c r="AS41" s="1656"/>
      <c r="AT41" s="1184">
        <v>23</v>
      </c>
    </row>
    <row s="1390" customFormat="1" customHeight="1" ht="24">
      <c r="A42" s="1011"/>
      <c r="C42" s="1660"/>
      <c r="D42" s="1662"/>
      <c r="E42" s="1688" t="s">
        <v>860</v>
      </c>
      <c r="F42" s="1674" t="s">
        <v>861</v>
      </c>
      <c r="G42" s="1667" t="s">
        <v>636</v>
      </c>
      <c r="H42" s="581"/>
      <c r="I42" s="581"/>
      <c r="J42" s="581"/>
      <c r="K42" s="581"/>
      <c r="L42" s="581"/>
      <c r="M42" s="581"/>
      <c r="N42" s="581"/>
      <c r="O42" s="581"/>
      <c r="P42" s="581"/>
      <c r="Q42" s="581"/>
      <c r="R42" s="581"/>
      <c r="S42" s="581"/>
      <c r="T42" s="581"/>
      <c r="U42" s="581"/>
      <c r="V42" s="581"/>
      <c r="W42" s="581"/>
      <c r="X42" s="313" t="s">
        <v>862</v>
      </c>
      <c r="Y42" s="567"/>
      <c r="Z42" s="1660"/>
      <c r="AA42" s="1660"/>
      <c r="AF42" s="1660"/>
      <c r="AI42" s="568"/>
      <c r="AO42" s="1656"/>
      <c r="AP42" s="1656"/>
      <c r="AQ42" s="1656"/>
      <c r="AR42" s="1656"/>
      <c r="AS42" s="1656"/>
      <c r="AT42" s="1184">
        <v>23</v>
      </c>
    </row>
    <row s="1390" customFormat="1" customHeight="1" ht="35.699999999999996">
      <c r="A43" s="1011"/>
      <c r="C43" s="1660" t="s">
        <v>672</v>
      </c>
      <c r="D43" s="1662"/>
      <c r="E43" s="1688" t="s">
        <v>119</v>
      </c>
      <c r="F43" s="731" t="s">
        <v>727</v>
      </c>
      <c r="G43" s="1670" t="s">
        <v>863</v>
      </c>
      <c r="H43" s="425"/>
      <c r="I43" s="425"/>
      <c r="J43" s="842"/>
      <c r="K43" s="842"/>
      <c r="L43" s="842"/>
      <c r="M43" s="842"/>
      <c r="N43" s="842"/>
      <c r="O43" s="842"/>
      <c r="P43" s="842"/>
      <c r="Q43" s="842"/>
      <c r="R43" s="842"/>
      <c r="S43" s="842"/>
      <c r="T43" s="842"/>
      <c r="U43" s="842"/>
      <c r="V43" s="842"/>
      <c r="W43" s="842"/>
      <c r="X43" s="313" t="s">
        <v>864</v>
      </c>
      <c r="Y43" s="567"/>
      <c r="Z43" s="1660"/>
      <c r="AA43" s="1660"/>
      <c r="AF43" s="1660"/>
      <c r="AI43" s="568"/>
      <c r="AO43" s="1656"/>
      <c r="AP43" s="1656"/>
      <c r="AQ43" s="1656"/>
      <c r="AR43" s="1656"/>
      <c r="AS43" s="1656"/>
      <c r="AT43" s="1184">
        <v>34</v>
      </c>
    </row>
    <row s="1390" customFormat="1" customHeight="1" ht="35.699999999999996">
      <c r="A44" s="1011"/>
      <c r="C44" s="1660"/>
      <c r="D44" s="1662"/>
      <c r="E44" s="1688" t="s">
        <v>92</v>
      </c>
      <c r="F44" s="731" t="s">
        <v>865</v>
      </c>
      <c r="G44" s="1667" t="s">
        <v>866</v>
      </c>
      <c r="H44" s="569"/>
      <c r="I44" s="569"/>
      <c r="J44" s="569"/>
      <c r="K44" s="569"/>
      <c r="L44" s="569"/>
      <c r="M44" s="569"/>
      <c r="N44" s="569"/>
      <c r="O44" s="569"/>
      <c r="P44" s="569"/>
      <c r="Q44" s="569"/>
      <c r="R44" s="569"/>
      <c r="S44" s="569"/>
      <c r="T44" s="569"/>
      <c r="U44" s="569"/>
      <c r="V44" s="569"/>
      <c r="W44" s="569"/>
      <c r="X44" s="313" t="s">
        <v>867</v>
      </c>
      <c r="Y44" s="567"/>
      <c r="Z44" s="1660"/>
      <c r="AA44" s="1660"/>
      <c r="AF44" s="1660"/>
      <c r="AI44" s="568"/>
      <c r="AO44" s="1656"/>
      <c r="AP44" s="1656"/>
      <c r="AQ44" s="1656"/>
      <c r="AR44" s="1656"/>
      <c r="AS44" s="1656"/>
      <c r="AT44" s="1184">
        <v>34</v>
      </c>
    </row>
    <row s="1390" customFormat="1" customHeight="1" ht="24">
      <c r="A45" s="1011"/>
      <c r="C45" s="1660"/>
      <c r="D45" s="1662"/>
      <c r="E45" s="1688" t="s">
        <v>93</v>
      </c>
      <c r="F45" s="731" t="s">
        <v>868</v>
      </c>
      <c r="G45" s="1678" t="s">
        <v>869</v>
      </c>
      <c r="H45" s="569"/>
      <c r="I45" s="569"/>
      <c r="J45" s="569"/>
      <c r="K45" s="569"/>
      <c r="L45" s="569"/>
      <c r="M45" s="569"/>
      <c r="N45" s="569"/>
      <c r="O45" s="569"/>
      <c r="P45" s="569"/>
      <c r="Q45" s="569"/>
      <c r="R45" s="569"/>
      <c r="S45" s="569"/>
      <c r="T45" s="569"/>
      <c r="U45" s="569"/>
      <c r="V45" s="569"/>
      <c r="W45" s="569"/>
      <c r="X45" s="313" t="s">
        <v>870</v>
      </c>
      <c r="Y45" s="567"/>
      <c r="Z45" s="1660"/>
      <c r="AA45" s="1660"/>
      <c r="AF45" s="1660"/>
      <c r="AI45" s="568"/>
      <c r="AO45" s="1656"/>
      <c r="AP45" s="1656"/>
      <c r="AQ45" s="1656"/>
      <c r="AR45" s="1656"/>
      <c r="AS45" s="1656"/>
      <c r="AT45" s="1184">
        <v>23</v>
      </c>
    </row>
    <row s="1390" customFormat="1" customHeight="1" ht="19.95">
      <c r="A46" s="1011"/>
      <c r="C46" s="1660"/>
      <c r="D46" s="1662"/>
      <c r="E46" s="1688" t="s">
        <v>143</v>
      </c>
      <c r="F46" s="731" t="s">
        <v>871</v>
      </c>
      <c r="G46" s="1667" t="s">
        <v>674</v>
      </c>
      <c r="H46" s="601"/>
      <c r="I46" s="601"/>
      <c r="J46" s="601"/>
      <c r="K46" s="601"/>
      <c r="L46" s="601"/>
      <c r="M46" s="601"/>
      <c r="N46" s="601"/>
      <c r="O46" s="601"/>
      <c r="P46" s="601"/>
      <c r="Q46" s="601"/>
      <c r="R46" s="601"/>
      <c r="S46" s="601"/>
      <c r="T46" s="601"/>
      <c r="U46" s="601"/>
      <c r="V46" s="601"/>
      <c r="W46" s="601"/>
      <c r="X46" s="313"/>
      <c r="Y46" s="567"/>
      <c r="Z46" s="1660"/>
      <c r="AA46" s="1660"/>
      <c r="AF46" s="1660"/>
      <c r="AI46" s="568"/>
      <c r="AO46" s="1656"/>
      <c r="AP46" s="1656"/>
      <c r="AQ46" s="1656"/>
      <c r="AR46" s="1656"/>
      <c r="AS46" s="1656"/>
      <c r="AT46" s="1184">
        <v>19</v>
      </c>
    </row>
    <row customHeight="1" ht="11.549999999999999">
      <c r="D47" s="1662"/>
      <c r="J47" s="1659"/>
      <c r="K47" s="1659"/>
      <c r="L47" s="1659"/>
      <c r="M47" s="1659"/>
      <c r="N47" s="1659"/>
      <c r="O47" s="1659"/>
      <c r="P47" s="1659"/>
      <c r="Q47" s="1659"/>
      <c r="R47" s="1659"/>
      <c r="S47" s="1659"/>
      <c r="T47" s="1659"/>
      <c r="U47" s="1659"/>
      <c r="V47" s="1659"/>
      <c r="W47" s="1659"/>
      <c r="AT47" s="1655">
        <v>11</v>
      </c>
    </row>
    <row s="1665" customFormat="1" customHeight="1" ht="11.549999999999999">
      <c r="A48" s="1011"/>
      <c r="B48" s="1660"/>
      <c r="C48" s="1660"/>
      <c r="D48" s="375"/>
      <c r="J48" s="1665"/>
      <c r="K48" s="1665"/>
      <c r="L48" s="1665"/>
      <c r="M48" s="1665"/>
      <c r="N48" s="1665"/>
      <c r="O48" s="1665"/>
      <c r="P48" s="1665"/>
      <c r="Q48" s="1665"/>
      <c r="R48" s="1665"/>
      <c r="S48" s="1665"/>
      <c r="T48" s="1665"/>
      <c r="U48" s="1665"/>
      <c r="V48" s="1665"/>
      <c r="W48" s="1665"/>
      <c r="Y48" s="1184"/>
      <c r="Z48" s="1660"/>
      <c r="AA48" s="1660"/>
      <c r="AB48" s="1184"/>
      <c r="AC48" s="1184"/>
      <c r="AD48" s="1184"/>
      <c r="AE48" s="1184"/>
      <c r="AF48" s="1660"/>
      <c r="AG48" s="1184"/>
      <c r="AH48" s="1184"/>
      <c r="AI48" s="568"/>
      <c r="AJ48" s="1184"/>
      <c r="AK48" s="1184"/>
      <c r="AL48" s="1184"/>
      <c r="AM48" s="1184"/>
      <c r="AN48" s="1184"/>
      <c r="AO48" s="1656"/>
      <c r="AP48" s="590"/>
      <c r="AQ48" s="590"/>
      <c r="AR48" s="590"/>
      <c r="AS48" s="590"/>
      <c r="AT48" s="1665">
        <v>11</v>
      </c>
    </row>
    <row s="1665" customFormat="1" customHeight="1" ht="11.549999999999999">
      <c r="A49" s="1011"/>
      <c r="B49" s="1660"/>
      <c r="C49" s="1660"/>
      <c r="D49" s="375"/>
      <c r="J49" s="1665"/>
      <c r="K49" s="1665"/>
      <c r="L49" s="1665"/>
      <c r="M49" s="1665"/>
      <c r="N49" s="1665"/>
      <c r="O49" s="1665"/>
      <c r="P49" s="1665"/>
      <c r="Q49" s="1665"/>
      <c r="R49" s="1665"/>
      <c r="S49" s="1665"/>
      <c r="T49" s="1665"/>
      <c r="U49" s="1665"/>
      <c r="V49" s="1665"/>
      <c r="W49" s="1665"/>
      <c r="Y49" s="1184"/>
      <c r="Z49" s="1660"/>
      <c r="AA49" s="1660"/>
      <c r="AB49" s="1184"/>
      <c r="AC49" s="1184"/>
      <c r="AD49" s="1184"/>
      <c r="AE49" s="1184"/>
      <c r="AF49" s="1660"/>
      <c r="AG49" s="1184"/>
      <c r="AH49" s="1184"/>
      <c r="AI49" s="568"/>
      <c r="AJ49" s="1184"/>
      <c r="AK49" s="1184"/>
      <c r="AL49" s="1184"/>
      <c r="AM49" s="1184"/>
      <c r="AN49" s="1184"/>
      <c r="AO49" s="1656"/>
      <c r="AP49" s="590"/>
      <c r="AQ49" s="590"/>
      <c r="AR49" s="590"/>
      <c r="AS49" s="590"/>
      <c r="AT49" s="1665">
        <v>11</v>
      </c>
    </row>
    <row s="1665" customFormat="1" customHeight="1" ht="11.549999999999999">
      <c r="A50" s="1011"/>
      <c r="B50" s="1660"/>
      <c r="C50" s="1660"/>
      <c r="D50" s="375"/>
      <c r="H50" s="590"/>
      <c r="I50" s="590"/>
      <c r="J50" s="646"/>
      <c r="K50" s="646"/>
      <c r="L50" s="646"/>
      <c r="M50" s="646"/>
      <c r="N50" s="646"/>
      <c r="O50" s="646"/>
      <c r="P50" s="646"/>
      <c r="Q50" s="646"/>
      <c r="R50" s="646"/>
      <c r="S50" s="646"/>
      <c r="T50" s="646"/>
      <c r="U50" s="646"/>
      <c r="V50" s="646"/>
      <c r="W50" s="646"/>
      <c r="Y50" s="1184"/>
      <c r="Z50" s="1660"/>
      <c r="AA50" s="1660"/>
      <c r="AB50" s="1184"/>
      <c r="AC50" s="1184"/>
      <c r="AD50" s="1184"/>
      <c r="AE50" s="1184"/>
      <c r="AF50" s="1660"/>
      <c r="AG50" s="1184"/>
      <c r="AH50" s="1184"/>
      <c r="AI50" s="568"/>
      <c r="AJ50" s="1184"/>
      <c r="AK50" s="1184"/>
      <c r="AL50" s="1184"/>
      <c r="AM50" s="1184"/>
      <c r="AN50" s="1184"/>
      <c r="AO50" s="1656"/>
      <c r="AP50" s="590"/>
      <c r="AQ50" s="590"/>
      <c r="AR50" s="590"/>
      <c r="AS50" s="590"/>
      <c r="AT50" s="1665">
        <v>11</v>
      </c>
    </row>
    <row s="1665" customFormat="1" customHeight="1" ht="11.549999999999999">
      <c r="A51" s="1011"/>
      <c r="B51" s="1660"/>
      <c r="C51" s="1660"/>
      <c r="D51" s="375"/>
      <c r="J51" s="1665"/>
      <c r="K51" s="1665"/>
      <c r="L51" s="1665"/>
      <c r="M51" s="1665"/>
      <c r="N51" s="1665"/>
      <c r="O51" s="1665"/>
      <c r="P51" s="1665"/>
      <c r="Q51" s="1665"/>
      <c r="R51" s="1665"/>
      <c r="S51" s="1665"/>
      <c r="T51" s="1665"/>
      <c r="U51" s="1665"/>
      <c r="V51" s="1665"/>
      <c r="W51" s="1665"/>
      <c r="Y51" s="1184"/>
      <c r="Z51" s="1660"/>
      <c r="AA51" s="1660"/>
      <c r="AB51" s="1184"/>
      <c r="AC51" s="1184"/>
      <c r="AD51" s="1184"/>
      <c r="AE51" s="1184"/>
      <c r="AF51" s="1660"/>
      <c r="AG51" s="1184"/>
      <c r="AH51" s="1184"/>
      <c r="AI51" s="568"/>
      <c r="AJ51" s="1184"/>
      <c r="AK51" s="1184"/>
      <c r="AL51" s="1184"/>
      <c r="AM51" s="1184"/>
      <c r="AN51" s="1184"/>
      <c r="AO51" s="1656"/>
      <c r="AP51" s="590"/>
      <c r="AQ51" s="590"/>
      <c r="AR51" s="590"/>
      <c r="AS51" s="590"/>
      <c r="AT51" s="1665">
        <v>11</v>
      </c>
    </row>
    <row s="1665" customFormat="1" customHeight="1" ht="11.549999999999999">
      <c r="A52" s="1011"/>
      <c r="B52" s="1660"/>
      <c r="C52" s="1660"/>
      <c r="D52" s="375"/>
      <c r="J52" s="1665"/>
      <c r="K52" s="1665"/>
      <c r="L52" s="1665"/>
      <c r="M52" s="1665"/>
      <c r="N52" s="1665"/>
      <c r="O52" s="1665"/>
      <c r="P52" s="1665"/>
      <c r="Q52" s="1665"/>
      <c r="R52" s="1665"/>
      <c r="S52" s="1665"/>
      <c r="T52" s="1665"/>
      <c r="U52" s="1665"/>
      <c r="V52" s="1665"/>
      <c r="W52" s="1665"/>
      <c r="Y52" s="1184"/>
      <c r="Z52" s="1660"/>
      <c r="AA52" s="1660"/>
      <c r="AB52" s="1184"/>
      <c r="AC52" s="1184"/>
      <c r="AD52" s="1184"/>
      <c r="AE52" s="1184"/>
      <c r="AF52" s="1660"/>
      <c r="AG52" s="1184"/>
      <c r="AH52" s="1184"/>
      <c r="AI52" s="568"/>
      <c r="AJ52" s="1184"/>
      <c r="AK52" s="1184"/>
      <c r="AL52" s="1184"/>
      <c r="AM52" s="1184"/>
      <c r="AN52" s="1184"/>
      <c r="AO52" s="1656"/>
      <c r="AP52" s="590"/>
      <c r="AQ52" s="590"/>
      <c r="AR52" s="590"/>
      <c r="AS52" s="590"/>
      <c r="AT52" s="1665">
        <v>11</v>
      </c>
    </row>
    <row s="1665" customFormat="1" customHeight="1" ht="11.549999999999999">
      <c r="A53" s="1011"/>
      <c r="B53" s="1660"/>
      <c r="C53" s="1660"/>
      <c r="D53" s="375"/>
      <c r="J53" s="1665"/>
      <c r="K53" s="1665"/>
      <c r="L53" s="1665"/>
      <c r="M53" s="1665"/>
      <c r="N53" s="1665"/>
      <c r="O53" s="1665"/>
      <c r="P53" s="1665"/>
      <c r="Q53" s="1665"/>
      <c r="R53" s="1665"/>
      <c r="S53" s="1665"/>
      <c r="T53" s="1665"/>
      <c r="U53" s="1665"/>
      <c r="V53" s="1665"/>
      <c r="W53" s="1665"/>
      <c r="Y53" s="1184"/>
      <c r="Z53" s="1660"/>
      <c r="AA53" s="1660"/>
      <c r="AB53" s="1184"/>
      <c r="AC53" s="1184"/>
      <c r="AD53" s="1184"/>
      <c r="AE53" s="1184"/>
      <c r="AF53" s="1660"/>
      <c r="AG53" s="1184"/>
      <c r="AH53" s="1184"/>
      <c r="AI53" s="568"/>
      <c r="AJ53" s="1184"/>
      <c r="AK53" s="1184"/>
      <c r="AL53" s="1184"/>
      <c r="AM53" s="1184"/>
      <c r="AN53" s="1184"/>
      <c r="AO53" s="1656"/>
      <c r="AP53" s="590"/>
      <c r="AQ53" s="590"/>
      <c r="AR53" s="590"/>
      <c r="AS53" s="590"/>
      <c r="AT53" s="1665">
        <v>11</v>
      </c>
    </row>
    <row s="1665" customFormat="1" customHeight="1" ht="11.549999999999999">
      <c r="A54" s="1011"/>
      <c r="B54" s="1660"/>
      <c r="C54" s="1660"/>
      <c r="D54" s="375"/>
      <c r="J54" s="1665"/>
      <c r="K54" s="1665"/>
      <c r="L54" s="1665"/>
      <c r="M54" s="1665"/>
      <c r="N54" s="1665"/>
      <c r="O54" s="1665"/>
      <c r="P54" s="1665"/>
      <c r="Q54" s="1665"/>
      <c r="R54" s="1665"/>
      <c r="S54" s="1665"/>
      <c r="T54" s="1665"/>
      <c r="U54" s="1665"/>
      <c r="V54" s="1665"/>
      <c r="W54" s="1665"/>
      <c r="Y54" s="1184"/>
      <c r="Z54" s="1660"/>
      <c r="AA54" s="1660"/>
      <c r="AB54" s="1184"/>
      <c r="AC54" s="1184"/>
      <c r="AD54" s="1184"/>
      <c r="AE54" s="1184"/>
      <c r="AF54" s="1660"/>
      <c r="AG54" s="1184"/>
      <c r="AH54" s="1184"/>
      <c r="AI54" s="568"/>
      <c r="AJ54" s="1184"/>
      <c r="AK54" s="1184"/>
      <c r="AL54" s="1184"/>
      <c r="AM54" s="1184"/>
      <c r="AN54" s="1184"/>
      <c r="AO54" s="1656"/>
      <c r="AP54" s="590"/>
      <c r="AQ54" s="590"/>
      <c r="AR54" s="590"/>
      <c r="AS54" s="590"/>
      <c r="AT54" s="1665">
        <v>11</v>
      </c>
    </row>
    <row s="1665" customFormat="1" customHeight="1" ht="11.549999999999999">
      <c r="A55" s="1011"/>
      <c r="B55" s="1660"/>
      <c r="C55" s="1660"/>
      <c r="D55" s="375"/>
      <c r="J55" s="1665"/>
      <c r="K55" s="1665"/>
      <c r="L55" s="1665"/>
      <c r="M55" s="1665"/>
      <c r="N55" s="1665"/>
      <c r="O55" s="1665"/>
      <c r="P55" s="1665"/>
      <c r="Q55" s="1665"/>
      <c r="R55" s="1665"/>
      <c r="S55" s="1665"/>
      <c r="T55" s="1665"/>
      <c r="U55" s="1665"/>
      <c r="V55" s="1665"/>
      <c r="W55" s="1665"/>
      <c r="Y55" s="1184"/>
      <c r="Z55" s="1660"/>
      <c r="AA55" s="1660"/>
      <c r="AB55" s="1184"/>
      <c r="AC55" s="1184"/>
      <c r="AD55" s="1184"/>
      <c r="AE55" s="1184"/>
      <c r="AF55" s="1660"/>
      <c r="AG55" s="1184"/>
      <c r="AH55" s="1184"/>
      <c r="AI55" s="568"/>
      <c r="AJ55" s="1184"/>
      <c r="AK55" s="1184"/>
      <c r="AL55" s="1184"/>
      <c r="AM55" s="1184"/>
      <c r="AN55" s="1184"/>
      <c r="AO55" s="1656"/>
      <c r="AP55" s="590"/>
      <c r="AQ55" s="590"/>
      <c r="AR55" s="590"/>
      <c r="AS55" s="590"/>
      <c r="AT55" s="1665">
        <v>11</v>
      </c>
    </row>
    <row s="1665" customFormat="1" customHeight="1" ht="11.549999999999999">
      <c r="A56" s="1011"/>
      <c r="B56" s="1660"/>
      <c r="C56" s="1660"/>
      <c r="D56" s="375"/>
      <c r="J56" s="1665"/>
      <c r="K56" s="1665"/>
      <c r="L56" s="1665"/>
      <c r="M56" s="1665"/>
      <c r="N56" s="1665"/>
      <c r="O56" s="1665"/>
      <c r="P56" s="1665"/>
      <c r="Q56" s="1665"/>
      <c r="R56" s="1665"/>
      <c r="S56" s="1665"/>
      <c r="T56" s="1665"/>
      <c r="U56" s="1665"/>
      <c r="V56" s="1665"/>
      <c r="W56" s="1665"/>
      <c r="Y56" s="1184"/>
      <c r="Z56" s="1660"/>
      <c r="AA56" s="1660"/>
      <c r="AB56" s="1184"/>
      <c r="AC56" s="1184"/>
      <c r="AD56" s="1184"/>
      <c r="AE56" s="1184"/>
      <c r="AF56" s="1660"/>
      <c r="AG56" s="1184"/>
      <c r="AH56" s="1184"/>
      <c r="AI56" s="568"/>
      <c r="AJ56" s="1184"/>
      <c r="AK56" s="1184"/>
      <c r="AL56" s="1184"/>
      <c r="AM56" s="1184"/>
      <c r="AN56" s="1184"/>
      <c r="AO56" s="1656"/>
      <c r="AP56" s="590"/>
      <c r="AQ56" s="590"/>
      <c r="AR56" s="590"/>
      <c r="AS56" s="590"/>
      <c r="AT56" s="1665">
        <v>11</v>
      </c>
    </row>
    <row s="1665" customFormat="1" customHeight="1" ht="11.549999999999999">
      <c r="A57" s="1011"/>
      <c r="B57" s="1660"/>
      <c r="C57" s="1660"/>
      <c r="D57" s="375"/>
      <c r="J57" s="1665"/>
      <c r="K57" s="1665"/>
      <c r="L57" s="1665"/>
      <c r="M57" s="1665"/>
      <c r="N57" s="1665"/>
      <c r="O57" s="1665"/>
      <c r="P57" s="1665"/>
      <c r="Q57" s="1665"/>
      <c r="R57" s="1665"/>
      <c r="S57" s="1665"/>
      <c r="T57" s="1665"/>
      <c r="U57" s="1665"/>
      <c r="V57" s="1665"/>
      <c r="W57" s="1665"/>
      <c r="Y57" s="1184"/>
      <c r="Z57" s="1660"/>
      <c r="AA57" s="1660"/>
      <c r="AB57" s="1184"/>
      <c r="AC57" s="1184"/>
      <c r="AD57" s="1184"/>
      <c r="AE57" s="1184"/>
      <c r="AF57" s="1660"/>
      <c r="AG57" s="1184"/>
      <c r="AH57" s="1184"/>
      <c r="AI57" s="568"/>
      <c r="AJ57" s="1184"/>
      <c r="AK57" s="1184"/>
      <c r="AL57" s="1184"/>
      <c r="AM57" s="1184"/>
      <c r="AN57" s="1184"/>
      <c r="AO57" s="1656"/>
      <c r="AP57" s="590"/>
      <c r="AQ57" s="590"/>
      <c r="AR57" s="590"/>
      <c r="AS57" s="590"/>
      <c r="AT57" s="1665">
        <v>11</v>
      </c>
    </row>
    <row s="1665" customFormat="1" customHeight="1" ht="11.549999999999999">
      <c r="A58" s="1011"/>
      <c r="B58" s="1660"/>
      <c r="C58" s="1660"/>
      <c r="D58" s="375"/>
      <c r="J58" s="1665"/>
      <c r="K58" s="1665"/>
      <c r="L58" s="1665"/>
      <c r="M58" s="1665"/>
      <c r="N58" s="1665"/>
      <c r="O58" s="1665"/>
      <c r="P58" s="1665"/>
      <c r="Q58" s="1665"/>
      <c r="R58" s="1665"/>
      <c r="S58" s="1665"/>
      <c r="T58" s="1665"/>
      <c r="U58" s="1665"/>
      <c r="V58" s="1665"/>
      <c r="W58" s="1665"/>
      <c r="Y58" s="1184"/>
      <c r="Z58" s="1660"/>
      <c r="AA58" s="1660"/>
      <c r="AB58" s="1184"/>
      <c r="AC58" s="1184"/>
      <c r="AD58" s="1184"/>
      <c r="AE58" s="1184"/>
      <c r="AF58" s="1660"/>
      <c r="AG58" s="1184"/>
      <c r="AH58" s="1184"/>
      <c r="AI58" s="568"/>
      <c r="AJ58" s="1184"/>
      <c r="AK58" s="1184"/>
      <c r="AL58" s="1184"/>
      <c r="AM58" s="1184"/>
      <c r="AN58" s="1184"/>
      <c r="AO58" s="1656"/>
      <c r="AP58" s="590"/>
      <c r="AQ58" s="590"/>
      <c r="AR58" s="590"/>
      <c r="AS58" s="590"/>
      <c r="AT58" s="1665">
        <v>11</v>
      </c>
    </row>
    <row s="1665" customFormat="1" customHeight="1" ht="11.549999999999999">
      <c r="A59" s="1011"/>
      <c r="B59" s="1660"/>
      <c r="C59" s="1660"/>
      <c r="D59" s="375"/>
      <c r="J59" s="1665"/>
      <c r="K59" s="1665"/>
      <c r="L59" s="1665"/>
      <c r="M59" s="1665"/>
      <c r="N59" s="1665"/>
      <c r="O59" s="1665"/>
      <c r="P59" s="1665"/>
      <c r="Q59" s="1665"/>
      <c r="R59" s="1665"/>
      <c r="S59" s="1665"/>
      <c r="T59" s="1665"/>
      <c r="U59" s="1665"/>
      <c r="V59" s="1665"/>
      <c r="W59" s="1665"/>
      <c r="Y59" s="1184"/>
      <c r="Z59" s="1660"/>
      <c r="AA59" s="1660"/>
      <c r="AB59" s="1184"/>
      <c r="AC59" s="1184"/>
      <c r="AD59" s="1184"/>
      <c r="AE59" s="1184"/>
      <c r="AF59" s="1660"/>
      <c r="AG59" s="1184"/>
      <c r="AH59" s="1184"/>
      <c r="AI59" s="568"/>
      <c r="AJ59" s="1184"/>
      <c r="AK59" s="1184"/>
      <c r="AL59" s="1184"/>
      <c r="AM59" s="1184"/>
      <c r="AN59" s="1184"/>
      <c r="AO59" s="1656"/>
      <c r="AP59" s="590"/>
      <c r="AQ59" s="590"/>
      <c r="AR59" s="590"/>
      <c r="AS59" s="590"/>
      <c r="AT59" s="1665">
        <v>11</v>
      </c>
    </row>
    <row s="1665" customFormat="1" customHeight="1" ht="11.549999999999999">
      <c r="A60" s="1011"/>
      <c r="B60" s="1660"/>
      <c r="C60" s="1660"/>
      <c r="D60" s="375"/>
      <c r="J60" s="1665"/>
      <c r="K60" s="1665"/>
      <c r="L60" s="1665"/>
      <c r="M60" s="1665"/>
      <c r="N60" s="1665"/>
      <c r="O60" s="1665"/>
      <c r="P60" s="1665"/>
      <c r="Q60" s="1665"/>
      <c r="R60" s="1665"/>
      <c r="S60" s="1665"/>
      <c r="T60" s="1665"/>
      <c r="U60" s="1665"/>
      <c r="V60" s="1665"/>
      <c r="W60" s="1665"/>
      <c r="Y60" s="1184"/>
      <c r="Z60" s="1660"/>
      <c r="AA60" s="1660"/>
      <c r="AB60" s="1184"/>
      <c r="AC60" s="1184"/>
      <c r="AD60" s="1184"/>
      <c r="AE60" s="1184"/>
      <c r="AF60" s="1660"/>
      <c r="AG60" s="1184"/>
      <c r="AH60" s="1184"/>
      <c r="AI60" s="568"/>
      <c r="AJ60" s="1184"/>
      <c r="AK60" s="1184"/>
      <c r="AL60" s="1184"/>
      <c r="AM60" s="1184"/>
      <c r="AN60" s="1184"/>
      <c r="AO60" s="1656"/>
      <c r="AP60" s="590"/>
      <c r="AQ60" s="590"/>
      <c r="AR60" s="590"/>
      <c r="AS60" s="590"/>
      <c r="AT60" s="1665">
        <v>11</v>
      </c>
    </row>
    <row s="1665" customFormat="1" customHeight="1" ht="11.549999999999999">
      <c r="A61" s="1011"/>
      <c r="B61" s="1660"/>
      <c r="C61" s="1660"/>
      <c r="D61" s="375"/>
      <c r="J61" s="1665"/>
      <c r="K61" s="1665"/>
      <c r="L61" s="1665"/>
      <c r="M61" s="1665"/>
      <c r="N61" s="1665"/>
      <c r="O61" s="1665"/>
      <c r="P61" s="1665"/>
      <c r="Q61" s="1665"/>
      <c r="R61" s="1665"/>
      <c r="S61" s="1665"/>
      <c r="T61" s="1665"/>
      <c r="U61" s="1665"/>
      <c r="V61" s="1665"/>
      <c r="W61" s="1665"/>
      <c r="Y61" s="1184"/>
      <c r="Z61" s="1660"/>
      <c r="AA61" s="1660"/>
      <c r="AB61" s="1184"/>
      <c r="AC61" s="1184"/>
      <c r="AD61" s="1184"/>
      <c r="AE61" s="1184"/>
      <c r="AF61" s="1660"/>
      <c r="AG61" s="1184"/>
      <c r="AH61" s="1184"/>
      <c r="AI61" s="568"/>
      <c r="AJ61" s="1184"/>
      <c r="AK61" s="1184"/>
      <c r="AL61" s="1184"/>
      <c r="AM61" s="1184"/>
      <c r="AN61" s="1184"/>
      <c r="AO61" s="1656"/>
      <c r="AP61" s="590"/>
      <c r="AQ61" s="590"/>
      <c r="AR61" s="590"/>
      <c r="AS61" s="590"/>
      <c r="AT61" s="1665">
        <v>11</v>
      </c>
    </row>
    <row s="1665" customFormat="1" customHeight="1" ht="11.549999999999999">
      <c r="A62" s="1011"/>
      <c r="B62" s="1660"/>
      <c r="C62" s="1660"/>
      <c r="D62" s="375"/>
      <c r="J62" s="1665"/>
      <c r="K62" s="1665"/>
      <c r="L62" s="1665"/>
      <c r="M62" s="1665"/>
      <c r="N62" s="1665"/>
      <c r="O62" s="1665"/>
      <c r="P62" s="1665"/>
      <c r="Q62" s="1665"/>
      <c r="R62" s="1665"/>
      <c r="S62" s="1665"/>
      <c r="T62" s="1665"/>
      <c r="U62" s="1665"/>
      <c r="V62" s="1665"/>
      <c r="W62" s="1665"/>
      <c r="Y62" s="1184"/>
      <c r="Z62" s="1660"/>
      <c r="AA62" s="1660"/>
      <c r="AB62" s="1184"/>
      <c r="AC62" s="1184"/>
      <c r="AD62" s="1184"/>
      <c r="AE62" s="1184"/>
      <c r="AF62" s="1660"/>
      <c r="AG62" s="1184"/>
      <c r="AH62" s="1184"/>
      <c r="AI62" s="568"/>
      <c r="AJ62" s="1184"/>
      <c r="AK62" s="1184"/>
      <c r="AL62" s="1184"/>
      <c r="AM62" s="1184"/>
      <c r="AN62" s="1184"/>
      <c r="AO62" s="1656"/>
      <c r="AP62" s="590"/>
      <c r="AQ62" s="590"/>
      <c r="AR62" s="590"/>
      <c r="AS62" s="590"/>
      <c r="AT62" s="1665">
        <v>11</v>
      </c>
    </row>
    <row s="1665" customFormat="1" customHeight="1" ht="11.549999999999999">
      <c r="A63" s="1011"/>
      <c r="B63" s="1660"/>
      <c r="C63" s="1660"/>
      <c r="D63" s="375"/>
      <c r="J63" s="1665"/>
      <c r="K63" s="1665"/>
      <c r="L63" s="1665"/>
      <c r="M63" s="1665"/>
      <c r="N63" s="1665"/>
      <c r="O63" s="1665"/>
      <c r="P63" s="1665"/>
      <c r="Q63" s="1665"/>
      <c r="R63" s="1665"/>
      <c r="S63" s="1665"/>
      <c r="T63" s="1665"/>
      <c r="U63" s="1665"/>
      <c r="V63" s="1665"/>
      <c r="W63" s="1665"/>
      <c r="Y63" s="1184"/>
      <c r="Z63" s="1660"/>
      <c r="AA63" s="1660"/>
      <c r="AB63" s="1184"/>
      <c r="AC63" s="1184"/>
      <c r="AD63" s="1184"/>
      <c r="AE63" s="1184"/>
      <c r="AF63" s="1660"/>
      <c r="AG63" s="1184"/>
      <c r="AH63" s="1184"/>
      <c r="AI63" s="568"/>
      <c r="AJ63" s="1184"/>
      <c r="AK63" s="1184"/>
      <c r="AL63" s="1184"/>
      <c r="AM63" s="1184"/>
      <c r="AN63" s="1184"/>
      <c r="AO63" s="1656"/>
      <c r="AP63" s="590"/>
      <c r="AQ63" s="590"/>
      <c r="AR63" s="590"/>
      <c r="AS63" s="590"/>
      <c r="AT63" s="1665">
        <v>11</v>
      </c>
    </row>
    <row s="1665" customFormat="1" customHeight="1" ht="11.549999999999999">
      <c r="A64" s="1011"/>
      <c r="B64" s="1660"/>
      <c r="C64" s="1660"/>
      <c r="D64" s="375"/>
      <c r="J64" s="1665"/>
      <c r="K64" s="1665"/>
      <c r="L64" s="1665"/>
      <c r="M64" s="1665"/>
      <c r="N64" s="1665"/>
      <c r="O64" s="1665"/>
      <c r="P64" s="1665"/>
      <c r="Q64" s="1665"/>
      <c r="R64" s="1665"/>
      <c r="S64" s="1665"/>
      <c r="T64" s="1665"/>
      <c r="U64" s="1665"/>
      <c r="V64" s="1665"/>
      <c r="W64" s="1665"/>
      <c r="Y64" s="1184"/>
      <c r="Z64" s="1660"/>
      <c r="AA64" s="1660"/>
      <c r="AB64" s="1184"/>
      <c r="AC64" s="1184"/>
      <c r="AD64" s="1184"/>
      <c r="AE64" s="1184"/>
      <c r="AF64" s="1660"/>
      <c r="AG64" s="1184"/>
      <c r="AH64" s="1184"/>
      <c r="AI64" s="568"/>
      <c r="AJ64" s="1184"/>
      <c r="AK64" s="1184"/>
      <c r="AL64" s="1184"/>
      <c r="AM64" s="1184"/>
      <c r="AN64" s="1184"/>
      <c r="AO64" s="1656"/>
      <c r="AP64" s="590"/>
      <c r="AQ64" s="590"/>
      <c r="AR64" s="590"/>
      <c r="AS64" s="590"/>
      <c r="AT64" s="1665">
        <v>11</v>
      </c>
    </row>
    <row s="1665" customFormat="1" customHeight="1" ht="11.549999999999999">
      <c r="A65" s="1011"/>
      <c r="B65" s="1660"/>
      <c r="C65" s="1660"/>
      <c r="D65" s="375"/>
      <c r="J65" s="1665"/>
      <c r="K65" s="1665"/>
      <c r="L65" s="1665"/>
      <c r="M65" s="1665"/>
      <c r="N65" s="1665"/>
      <c r="O65" s="1665"/>
      <c r="P65" s="1665"/>
      <c r="Q65" s="1665"/>
      <c r="R65" s="1665"/>
      <c r="S65" s="1665"/>
      <c r="T65" s="1665"/>
      <c r="U65" s="1665"/>
      <c r="V65" s="1665"/>
      <c r="W65" s="1665"/>
      <c r="Y65" s="1184"/>
      <c r="Z65" s="1660"/>
      <c r="AA65" s="1660"/>
      <c r="AB65" s="1184"/>
      <c r="AC65" s="1184"/>
      <c r="AD65" s="1184"/>
      <c r="AE65" s="1184"/>
      <c r="AF65" s="1660"/>
      <c r="AG65" s="1184"/>
      <c r="AH65" s="1184"/>
      <c r="AI65" s="568"/>
      <c r="AJ65" s="1184"/>
      <c r="AK65" s="1184"/>
      <c r="AL65" s="1184"/>
      <c r="AM65" s="1184"/>
      <c r="AN65" s="1184"/>
      <c r="AO65" s="1656"/>
      <c r="AP65" s="590"/>
      <c r="AQ65" s="590"/>
      <c r="AR65" s="590"/>
      <c r="AS65" s="590"/>
      <c r="AT65" s="1665">
        <v>11</v>
      </c>
    </row>
    <row s="1665" customFormat="1" customHeight="1" ht="11.549999999999999">
      <c r="A66" s="1011"/>
      <c r="B66" s="1660"/>
      <c r="C66" s="1660"/>
      <c r="D66" s="375"/>
      <c r="J66" s="1665"/>
      <c r="K66" s="1665"/>
      <c r="L66" s="1665"/>
      <c r="M66" s="1665"/>
      <c r="N66" s="1665"/>
      <c r="O66" s="1665"/>
      <c r="P66" s="1665"/>
      <c r="Q66" s="1665"/>
      <c r="R66" s="1665"/>
      <c r="S66" s="1665"/>
      <c r="T66" s="1665"/>
      <c r="U66" s="1665"/>
      <c r="V66" s="1665"/>
      <c r="W66" s="1665"/>
      <c r="Y66" s="1184"/>
      <c r="Z66" s="1660"/>
      <c r="AA66" s="1660"/>
      <c r="AB66" s="1184"/>
      <c r="AC66" s="1184"/>
      <c r="AD66" s="1184"/>
      <c r="AE66" s="1184"/>
      <c r="AF66" s="1660"/>
      <c r="AG66" s="1184"/>
      <c r="AH66" s="1184"/>
      <c r="AI66" s="568"/>
      <c r="AJ66" s="1184"/>
      <c r="AK66" s="1184"/>
      <c r="AL66" s="1184"/>
      <c r="AM66" s="1184"/>
      <c r="AN66" s="1184"/>
      <c r="AO66" s="1656"/>
      <c r="AP66" s="590"/>
      <c r="AQ66" s="590"/>
      <c r="AR66" s="590"/>
      <c r="AS66" s="590"/>
      <c r="AT66" s="1665">
        <v>11</v>
      </c>
    </row>
    <row s="1665" customFormat="1" customHeight="1" ht="11.549999999999999">
      <c r="A67" s="1011"/>
      <c r="B67" s="1660"/>
      <c r="C67" s="1660"/>
      <c r="D67" s="375"/>
      <c r="J67" s="1665"/>
      <c r="K67" s="1665"/>
      <c r="L67" s="1665"/>
      <c r="M67" s="1665"/>
      <c r="N67" s="1665"/>
      <c r="O67" s="1665"/>
      <c r="P67" s="1665"/>
      <c r="Q67" s="1665"/>
      <c r="R67" s="1665"/>
      <c r="S67" s="1665"/>
      <c r="T67" s="1665"/>
      <c r="U67" s="1665"/>
      <c r="V67" s="1665"/>
      <c r="W67" s="1665"/>
      <c r="Y67" s="1184"/>
      <c r="Z67" s="1660"/>
      <c r="AA67" s="1660"/>
      <c r="AB67" s="1184"/>
      <c r="AC67" s="1184"/>
      <c r="AD67" s="1184"/>
      <c r="AE67" s="1184"/>
      <c r="AF67" s="1660"/>
      <c r="AG67" s="1184"/>
      <c r="AH67" s="1184"/>
      <c r="AI67" s="568"/>
      <c r="AJ67" s="1184"/>
      <c r="AK67" s="1184"/>
      <c r="AL67" s="1184"/>
      <c r="AM67" s="1184"/>
      <c r="AN67" s="1184"/>
      <c r="AO67" s="1656"/>
      <c r="AP67" s="590"/>
      <c r="AQ67" s="590"/>
      <c r="AR67" s="590"/>
      <c r="AS67" s="590"/>
      <c r="AT67" s="1665">
        <v>11</v>
      </c>
    </row>
    <row s="1665" customFormat="1" customHeight="1" ht="11.549999999999999">
      <c r="A68" s="1011"/>
      <c r="B68" s="1660"/>
      <c r="C68" s="1660"/>
      <c r="D68" s="375"/>
      <c r="J68" s="1665"/>
      <c r="K68" s="1665"/>
      <c r="L68" s="1665"/>
      <c r="M68" s="1665"/>
      <c r="N68" s="1665"/>
      <c r="O68" s="1665"/>
      <c r="P68" s="1665"/>
      <c r="Q68" s="1665"/>
      <c r="R68" s="1665"/>
      <c r="S68" s="1665"/>
      <c r="T68" s="1665"/>
      <c r="U68" s="1665"/>
      <c r="V68" s="1665"/>
      <c r="W68" s="1665"/>
      <c r="Y68" s="1184"/>
      <c r="Z68" s="1660"/>
      <c r="AA68" s="1660"/>
      <c r="AB68" s="1184"/>
      <c r="AC68" s="1184"/>
      <c r="AD68" s="1184"/>
      <c r="AE68" s="1184"/>
      <c r="AF68" s="1660"/>
      <c r="AG68" s="1184"/>
      <c r="AH68" s="1184"/>
      <c r="AI68" s="568"/>
      <c r="AJ68" s="1184"/>
      <c r="AK68" s="1184"/>
      <c r="AL68" s="1184"/>
      <c r="AM68" s="1184"/>
      <c r="AN68" s="1184"/>
      <c r="AO68" s="1656"/>
      <c r="AP68" s="590"/>
      <c r="AQ68" s="590"/>
      <c r="AR68" s="590"/>
      <c r="AS68" s="590"/>
      <c r="AT68" s="1665">
        <v>11</v>
      </c>
    </row>
    <row s="1665" customFormat="1" customHeight="1" ht="11.549999999999999">
      <c r="A69" s="1011"/>
      <c r="B69" s="1660"/>
      <c r="C69" s="1660"/>
      <c r="D69" s="375"/>
      <c r="J69" s="1665"/>
      <c r="K69" s="1665"/>
      <c r="L69" s="1665"/>
      <c r="M69" s="1665"/>
      <c r="N69" s="1665"/>
      <c r="O69" s="1665"/>
      <c r="P69" s="1665"/>
      <c r="Q69" s="1665"/>
      <c r="R69" s="1665"/>
      <c r="S69" s="1665"/>
      <c r="T69" s="1665"/>
      <c r="U69" s="1665"/>
      <c r="V69" s="1665"/>
      <c r="W69" s="1665"/>
      <c r="Y69" s="1184"/>
      <c r="Z69" s="1660"/>
      <c r="AA69" s="1660"/>
      <c r="AB69" s="1184"/>
      <c r="AC69" s="1184"/>
      <c r="AD69" s="1184"/>
      <c r="AE69" s="1184"/>
      <c r="AF69" s="1660"/>
      <c r="AG69" s="1184"/>
      <c r="AH69" s="1184"/>
      <c r="AI69" s="568"/>
      <c r="AJ69" s="1184"/>
      <c r="AK69" s="1184"/>
      <c r="AL69" s="1184"/>
      <c r="AM69" s="1184"/>
      <c r="AN69" s="1184"/>
      <c r="AO69" s="1656"/>
      <c r="AP69" s="590"/>
      <c r="AQ69" s="590"/>
      <c r="AR69" s="590"/>
      <c r="AS69" s="590"/>
      <c r="AT69" s="1665">
        <v>11</v>
      </c>
    </row>
    <row s="1665" customFormat="1" customHeight="1" ht="11.549999999999999">
      <c r="A70" s="1011"/>
      <c r="B70" s="1660"/>
      <c r="C70" s="1660"/>
      <c r="D70" s="375"/>
      <c r="J70" s="1665"/>
      <c r="K70" s="1665"/>
      <c r="L70" s="1665"/>
      <c r="M70" s="1665"/>
      <c r="N70" s="1665"/>
      <c r="O70" s="1665"/>
      <c r="P70" s="1665"/>
      <c r="Q70" s="1665"/>
      <c r="R70" s="1665"/>
      <c r="S70" s="1665"/>
      <c r="T70" s="1665"/>
      <c r="U70" s="1665"/>
      <c r="V70" s="1665"/>
      <c r="W70" s="1665"/>
      <c r="Y70" s="1184"/>
      <c r="Z70" s="1660"/>
      <c r="AA70" s="1660"/>
      <c r="AB70" s="1184"/>
      <c r="AC70" s="1184"/>
      <c r="AD70" s="1184"/>
      <c r="AE70" s="1184"/>
      <c r="AF70" s="1660"/>
      <c r="AG70" s="1184"/>
      <c r="AH70" s="1184"/>
      <c r="AI70" s="568"/>
      <c r="AJ70" s="1184"/>
      <c r="AK70" s="1184"/>
      <c r="AL70" s="1184"/>
      <c r="AM70" s="1184"/>
      <c r="AN70" s="1184"/>
      <c r="AO70" s="1656"/>
      <c r="AP70" s="590"/>
      <c r="AQ70" s="590"/>
      <c r="AR70" s="590"/>
      <c r="AS70" s="590"/>
      <c r="AT70" s="1665">
        <v>11</v>
      </c>
    </row>
    <row s="1665" customFormat="1" customHeight="1" ht="11.549999999999999">
      <c r="A71" s="1011"/>
      <c r="B71" s="1660"/>
      <c r="C71" s="1660"/>
      <c r="D71" s="375"/>
      <c r="J71" s="1665"/>
      <c r="K71" s="1665"/>
      <c r="L71" s="1665"/>
      <c r="M71" s="1665"/>
      <c r="N71" s="1665"/>
      <c r="O71" s="1665"/>
      <c r="P71" s="1665"/>
      <c r="Q71" s="1665"/>
      <c r="R71" s="1665"/>
      <c r="S71" s="1665"/>
      <c r="T71" s="1665"/>
      <c r="U71" s="1665"/>
      <c r="V71" s="1665"/>
      <c r="W71" s="1665"/>
      <c r="Y71" s="1184"/>
      <c r="Z71" s="1660"/>
      <c r="AA71" s="1660"/>
      <c r="AB71" s="1184"/>
      <c r="AC71" s="1184"/>
      <c r="AD71" s="1184"/>
      <c r="AE71" s="1184"/>
      <c r="AF71" s="1660"/>
      <c r="AG71" s="1184"/>
      <c r="AH71" s="1184"/>
      <c r="AI71" s="568"/>
      <c r="AJ71" s="1184"/>
      <c r="AK71" s="1184"/>
      <c r="AL71" s="1184"/>
      <c r="AM71" s="1184"/>
      <c r="AN71" s="1184"/>
      <c r="AO71" s="1656"/>
      <c r="AP71" s="590"/>
      <c r="AQ71" s="590"/>
      <c r="AR71" s="590"/>
      <c r="AS71" s="590"/>
      <c r="AT71" s="1665">
        <v>11</v>
      </c>
    </row>
    <row s="1665" customFormat="1" customHeight="1" ht="11.549999999999999">
      <c r="A72" s="1011"/>
      <c r="B72" s="1660"/>
      <c r="C72" s="1660"/>
      <c r="D72" s="375"/>
      <c r="J72" s="1665"/>
      <c r="K72" s="1665"/>
      <c r="L72" s="1665"/>
      <c r="M72" s="1665"/>
      <c r="N72" s="1665"/>
      <c r="O72" s="1665"/>
      <c r="P72" s="1665"/>
      <c r="Q72" s="1665"/>
      <c r="R72" s="1665"/>
      <c r="S72" s="1665"/>
      <c r="T72" s="1665"/>
      <c r="U72" s="1665"/>
      <c r="V72" s="1665"/>
      <c r="W72" s="1665"/>
      <c r="Y72" s="1184"/>
      <c r="Z72" s="1660"/>
      <c r="AA72" s="1660"/>
      <c r="AB72" s="1184"/>
      <c r="AC72" s="1184"/>
      <c r="AD72" s="1184"/>
      <c r="AE72" s="1184"/>
      <c r="AF72" s="1660"/>
      <c r="AG72" s="1184"/>
      <c r="AH72" s="1184"/>
      <c r="AI72" s="568"/>
      <c r="AJ72" s="1184"/>
      <c r="AK72" s="1184"/>
      <c r="AL72" s="1184"/>
      <c r="AM72" s="1184"/>
      <c r="AN72" s="1184"/>
      <c r="AO72" s="1656"/>
      <c r="AP72" s="590"/>
      <c r="AQ72" s="590"/>
      <c r="AR72" s="590"/>
      <c r="AS72" s="590"/>
      <c r="AT72" s="1665">
        <v>11</v>
      </c>
    </row>
    <row s="1665" customFormat="1" customHeight="1" ht="11.549999999999999">
      <c r="A73" s="1011"/>
      <c r="B73" s="1660"/>
      <c r="C73" s="1660"/>
      <c r="D73" s="375"/>
      <c r="J73" s="1665"/>
      <c r="K73" s="1665"/>
      <c r="L73" s="1665"/>
      <c r="M73" s="1665"/>
      <c r="N73" s="1665"/>
      <c r="O73" s="1665"/>
      <c r="P73" s="1665"/>
      <c r="Q73" s="1665"/>
      <c r="R73" s="1665"/>
      <c r="S73" s="1665"/>
      <c r="T73" s="1665"/>
      <c r="U73" s="1665"/>
      <c r="V73" s="1665"/>
      <c r="W73" s="1665"/>
      <c r="Y73" s="1184"/>
      <c r="Z73" s="1660"/>
      <c r="AA73" s="1660"/>
      <c r="AB73" s="1184"/>
      <c r="AC73" s="1184"/>
      <c r="AD73" s="1184"/>
      <c r="AE73" s="1184"/>
      <c r="AF73" s="1660"/>
      <c r="AG73" s="1184"/>
      <c r="AH73" s="1184"/>
      <c r="AI73" s="568"/>
      <c r="AJ73" s="1184"/>
      <c r="AK73" s="1184"/>
      <c r="AL73" s="1184"/>
      <c r="AM73" s="1184"/>
      <c r="AN73" s="1184"/>
      <c r="AO73" s="1656"/>
      <c r="AP73" s="590"/>
      <c r="AQ73" s="590"/>
      <c r="AR73" s="590"/>
      <c r="AS73" s="590"/>
      <c r="AT73" s="1665">
        <v>11</v>
      </c>
    </row>
    <row s="1665" customFormat="1" customHeight="1" ht="11.549999999999999">
      <c r="A74" s="1011"/>
      <c r="B74" s="1660"/>
      <c r="C74" s="1660"/>
      <c r="D74" s="375"/>
      <c r="J74" s="1665"/>
      <c r="K74" s="1665"/>
      <c r="L74" s="1665"/>
      <c r="M74" s="1665"/>
      <c r="N74" s="1665"/>
      <c r="O74" s="1665"/>
      <c r="P74" s="1665"/>
      <c r="Q74" s="1665"/>
      <c r="R74" s="1665"/>
      <c r="S74" s="1665"/>
      <c r="T74" s="1665"/>
      <c r="U74" s="1665"/>
      <c r="V74" s="1665"/>
      <c r="W74" s="1665"/>
      <c r="Y74" s="1184"/>
      <c r="Z74" s="1660"/>
      <c r="AA74" s="1660"/>
      <c r="AB74" s="1184"/>
      <c r="AC74" s="1184"/>
      <c r="AD74" s="1184"/>
      <c r="AE74" s="1184"/>
      <c r="AF74" s="1660"/>
      <c r="AG74" s="1184"/>
      <c r="AH74" s="1184"/>
      <c r="AI74" s="568"/>
      <c r="AJ74" s="1184"/>
      <c r="AK74" s="1184"/>
      <c r="AL74" s="1184"/>
      <c r="AM74" s="1184"/>
      <c r="AN74" s="1184"/>
      <c r="AO74" s="1656"/>
      <c r="AP74" s="590"/>
      <c r="AQ74" s="590"/>
      <c r="AR74" s="590"/>
      <c r="AS74" s="590"/>
      <c r="AT74" s="1665">
        <v>11</v>
      </c>
    </row>
    <row s="1665" customFormat="1" customHeight="1" ht="11.549999999999999">
      <c r="A75" s="1011"/>
      <c r="B75" s="1660"/>
      <c r="C75" s="1660"/>
      <c r="D75" s="375"/>
      <c r="J75" s="1665"/>
      <c r="K75" s="1665"/>
      <c r="L75" s="1665"/>
      <c r="M75" s="1665"/>
      <c r="N75" s="1665"/>
      <c r="O75" s="1665"/>
      <c r="P75" s="1665"/>
      <c r="Q75" s="1665"/>
      <c r="R75" s="1665"/>
      <c r="S75" s="1665"/>
      <c r="T75" s="1665"/>
      <c r="U75" s="1665"/>
      <c r="V75" s="1665"/>
      <c r="W75" s="1665"/>
      <c r="Y75" s="1184"/>
      <c r="Z75" s="1660"/>
      <c r="AA75" s="1660"/>
      <c r="AB75" s="1184"/>
      <c r="AC75" s="1184"/>
      <c r="AD75" s="1184"/>
      <c r="AE75" s="1184"/>
      <c r="AF75" s="1660"/>
      <c r="AG75" s="1184"/>
      <c r="AH75" s="1184"/>
      <c r="AI75" s="568"/>
      <c r="AJ75" s="1184"/>
      <c r="AK75" s="1184"/>
      <c r="AL75" s="1184"/>
      <c r="AM75" s="1184"/>
      <c r="AN75" s="1184"/>
      <c r="AO75" s="1656"/>
      <c r="AP75" s="590"/>
      <c r="AQ75" s="590"/>
      <c r="AR75" s="590"/>
      <c r="AS75" s="590"/>
      <c r="AT75" s="1665">
        <v>11</v>
      </c>
    </row>
    <row s="1665" customFormat="1" customHeight="1" ht="11.549999999999999">
      <c r="A76" s="1011"/>
      <c r="B76" s="1660"/>
      <c r="C76" s="1660"/>
      <c r="D76" s="375"/>
      <c r="J76" s="1665"/>
      <c r="K76" s="1665"/>
      <c r="L76" s="1665"/>
      <c r="M76" s="1665"/>
      <c r="N76" s="1665"/>
      <c r="O76" s="1665"/>
      <c r="P76" s="1665"/>
      <c r="Q76" s="1665"/>
      <c r="R76" s="1665"/>
      <c r="S76" s="1665"/>
      <c r="T76" s="1665"/>
      <c r="U76" s="1665"/>
      <c r="V76" s="1665"/>
      <c r="W76" s="1665"/>
      <c r="Y76" s="1184"/>
      <c r="Z76" s="1660"/>
      <c r="AA76" s="1660"/>
      <c r="AB76" s="1184"/>
      <c r="AC76" s="1184"/>
      <c r="AD76" s="1184"/>
      <c r="AE76" s="1184"/>
      <c r="AF76" s="1660"/>
      <c r="AG76" s="1184"/>
      <c r="AH76" s="1184"/>
      <c r="AI76" s="568"/>
      <c r="AJ76" s="1184"/>
      <c r="AK76" s="1184"/>
      <c r="AL76" s="1184"/>
      <c r="AM76" s="1184"/>
      <c r="AN76" s="1184"/>
      <c r="AO76" s="1656"/>
      <c r="AP76" s="590"/>
      <c r="AQ76" s="590"/>
      <c r="AR76" s="590"/>
      <c r="AS76" s="590"/>
      <c r="AT76" s="1665">
        <v>11</v>
      </c>
    </row>
    <row s="1665" customFormat="1" customHeight="1" ht="11.549999999999999">
      <c r="A77" s="1011"/>
      <c r="B77" s="1660"/>
      <c r="C77" s="1660"/>
      <c r="D77" s="375"/>
      <c r="J77" s="1665"/>
      <c r="K77" s="1665"/>
      <c r="L77" s="1665"/>
      <c r="M77" s="1665"/>
      <c r="N77" s="1665"/>
      <c r="O77" s="1665"/>
      <c r="P77" s="1665"/>
      <c r="Q77" s="1665"/>
      <c r="R77" s="1665"/>
      <c r="S77" s="1665"/>
      <c r="T77" s="1665"/>
      <c r="U77" s="1665"/>
      <c r="V77" s="1665"/>
      <c r="W77" s="1665"/>
      <c r="Y77" s="1184"/>
      <c r="Z77" s="1660"/>
      <c r="AA77" s="1660"/>
      <c r="AB77" s="1184"/>
      <c r="AC77" s="1184"/>
      <c r="AD77" s="1184"/>
      <c r="AE77" s="1184"/>
      <c r="AF77" s="1660"/>
      <c r="AG77" s="1184"/>
      <c r="AH77" s="1184"/>
      <c r="AI77" s="568"/>
      <c r="AJ77" s="1184"/>
      <c r="AK77" s="1184"/>
      <c r="AL77" s="1184"/>
      <c r="AM77" s="1184"/>
      <c r="AN77" s="1184"/>
      <c r="AO77" s="1656"/>
      <c r="AP77" s="590"/>
      <c r="AQ77" s="590"/>
      <c r="AR77" s="590"/>
      <c r="AS77" s="590"/>
      <c r="AT77" s="1665">
        <v>11</v>
      </c>
    </row>
    <row s="1665" customFormat="1" customHeight="1" ht="11.549999999999999">
      <c r="A78" s="1011"/>
      <c r="B78" s="1660"/>
      <c r="C78" s="1660"/>
      <c r="D78" s="375"/>
      <c r="J78" s="1665"/>
      <c r="K78" s="1665"/>
      <c r="L78" s="1665"/>
      <c r="M78" s="1665"/>
      <c r="N78" s="1665"/>
      <c r="O78" s="1665"/>
      <c r="P78" s="1665"/>
      <c r="Q78" s="1665"/>
      <c r="R78" s="1665"/>
      <c r="S78" s="1665"/>
      <c r="T78" s="1665"/>
      <c r="U78" s="1665"/>
      <c r="V78" s="1665"/>
      <c r="W78" s="1665"/>
      <c r="Y78" s="1184"/>
      <c r="Z78" s="1660"/>
      <c r="AA78" s="1660"/>
      <c r="AB78" s="1184"/>
      <c r="AC78" s="1184"/>
      <c r="AD78" s="1184"/>
      <c r="AE78" s="1184"/>
      <c r="AF78" s="1660"/>
      <c r="AG78" s="1184"/>
      <c r="AH78" s="1184"/>
      <c r="AI78" s="568"/>
      <c r="AJ78" s="1184"/>
      <c r="AK78" s="1184"/>
      <c r="AL78" s="1184"/>
      <c r="AM78" s="1184"/>
      <c r="AN78" s="1184"/>
      <c r="AO78" s="1656"/>
      <c r="AP78" s="590"/>
      <c r="AQ78" s="590"/>
      <c r="AR78" s="590"/>
      <c r="AS78" s="590"/>
      <c r="AT78" s="1665">
        <v>11</v>
      </c>
    </row>
    <row s="1665" customFormat="1" customHeight="1" ht="11.549999999999999">
      <c r="A79" s="1011"/>
      <c r="B79" s="1660"/>
      <c r="C79" s="1660"/>
      <c r="D79" s="375"/>
      <c r="J79" s="1665"/>
      <c r="K79" s="1665"/>
      <c r="L79" s="1665"/>
      <c r="M79" s="1665"/>
      <c r="N79" s="1665"/>
      <c r="O79" s="1665"/>
      <c r="P79" s="1665"/>
      <c r="Q79" s="1665"/>
      <c r="R79" s="1665"/>
      <c r="S79" s="1665"/>
      <c r="T79" s="1665"/>
      <c r="U79" s="1665"/>
      <c r="V79" s="1665"/>
      <c r="W79" s="1665"/>
      <c r="Y79" s="1184"/>
      <c r="Z79" s="1660"/>
      <c r="AA79" s="1660"/>
      <c r="AB79" s="1184"/>
      <c r="AC79" s="1184"/>
      <c r="AD79" s="1184"/>
      <c r="AE79" s="1184"/>
      <c r="AF79" s="1660"/>
      <c r="AG79" s="1184"/>
      <c r="AH79" s="1184"/>
      <c r="AI79" s="568"/>
      <c r="AJ79" s="1184"/>
      <c r="AK79" s="1184"/>
      <c r="AL79" s="1184"/>
      <c r="AM79" s="1184"/>
      <c r="AN79" s="1184"/>
      <c r="AO79" s="1656"/>
      <c r="AP79" s="590"/>
      <c r="AQ79" s="590"/>
      <c r="AR79" s="590"/>
      <c r="AS79" s="590"/>
      <c r="AT79" s="1665">
        <v>11</v>
      </c>
    </row>
    <row s="1665" customFormat="1" customHeight="1" ht="11.549999999999999">
      <c r="A80" s="1011"/>
      <c r="B80" s="1660"/>
      <c r="C80" s="1660"/>
      <c r="D80" s="375"/>
      <c r="J80" s="1665"/>
      <c r="K80" s="1665"/>
      <c r="L80" s="1665"/>
      <c r="M80" s="1665"/>
      <c r="N80" s="1665"/>
      <c r="O80" s="1665"/>
      <c r="P80" s="1665"/>
      <c r="Q80" s="1665"/>
      <c r="R80" s="1665"/>
      <c r="S80" s="1665"/>
      <c r="T80" s="1665"/>
      <c r="U80" s="1665"/>
      <c r="V80" s="1665"/>
      <c r="W80" s="1665"/>
      <c r="Y80" s="1184"/>
      <c r="Z80" s="1660"/>
      <c r="AA80" s="1660"/>
      <c r="AB80" s="1184"/>
      <c r="AC80" s="1184"/>
      <c r="AD80" s="1184"/>
      <c r="AE80" s="1184"/>
      <c r="AF80" s="1660"/>
      <c r="AG80" s="1184"/>
      <c r="AH80" s="1184"/>
      <c r="AI80" s="568"/>
      <c r="AJ80" s="1184"/>
      <c r="AK80" s="1184"/>
      <c r="AL80" s="1184"/>
      <c r="AM80" s="1184"/>
      <c r="AN80" s="1184"/>
      <c r="AO80" s="1656"/>
      <c r="AP80" s="590"/>
      <c r="AQ80" s="590"/>
      <c r="AR80" s="590"/>
      <c r="AS80" s="590"/>
      <c r="AT80" s="1665">
        <v>11</v>
      </c>
    </row>
    <row s="1665" customFormat="1" customHeight="1" ht="11.549999999999999">
      <c r="A81" s="1011"/>
      <c r="B81" s="1660"/>
      <c r="C81" s="1660"/>
      <c r="D81" s="375"/>
      <c r="J81" s="1665"/>
      <c r="K81" s="1665"/>
      <c r="L81" s="1665"/>
      <c r="M81" s="1665"/>
      <c r="N81" s="1665"/>
      <c r="O81" s="1665"/>
      <c r="P81" s="1665"/>
      <c r="Q81" s="1665"/>
      <c r="R81" s="1665"/>
      <c r="S81" s="1665"/>
      <c r="T81" s="1665"/>
      <c r="U81" s="1665"/>
      <c r="V81" s="1665"/>
      <c r="W81" s="1665"/>
      <c r="Y81" s="1184"/>
      <c r="Z81" s="1660"/>
      <c r="AA81" s="1660"/>
      <c r="AB81" s="1184"/>
      <c r="AC81" s="1184"/>
      <c r="AD81" s="1184"/>
      <c r="AE81" s="1184"/>
      <c r="AF81" s="1660"/>
      <c r="AG81" s="1184"/>
      <c r="AH81" s="1184"/>
      <c r="AI81" s="568"/>
      <c r="AJ81" s="1184"/>
      <c r="AK81" s="1184"/>
      <c r="AL81" s="1184"/>
      <c r="AM81" s="1184"/>
      <c r="AN81" s="1184"/>
      <c r="AO81" s="1656"/>
      <c r="AP81" s="590"/>
      <c r="AQ81" s="590"/>
      <c r="AR81" s="590"/>
      <c r="AS81" s="590"/>
      <c r="AT81" s="1665">
        <v>11</v>
      </c>
    </row>
    <row s="1665" customFormat="1" customHeight="1" ht="11.549999999999999">
      <c r="A82" s="1011"/>
      <c r="B82" s="1660"/>
      <c r="C82" s="1660"/>
      <c r="D82" s="375"/>
      <c r="J82" s="1665"/>
      <c r="K82" s="1665"/>
      <c r="L82" s="1665"/>
      <c r="M82" s="1665"/>
      <c r="N82" s="1665"/>
      <c r="O82" s="1665"/>
      <c r="P82" s="1665"/>
      <c r="Q82" s="1665"/>
      <c r="R82" s="1665"/>
      <c r="S82" s="1665"/>
      <c r="T82" s="1665"/>
      <c r="U82" s="1665"/>
      <c r="V82" s="1665"/>
      <c r="W82" s="1665"/>
      <c r="Y82" s="1184"/>
      <c r="Z82" s="1660"/>
      <c r="AA82" s="1660"/>
      <c r="AB82" s="1184"/>
      <c r="AC82" s="1184"/>
      <c r="AD82" s="1184"/>
      <c r="AE82" s="1184"/>
      <c r="AF82" s="1660"/>
      <c r="AG82" s="1184"/>
      <c r="AH82" s="1184"/>
      <c r="AI82" s="568"/>
      <c r="AJ82" s="1184"/>
      <c r="AK82" s="1184"/>
      <c r="AL82" s="1184"/>
      <c r="AM82" s="1184"/>
      <c r="AN82" s="1184"/>
      <c r="AO82" s="1656"/>
      <c r="AP82" s="590"/>
      <c r="AQ82" s="590"/>
      <c r="AR82" s="590"/>
      <c r="AS82" s="590"/>
      <c r="AT82" s="1665">
        <v>11</v>
      </c>
    </row>
    <row s="1665" customFormat="1" customHeight="1" ht="11.549999999999999">
      <c r="A83" s="1011"/>
      <c r="B83" s="1660"/>
      <c r="C83" s="1660"/>
      <c r="D83" s="375"/>
      <c r="J83" s="1665"/>
      <c r="K83" s="1665"/>
      <c r="L83" s="1665"/>
      <c r="M83" s="1665"/>
      <c r="N83" s="1665"/>
      <c r="O83" s="1665"/>
      <c r="P83" s="1665"/>
      <c r="Q83" s="1665"/>
      <c r="R83" s="1665"/>
      <c r="S83" s="1665"/>
      <c r="T83" s="1665"/>
      <c r="U83" s="1665"/>
      <c r="V83" s="1665"/>
      <c r="W83" s="1665"/>
      <c r="Y83" s="1184"/>
      <c r="Z83" s="1660"/>
      <c r="AA83" s="1660"/>
      <c r="AB83" s="1184"/>
      <c r="AC83" s="1184"/>
      <c r="AD83" s="1184"/>
      <c r="AE83" s="1184"/>
      <c r="AF83" s="1660"/>
      <c r="AG83" s="1184"/>
      <c r="AH83" s="1184"/>
      <c r="AI83" s="568"/>
      <c r="AJ83" s="1184"/>
      <c r="AK83" s="1184"/>
      <c r="AL83" s="1184"/>
      <c r="AM83" s="1184"/>
      <c r="AN83" s="1184"/>
      <c r="AO83" s="1656"/>
      <c r="AP83" s="590"/>
      <c r="AQ83" s="590"/>
      <c r="AR83" s="590"/>
      <c r="AS83" s="590"/>
      <c r="AT83" s="1665">
        <v>11</v>
      </c>
    </row>
    <row s="1665" customFormat="1" customHeight="1" ht="11.549999999999999">
      <c r="A84" s="1011"/>
      <c r="B84" s="1660"/>
      <c r="C84" s="1660"/>
      <c r="D84" s="375"/>
      <c r="J84" s="1665"/>
      <c r="K84" s="1665"/>
      <c r="L84" s="1665"/>
      <c r="M84" s="1665"/>
      <c r="N84" s="1665"/>
      <c r="O84" s="1665"/>
      <c r="P84" s="1665"/>
      <c r="Q84" s="1665"/>
      <c r="R84" s="1665"/>
      <c r="S84" s="1665"/>
      <c r="T84" s="1665"/>
      <c r="U84" s="1665"/>
      <c r="V84" s="1665"/>
      <c r="W84" s="1665"/>
      <c r="Y84" s="1184"/>
      <c r="Z84" s="1660"/>
      <c r="AA84" s="1660"/>
      <c r="AB84" s="1184"/>
      <c r="AC84" s="1184"/>
      <c r="AD84" s="1184"/>
      <c r="AE84" s="1184"/>
      <c r="AF84" s="1660"/>
      <c r="AG84" s="1184"/>
      <c r="AH84" s="1184"/>
      <c r="AI84" s="568"/>
      <c r="AJ84" s="1184"/>
      <c r="AK84" s="1184"/>
      <c r="AL84" s="1184"/>
      <c r="AM84" s="1184"/>
      <c r="AN84" s="1184"/>
      <c r="AO84" s="1656"/>
      <c r="AP84" s="590"/>
      <c r="AQ84" s="590"/>
      <c r="AR84" s="590"/>
      <c r="AS84" s="590"/>
      <c r="AT84" s="1665">
        <v>11</v>
      </c>
    </row>
    <row s="1665" customFormat="1" customHeight="1" ht="11.549999999999999">
      <c r="A85" s="1011"/>
      <c r="B85" s="1660"/>
      <c r="C85" s="1660"/>
      <c r="D85" s="375"/>
      <c r="J85" s="1665"/>
      <c r="K85" s="1665"/>
      <c r="L85" s="1665"/>
      <c r="M85" s="1665"/>
      <c r="N85" s="1665"/>
      <c r="O85" s="1665"/>
      <c r="P85" s="1665"/>
      <c r="Q85" s="1665"/>
      <c r="R85" s="1665"/>
      <c r="S85" s="1665"/>
      <c r="T85" s="1665"/>
      <c r="U85" s="1665"/>
      <c r="V85" s="1665"/>
      <c r="W85" s="1665"/>
      <c r="Y85" s="1184"/>
      <c r="Z85" s="1660"/>
      <c r="AA85" s="1660"/>
      <c r="AB85" s="1184"/>
      <c r="AC85" s="1184"/>
      <c r="AD85" s="1184"/>
      <c r="AE85" s="1184"/>
      <c r="AF85" s="1660"/>
      <c r="AG85" s="1184"/>
      <c r="AH85" s="1184"/>
      <c r="AI85" s="568"/>
      <c r="AJ85" s="1184"/>
      <c r="AK85" s="1184"/>
      <c r="AL85" s="1184"/>
      <c r="AM85" s="1184"/>
      <c r="AN85" s="1184"/>
      <c r="AO85" s="1656"/>
      <c r="AP85" s="590"/>
      <c r="AQ85" s="590"/>
      <c r="AR85" s="590"/>
      <c r="AS85" s="590"/>
      <c r="AT85" s="1665">
        <v>11</v>
      </c>
    </row>
    <row s="1665" customFormat="1" customHeight="1" ht="11.549999999999999">
      <c r="A86" s="1011"/>
      <c r="B86" s="1660"/>
      <c r="C86" s="1660"/>
      <c r="D86" s="375"/>
      <c r="J86" s="1665"/>
      <c r="K86" s="1665"/>
      <c r="L86" s="1665"/>
      <c r="M86" s="1665"/>
      <c r="N86" s="1665"/>
      <c r="O86" s="1665"/>
      <c r="P86" s="1665"/>
      <c r="Q86" s="1665"/>
      <c r="R86" s="1665"/>
      <c r="S86" s="1665"/>
      <c r="T86" s="1665"/>
      <c r="U86" s="1665"/>
      <c r="V86" s="1665"/>
      <c r="W86" s="1665"/>
      <c r="Y86" s="1184"/>
      <c r="Z86" s="1660"/>
      <c r="AA86" s="1660"/>
      <c r="AB86" s="1184"/>
      <c r="AC86" s="1184"/>
      <c r="AD86" s="1184"/>
      <c r="AE86" s="1184"/>
      <c r="AF86" s="1660"/>
      <c r="AG86" s="1184"/>
      <c r="AH86" s="1184"/>
      <c r="AI86" s="568"/>
      <c r="AJ86" s="1184"/>
      <c r="AK86" s="1184"/>
      <c r="AL86" s="1184"/>
      <c r="AM86" s="1184"/>
      <c r="AN86" s="1184"/>
      <c r="AO86" s="1656"/>
      <c r="AP86" s="590"/>
      <c r="AQ86" s="590"/>
      <c r="AR86" s="590"/>
      <c r="AS86" s="590"/>
      <c r="AT86" s="1665">
        <v>11</v>
      </c>
    </row>
    <row s="1665" customFormat="1" customHeight="1" ht="11.549999999999999">
      <c r="A87" s="1011"/>
      <c r="B87" s="1660"/>
      <c r="C87" s="1660"/>
      <c r="D87" s="375"/>
      <c r="J87" s="1665"/>
      <c r="K87" s="1665"/>
      <c r="L87" s="1665"/>
      <c r="M87" s="1665"/>
      <c r="N87" s="1665"/>
      <c r="O87" s="1665"/>
      <c r="P87" s="1665"/>
      <c r="Q87" s="1665"/>
      <c r="R87" s="1665"/>
      <c r="S87" s="1665"/>
      <c r="T87" s="1665"/>
      <c r="U87" s="1665"/>
      <c r="V87" s="1665"/>
      <c r="W87" s="1665"/>
      <c r="Y87" s="1184"/>
      <c r="Z87" s="1660"/>
      <c r="AA87" s="1660"/>
      <c r="AB87" s="1184"/>
      <c r="AC87" s="1184"/>
      <c r="AD87" s="1184"/>
      <c r="AE87" s="1184"/>
      <c r="AF87" s="1660"/>
      <c r="AG87" s="1184"/>
      <c r="AH87" s="1184"/>
      <c r="AI87" s="568"/>
      <c r="AJ87" s="1184"/>
      <c r="AK87" s="1184"/>
      <c r="AL87" s="1184"/>
      <c r="AM87" s="1184"/>
      <c r="AN87" s="1184"/>
      <c r="AO87" s="1656"/>
      <c r="AP87" s="590"/>
      <c r="AQ87" s="590"/>
      <c r="AR87" s="590"/>
      <c r="AS87" s="590"/>
      <c r="AT87" s="1665">
        <v>11</v>
      </c>
    </row>
    <row s="1665" customFormat="1" customHeight="1" ht="11.549999999999999">
      <c r="A88" s="1011"/>
      <c r="B88" s="1660"/>
      <c r="C88" s="1660"/>
      <c r="D88" s="375"/>
      <c r="J88" s="1665"/>
      <c r="K88" s="1665"/>
      <c r="L88" s="1665"/>
      <c r="M88" s="1665"/>
      <c r="N88" s="1665"/>
      <c r="O88" s="1665"/>
      <c r="P88" s="1665"/>
      <c r="Q88" s="1665"/>
      <c r="R88" s="1665"/>
      <c r="S88" s="1665"/>
      <c r="T88" s="1665"/>
      <c r="U88" s="1665"/>
      <c r="V88" s="1665"/>
      <c r="W88" s="1665"/>
      <c r="Y88" s="1184"/>
      <c r="Z88" s="1660"/>
      <c r="AA88" s="1660"/>
      <c r="AB88" s="1184"/>
      <c r="AC88" s="1184"/>
      <c r="AD88" s="1184"/>
      <c r="AE88" s="1184"/>
      <c r="AF88" s="1660"/>
      <c r="AG88" s="1184"/>
      <c r="AH88" s="1184"/>
      <c r="AI88" s="568"/>
      <c r="AJ88" s="1184"/>
      <c r="AK88" s="1184"/>
      <c r="AL88" s="1184"/>
      <c r="AM88" s="1184"/>
      <c r="AN88" s="1184"/>
      <c r="AO88" s="1656"/>
      <c r="AP88" s="590"/>
      <c r="AQ88" s="590"/>
      <c r="AR88" s="590"/>
      <c r="AS88" s="590"/>
      <c r="AT88" s="1665">
        <v>11</v>
      </c>
    </row>
    <row s="1665" customFormat="1" customHeight="1" ht="11.549999999999999">
      <c r="A89" s="1011"/>
      <c r="B89" s="1660"/>
      <c r="C89" s="1660"/>
      <c r="D89" s="375"/>
      <c r="J89" s="1665"/>
      <c r="K89" s="1665"/>
      <c r="L89" s="1665"/>
      <c r="M89" s="1665"/>
      <c r="N89" s="1665"/>
      <c r="O89" s="1665"/>
      <c r="P89" s="1665"/>
      <c r="Q89" s="1665"/>
      <c r="R89" s="1665"/>
      <c r="S89" s="1665"/>
      <c r="T89" s="1665"/>
      <c r="U89" s="1665"/>
      <c r="V89" s="1665"/>
      <c r="W89" s="1665"/>
      <c r="Y89" s="1184"/>
      <c r="Z89" s="1660"/>
      <c r="AA89" s="1660"/>
      <c r="AB89" s="1184"/>
      <c r="AC89" s="1184"/>
      <c r="AD89" s="1184"/>
      <c r="AE89" s="1184"/>
      <c r="AF89" s="1660"/>
      <c r="AG89" s="1184"/>
      <c r="AH89" s="1184"/>
      <c r="AI89" s="568"/>
      <c r="AJ89" s="1184"/>
      <c r="AK89" s="1184"/>
      <c r="AL89" s="1184"/>
      <c r="AM89" s="1184"/>
      <c r="AN89" s="1184"/>
      <c r="AO89" s="1656"/>
      <c r="AP89" s="590"/>
      <c r="AQ89" s="590"/>
      <c r="AR89" s="590"/>
      <c r="AS89" s="590"/>
      <c r="AT89" s="1665">
        <v>11</v>
      </c>
    </row>
    <row s="1665" customFormat="1" customHeight="1" ht="11.549999999999999">
      <c r="A90" s="1011"/>
      <c r="B90" s="1660"/>
      <c r="C90" s="1660"/>
      <c r="D90" s="375"/>
      <c r="J90" s="1665"/>
      <c r="K90" s="1665"/>
      <c r="L90" s="1665"/>
      <c r="M90" s="1665"/>
      <c r="N90" s="1665"/>
      <c r="O90" s="1665"/>
      <c r="P90" s="1665"/>
      <c r="Q90" s="1665"/>
      <c r="R90" s="1665"/>
      <c r="S90" s="1665"/>
      <c r="T90" s="1665"/>
      <c r="U90" s="1665"/>
      <c r="V90" s="1665"/>
      <c r="W90" s="1665"/>
      <c r="Y90" s="1184"/>
      <c r="Z90" s="1660"/>
      <c r="AA90" s="1660"/>
      <c r="AB90" s="1184"/>
      <c r="AC90" s="1184"/>
      <c r="AD90" s="1184"/>
      <c r="AE90" s="1184"/>
      <c r="AF90" s="1660"/>
      <c r="AG90" s="1184"/>
      <c r="AH90" s="1184"/>
      <c r="AI90" s="568"/>
      <c r="AJ90" s="1184"/>
      <c r="AK90" s="1184"/>
      <c r="AL90" s="1184"/>
      <c r="AM90" s="1184"/>
      <c r="AN90" s="1184"/>
      <c r="AO90" s="1656"/>
      <c r="AP90" s="590"/>
      <c r="AQ90" s="590"/>
      <c r="AR90" s="590"/>
      <c r="AS90" s="590"/>
      <c r="AT90" s="1665">
        <v>11</v>
      </c>
    </row>
    <row s="1665" customFormat="1" customHeight="1" ht="11.549999999999999">
      <c r="A91" s="1011"/>
      <c r="B91" s="1660"/>
      <c r="C91" s="1660"/>
      <c r="D91" s="375"/>
      <c r="J91" s="1665"/>
      <c r="K91" s="1665"/>
      <c r="L91" s="1665"/>
      <c r="M91" s="1665"/>
      <c r="N91" s="1665"/>
      <c r="O91" s="1665"/>
      <c r="P91" s="1665"/>
      <c r="Q91" s="1665"/>
      <c r="R91" s="1665"/>
      <c r="S91" s="1665"/>
      <c r="T91" s="1665"/>
      <c r="U91" s="1665"/>
      <c r="V91" s="1665"/>
      <c r="W91" s="1665"/>
      <c r="Y91" s="1184"/>
      <c r="Z91" s="1660"/>
      <c r="AA91" s="1660"/>
      <c r="AB91" s="1184"/>
      <c r="AC91" s="1184"/>
      <c r="AD91" s="1184"/>
      <c r="AE91" s="1184"/>
      <c r="AF91" s="1660"/>
      <c r="AG91" s="1184"/>
      <c r="AH91" s="1184"/>
      <c r="AI91" s="568"/>
      <c r="AJ91" s="1184"/>
      <c r="AK91" s="1184"/>
      <c r="AL91" s="1184"/>
      <c r="AM91" s="1184"/>
      <c r="AN91" s="1184"/>
      <c r="AO91" s="1656"/>
      <c r="AP91" s="590"/>
      <c r="AQ91" s="590"/>
      <c r="AR91" s="590"/>
      <c r="AS91" s="590"/>
      <c r="AT91" s="1665">
        <v>11</v>
      </c>
    </row>
    <row s="1665" customFormat="1" customHeight="1" ht="11.549999999999999">
      <c r="A92" s="1011"/>
      <c r="B92" s="1660"/>
      <c r="C92" s="1660"/>
      <c r="D92" s="375"/>
      <c r="J92" s="1665"/>
      <c r="K92" s="1665"/>
      <c r="L92" s="1665"/>
      <c r="M92" s="1665"/>
      <c r="N92" s="1665"/>
      <c r="O92" s="1665"/>
      <c r="P92" s="1665"/>
      <c r="Q92" s="1665"/>
      <c r="R92" s="1665"/>
      <c r="S92" s="1665"/>
      <c r="T92" s="1665"/>
      <c r="U92" s="1665"/>
      <c r="V92" s="1665"/>
      <c r="W92" s="1665"/>
      <c r="Y92" s="1184"/>
      <c r="Z92" s="1660"/>
      <c r="AA92" s="1660"/>
      <c r="AB92" s="1184"/>
      <c r="AC92" s="1184"/>
      <c r="AD92" s="1184"/>
      <c r="AE92" s="1184"/>
      <c r="AF92" s="1660"/>
      <c r="AG92" s="1184"/>
      <c r="AH92" s="1184"/>
      <c r="AI92" s="568"/>
      <c r="AJ92" s="1184"/>
      <c r="AK92" s="1184"/>
      <c r="AL92" s="1184"/>
      <c r="AM92" s="1184"/>
      <c r="AN92" s="1184"/>
      <c r="AO92" s="1656"/>
      <c r="AP92" s="590"/>
      <c r="AQ92" s="590"/>
      <c r="AR92" s="590"/>
      <c r="AS92" s="590"/>
      <c r="AT92" s="1665">
        <v>11</v>
      </c>
    </row>
    <row s="1665" customFormat="1" customHeight="1" ht="11.549999999999999">
      <c r="A93" s="1011"/>
      <c r="B93" s="1660"/>
      <c r="C93" s="1660"/>
      <c r="D93" s="375"/>
      <c r="J93" s="1665"/>
      <c r="K93" s="1665"/>
      <c r="L93" s="1665"/>
      <c r="M93" s="1665"/>
      <c r="N93" s="1665"/>
      <c r="O93" s="1665"/>
      <c r="P93" s="1665"/>
      <c r="Q93" s="1665"/>
      <c r="R93" s="1665"/>
      <c r="S93" s="1665"/>
      <c r="T93" s="1665"/>
      <c r="U93" s="1665"/>
      <c r="V93" s="1665"/>
      <c r="W93" s="1665"/>
      <c r="Y93" s="1184"/>
      <c r="Z93" s="1660"/>
      <c r="AA93" s="1660"/>
      <c r="AB93" s="1184"/>
      <c r="AC93" s="1184"/>
      <c r="AD93" s="1184"/>
      <c r="AE93" s="1184"/>
      <c r="AF93" s="1660"/>
      <c r="AG93" s="1184"/>
      <c r="AH93" s="1184"/>
      <c r="AI93" s="568"/>
      <c r="AJ93" s="1184"/>
      <c r="AK93" s="1184"/>
      <c r="AL93" s="1184"/>
      <c r="AM93" s="1184"/>
      <c r="AN93" s="1184"/>
      <c r="AO93" s="1656"/>
      <c r="AP93" s="590"/>
      <c r="AQ93" s="590"/>
      <c r="AR93" s="590"/>
      <c r="AS93" s="590"/>
      <c r="AT93" s="1665">
        <v>11</v>
      </c>
    </row>
    <row s="1665" customFormat="1" customHeight="1" ht="11.549999999999999">
      <c r="A94" s="1011"/>
      <c r="B94" s="1660"/>
      <c r="C94" s="1660"/>
      <c r="D94" s="375"/>
      <c r="J94" s="1665"/>
      <c r="K94" s="1665"/>
      <c r="L94" s="1665"/>
      <c r="M94" s="1665"/>
      <c r="N94" s="1665"/>
      <c r="O94" s="1665"/>
      <c r="P94" s="1665"/>
      <c r="Q94" s="1665"/>
      <c r="R94" s="1665"/>
      <c r="S94" s="1665"/>
      <c r="T94" s="1665"/>
      <c r="U94" s="1665"/>
      <c r="V94" s="1665"/>
      <c r="W94" s="1665"/>
      <c r="Y94" s="1184"/>
      <c r="Z94" s="1660"/>
      <c r="AA94" s="1660"/>
      <c r="AB94" s="1184"/>
      <c r="AC94" s="1184"/>
      <c r="AD94" s="1184"/>
      <c r="AE94" s="1184"/>
      <c r="AF94" s="1660"/>
      <c r="AG94" s="1184"/>
      <c r="AH94" s="1184"/>
      <c r="AI94" s="568"/>
      <c r="AJ94" s="1184"/>
      <c r="AK94" s="1184"/>
      <c r="AL94" s="1184"/>
      <c r="AM94" s="1184"/>
      <c r="AN94" s="1184"/>
      <c r="AO94" s="1656"/>
      <c r="AP94" s="590"/>
      <c r="AQ94" s="590"/>
      <c r="AR94" s="590"/>
      <c r="AS94" s="590"/>
      <c r="AT94" s="1665">
        <v>11</v>
      </c>
    </row>
    <row s="1665" customFormat="1" customHeight="1" ht="11.549999999999999">
      <c r="A95" s="1011"/>
      <c r="B95" s="1660"/>
      <c r="C95" s="1660"/>
      <c r="D95" s="375"/>
      <c r="J95" s="1665"/>
      <c r="K95" s="1665"/>
      <c r="L95" s="1665"/>
      <c r="M95" s="1665"/>
      <c r="N95" s="1665"/>
      <c r="O95" s="1665"/>
      <c r="P95" s="1665"/>
      <c r="Q95" s="1665"/>
      <c r="R95" s="1665"/>
      <c r="S95" s="1665"/>
      <c r="T95" s="1665"/>
      <c r="U95" s="1665"/>
      <c r="V95" s="1665"/>
      <c r="W95" s="1665"/>
      <c r="Y95" s="1184"/>
      <c r="Z95" s="1660"/>
      <c r="AA95" s="1660"/>
      <c r="AB95" s="1184"/>
      <c r="AC95" s="1184"/>
      <c r="AD95" s="1184"/>
      <c r="AE95" s="1184"/>
      <c r="AF95" s="1660"/>
      <c r="AG95" s="1184"/>
      <c r="AH95" s="1184"/>
      <c r="AI95" s="568"/>
      <c r="AJ95" s="1184"/>
      <c r="AK95" s="1184"/>
      <c r="AL95" s="1184"/>
      <c r="AM95" s="1184"/>
      <c r="AN95" s="1184"/>
      <c r="AO95" s="1656"/>
      <c r="AP95" s="590"/>
      <c r="AQ95" s="590"/>
      <c r="AR95" s="590"/>
      <c r="AS95" s="590"/>
      <c r="AT95" s="1665">
        <v>11</v>
      </c>
    </row>
    <row s="1665" customFormat="1" customHeight="1" ht="11.549999999999999">
      <c r="A96" s="1011"/>
      <c r="B96" s="1660"/>
      <c r="C96" s="1660"/>
      <c r="D96" s="375"/>
      <c r="J96" s="1665"/>
      <c r="K96" s="1665"/>
      <c r="L96" s="1665"/>
      <c r="M96" s="1665"/>
      <c r="N96" s="1665"/>
      <c r="O96" s="1665"/>
      <c r="P96" s="1665"/>
      <c r="Q96" s="1665"/>
      <c r="R96" s="1665"/>
      <c r="S96" s="1665"/>
      <c r="T96" s="1665"/>
      <c r="U96" s="1665"/>
      <c r="V96" s="1665"/>
      <c r="W96" s="1665"/>
      <c r="Y96" s="1184"/>
      <c r="Z96" s="1660"/>
      <c r="AA96" s="1660"/>
      <c r="AB96" s="1184"/>
      <c r="AC96" s="1184"/>
      <c r="AD96" s="1184"/>
      <c r="AE96" s="1184"/>
      <c r="AF96" s="1660"/>
      <c r="AG96" s="1184"/>
      <c r="AH96" s="1184"/>
      <c r="AI96" s="568"/>
      <c r="AJ96" s="1184"/>
      <c r="AK96" s="1184"/>
      <c r="AL96" s="1184"/>
      <c r="AM96" s="1184"/>
      <c r="AN96" s="1184"/>
      <c r="AO96" s="1656"/>
      <c r="AP96" s="590"/>
      <c r="AQ96" s="590"/>
      <c r="AR96" s="590"/>
      <c r="AS96" s="590"/>
      <c r="AT96" s="1665">
        <v>11</v>
      </c>
    </row>
    <row s="1665" customFormat="1" customHeight="1" ht="11.549999999999999">
      <c r="A97" s="1011"/>
      <c r="B97" s="1660"/>
      <c r="C97" s="1660"/>
      <c r="D97" s="375"/>
      <c r="J97" s="1665"/>
      <c r="K97" s="1665"/>
      <c r="L97" s="1665"/>
      <c r="M97" s="1665"/>
      <c r="N97" s="1665"/>
      <c r="O97" s="1665"/>
      <c r="P97" s="1665"/>
      <c r="Q97" s="1665"/>
      <c r="R97" s="1665"/>
      <c r="S97" s="1665"/>
      <c r="T97" s="1665"/>
      <c r="U97" s="1665"/>
      <c r="V97" s="1665"/>
      <c r="W97" s="1665"/>
      <c r="Y97" s="1184"/>
      <c r="Z97" s="1660"/>
      <c r="AA97" s="1660"/>
      <c r="AB97" s="1184"/>
      <c r="AC97" s="1184"/>
      <c r="AD97" s="1184"/>
      <c r="AE97" s="1184"/>
      <c r="AF97" s="1660"/>
      <c r="AG97" s="1184"/>
      <c r="AH97" s="1184"/>
      <c r="AI97" s="568"/>
      <c r="AJ97" s="1184"/>
      <c r="AK97" s="1184"/>
      <c r="AL97" s="1184"/>
      <c r="AM97" s="1184"/>
      <c r="AN97" s="1184"/>
      <c r="AO97" s="1656"/>
      <c r="AP97" s="590"/>
      <c r="AQ97" s="590"/>
      <c r="AR97" s="590"/>
      <c r="AS97" s="590"/>
      <c r="AT97" s="1665">
        <v>11</v>
      </c>
    </row>
    <row s="1665" customFormat="1" customHeight="1" ht="11.549999999999999">
      <c r="A98" s="1011"/>
      <c r="B98" s="1660"/>
      <c r="C98" s="1660"/>
      <c r="D98" s="375"/>
      <c r="J98" s="1665"/>
      <c r="K98" s="1665"/>
      <c r="L98" s="1665"/>
      <c r="M98" s="1665"/>
      <c r="N98" s="1665"/>
      <c r="O98" s="1665"/>
      <c r="P98" s="1665"/>
      <c r="Q98" s="1665"/>
      <c r="R98" s="1665"/>
      <c r="S98" s="1665"/>
      <c r="T98" s="1665"/>
      <c r="U98" s="1665"/>
      <c r="V98" s="1665"/>
      <c r="W98" s="1665"/>
      <c r="Y98" s="1184"/>
      <c r="Z98" s="1660"/>
      <c r="AA98" s="1660"/>
      <c r="AB98" s="1184"/>
      <c r="AC98" s="1184"/>
      <c r="AD98" s="1184"/>
      <c r="AE98" s="1184"/>
      <c r="AF98" s="1660"/>
      <c r="AG98" s="1184"/>
      <c r="AH98" s="1184"/>
      <c r="AI98" s="568"/>
      <c r="AJ98" s="1184"/>
      <c r="AK98" s="1184"/>
      <c r="AL98" s="1184"/>
      <c r="AM98" s="1184"/>
      <c r="AN98" s="1184"/>
      <c r="AO98" s="1656"/>
      <c r="AP98" s="590"/>
      <c r="AQ98" s="590"/>
      <c r="AR98" s="590"/>
      <c r="AS98" s="590"/>
      <c r="AT98" s="1665">
        <v>11</v>
      </c>
    </row>
    <row s="1665" customFormat="1" customHeight="1" ht="11.549999999999999">
      <c r="A99" s="1011"/>
      <c r="B99" s="1660"/>
      <c r="C99" s="1660"/>
      <c r="D99" s="375"/>
      <c r="J99" s="1665"/>
      <c r="K99" s="1665"/>
      <c r="L99" s="1665"/>
      <c r="M99" s="1665"/>
      <c r="N99" s="1665"/>
      <c r="O99" s="1665"/>
      <c r="P99" s="1665"/>
      <c r="Q99" s="1665"/>
      <c r="R99" s="1665"/>
      <c r="S99" s="1665"/>
      <c r="T99" s="1665"/>
      <c r="U99" s="1665"/>
      <c r="V99" s="1665"/>
      <c r="W99" s="1665"/>
      <c r="Y99" s="1184"/>
      <c r="Z99" s="1660"/>
      <c r="AA99" s="1660"/>
      <c r="AB99" s="1184"/>
      <c r="AC99" s="1184"/>
      <c r="AD99" s="1184"/>
      <c r="AE99" s="1184"/>
      <c r="AF99" s="1660"/>
      <c r="AG99" s="1184"/>
      <c r="AH99" s="1184"/>
      <c r="AI99" s="568"/>
      <c r="AJ99" s="1184"/>
      <c r="AK99" s="1184"/>
      <c r="AL99" s="1184"/>
      <c r="AM99" s="1184"/>
      <c r="AN99" s="1184"/>
      <c r="AO99" s="1656"/>
      <c r="AP99" s="590"/>
      <c r="AQ99" s="590"/>
      <c r="AR99" s="590"/>
      <c r="AS99" s="590"/>
      <c r="AT99" s="1665">
        <v>11</v>
      </c>
    </row>
    <row s="1665" customFormat="1" customHeight="1" ht="11.549999999999999">
      <c r="A100" s="1011"/>
      <c r="B100" s="1660"/>
      <c r="C100" s="1660"/>
      <c r="D100" s="375"/>
      <c r="J100" s="1665"/>
      <c r="K100" s="1665"/>
      <c r="L100" s="1665"/>
      <c r="M100" s="1665"/>
      <c r="N100" s="1665"/>
      <c r="O100" s="1665"/>
      <c r="P100" s="1665"/>
      <c r="Q100" s="1665"/>
      <c r="R100" s="1665"/>
      <c r="S100" s="1665"/>
      <c r="T100" s="1665"/>
      <c r="U100" s="1665"/>
      <c r="V100" s="1665"/>
      <c r="W100" s="1665"/>
      <c r="Y100" s="1184"/>
      <c r="Z100" s="1660"/>
      <c r="AA100" s="1660"/>
      <c r="AB100" s="1184"/>
      <c r="AC100" s="1184"/>
      <c r="AD100" s="1184"/>
      <c r="AE100" s="1184"/>
      <c r="AF100" s="1660"/>
      <c r="AG100" s="1184"/>
      <c r="AH100" s="1184"/>
      <c r="AI100" s="568"/>
      <c r="AJ100" s="1184"/>
      <c r="AK100" s="1184"/>
      <c r="AL100" s="1184"/>
      <c r="AM100" s="1184"/>
      <c r="AN100" s="1184"/>
      <c r="AO100" s="1656"/>
      <c r="AP100" s="590"/>
      <c r="AQ100" s="590"/>
      <c r="AR100" s="590"/>
      <c r="AS100" s="590"/>
      <c r="AT100" s="1665">
        <v>11</v>
      </c>
    </row>
    <row s="1665" customFormat="1" customHeight="1" ht="11.549999999999999">
      <c r="A101" s="1011"/>
      <c r="B101" s="1660"/>
      <c r="C101" s="1660"/>
      <c r="D101" s="375"/>
      <c r="J101" s="1665"/>
      <c r="K101" s="1665"/>
      <c r="L101" s="1665"/>
      <c r="M101" s="1665"/>
      <c r="N101" s="1665"/>
      <c r="O101" s="1665"/>
      <c r="P101" s="1665"/>
      <c r="Q101" s="1665"/>
      <c r="R101" s="1665"/>
      <c r="S101" s="1665"/>
      <c r="T101" s="1665"/>
      <c r="U101" s="1665"/>
      <c r="V101" s="1665"/>
      <c r="W101" s="1665"/>
      <c r="Y101" s="1184"/>
      <c r="Z101" s="1660"/>
      <c r="AA101" s="1660"/>
      <c r="AB101" s="1184"/>
      <c r="AC101" s="1184"/>
      <c r="AD101" s="1184"/>
      <c r="AE101" s="1184"/>
      <c r="AF101" s="1660"/>
      <c r="AG101" s="1184"/>
      <c r="AH101" s="1184"/>
      <c r="AI101" s="568"/>
      <c r="AJ101" s="1184"/>
      <c r="AK101" s="1184"/>
      <c r="AL101" s="1184"/>
      <c r="AM101" s="1184"/>
      <c r="AN101" s="1184"/>
      <c r="AO101" s="1656"/>
      <c r="AP101" s="590"/>
      <c r="AQ101" s="590"/>
      <c r="AR101" s="590"/>
      <c r="AS101" s="590"/>
      <c r="AT101" s="1665">
        <v>11</v>
      </c>
    </row>
    <row s="1665" customFormat="1" customHeight="1" ht="11.549999999999999">
      <c r="A102" s="1011"/>
      <c r="B102" s="1660"/>
      <c r="C102" s="1660"/>
      <c r="D102" s="375"/>
      <c r="J102" s="1665"/>
      <c r="K102" s="1665"/>
      <c r="L102" s="1665"/>
      <c r="M102" s="1665"/>
      <c r="N102" s="1665"/>
      <c r="O102" s="1665"/>
      <c r="P102" s="1665"/>
      <c r="Q102" s="1665"/>
      <c r="R102" s="1665"/>
      <c r="S102" s="1665"/>
      <c r="T102" s="1665"/>
      <c r="U102" s="1665"/>
      <c r="V102" s="1665"/>
      <c r="W102" s="1665"/>
      <c r="Y102" s="1184"/>
      <c r="Z102" s="1660"/>
      <c r="AA102" s="1660"/>
      <c r="AB102" s="1184"/>
      <c r="AC102" s="1184"/>
      <c r="AD102" s="1184"/>
      <c r="AE102" s="1184"/>
      <c r="AF102" s="1660"/>
      <c r="AG102" s="1184"/>
      <c r="AH102" s="1184"/>
      <c r="AI102" s="568"/>
      <c r="AJ102" s="1184"/>
      <c r="AK102" s="1184"/>
      <c r="AL102" s="1184"/>
      <c r="AM102" s="1184"/>
      <c r="AN102" s="1184"/>
      <c r="AO102" s="1656"/>
      <c r="AP102" s="590"/>
      <c r="AQ102" s="590"/>
      <c r="AR102" s="590"/>
      <c r="AS102" s="590"/>
      <c r="AT102" s="1665">
        <v>11</v>
      </c>
    </row>
    <row s="1665" customFormat="1" customHeight="1" ht="11.549999999999999">
      <c r="A103" s="1011"/>
      <c r="B103" s="1660"/>
      <c r="C103" s="1660"/>
      <c r="D103" s="375"/>
      <c r="J103" s="1665"/>
      <c r="K103" s="1665"/>
      <c r="L103" s="1665"/>
      <c r="M103" s="1665"/>
      <c r="N103" s="1665"/>
      <c r="O103" s="1665"/>
      <c r="P103" s="1665"/>
      <c r="Q103" s="1665"/>
      <c r="R103" s="1665"/>
      <c r="S103" s="1665"/>
      <c r="T103" s="1665"/>
      <c r="U103" s="1665"/>
      <c r="V103" s="1665"/>
      <c r="W103" s="1665"/>
      <c r="Y103" s="1184"/>
      <c r="Z103" s="1660"/>
      <c r="AA103" s="1660"/>
      <c r="AB103" s="1184"/>
      <c r="AC103" s="1184"/>
      <c r="AD103" s="1184"/>
      <c r="AE103" s="1184"/>
      <c r="AF103" s="1660"/>
      <c r="AG103" s="1184"/>
      <c r="AH103" s="1184"/>
      <c r="AI103" s="568"/>
      <c r="AJ103" s="1184"/>
      <c r="AK103" s="1184"/>
      <c r="AL103" s="1184"/>
      <c r="AM103" s="1184"/>
      <c r="AN103" s="1184"/>
      <c r="AO103" s="1656"/>
      <c r="AP103" s="590"/>
      <c r="AQ103" s="590"/>
      <c r="AR103" s="590"/>
      <c r="AS103" s="590"/>
      <c r="AT103" s="1665">
        <v>11</v>
      </c>
    </row>
    <row s="1665" customFormat="1" customHeight="1" ht="11.549999999999999">
      <c r="A104" s="1011"/>
      <c r="B104" s="1660"/>
      <c r="C104" s="1660"/>
      <c r="D104" s="375"/>
      <c r="J104" s="1665"/>
      <c r="K104" s="1665"/>
      <c r="L104" s="1665"/>
      <c r="M104" s="1665"/>
      <c r="N104" s="1665"/>
      <c r="O104" s="1665"/>
      <c r="P104" s="1665"/>
      <c r="Q104" s="1665"/>
      <c r="R104" s="1665"/>
      <c r="S104" s="1665"/>
      <c r="T104" s="1665"/>
      <c r="U104" s="1665"/>
      <c r="V104" s="1665"/>
      <c r="W104" s="1665"/>
      <c r="Y104" s="1184"/>
      <c r="Z104" s="1660"/>
      <c r="AA104" s="1660"/>
      <c r="AB104" s="1184"/>
      <c r="AC104" s="1184"/>
      <c r="AD104" s="1184"/>
      <c r="AE104" s="1184"/>
      <c r="AF104" s="1660"/>
      <c r="AG104" s="1184"/>
      <c r="AH104" s="1184"/>
      <c r="AI104" s="568"/>
      <c r="AJ104" s="1184"/>
      <c r="AK104" s="1184"/>
      <c r="AL104" s="1184"/>
      <c r="AM104" s="1184"/>
      <c r="AN104" s="1184"/>
      <c r="AO104" s="1656"/>
      <c r="AP104" s="590"/>
      <c r="AQ104" s="590"/>
      <c r="AR104" s="590"/>
      <c r="AS104" s="590"/>
      <c r="AT104" s="1665">
        <v>11</v>
      </c>
    </row>
    <row s="1665" customFormat="1" customHeight="1" ht="11.549999999999999">
      <c r="A105" s="1011"/>
      <c r="B105" s="1660"/>
      <c r="C105" s="1660"/>
      <c r="D105" s="375"/>
      <c r="J105" s="1665"/>
      <c r="K105" s="1665"/>
      <c r="L105" s="1665"/>
      <c r="M105" s="1665"/>
      <c r="N105" s="1665"/>
      <c r="O105" s="1665"/>
      <c r="P105" s="1665"/>
      <c r="Q105" s="1665"/>
      <c r="R105" s="1665"/>
      <c r="S105" s="1665"/>
      <c r="T105" s="1665"/>
      <c r="U105" s="1665"/>
      <c r="V105" s="1665"/>
      <c r="W105" s="1665"/>
      <c r="Y105" s="1184"/>
      <c r="Z105" s="1660"/>
      <c r="AA105" s="1660"/>
      <c r="AB105" s="1184"/>
      <c r="AC105" s="1184"/>
      <c r="AD105" s="1184"/>
      <c r="AE105" s="1184"/>
      <c r="AF105" s="1660"/>
      <c r="AG105" s="1184"/>
      <c r="AH105" s="1184"/>
      <c r="AI105" s="568"/>
      <c r="AJ105" s="1184"/>
      <c r="AK105" s="1184"/>
      <c r="AL105" s="1184"/>
      <c r="AM105" s="1184"/>
      <c r="AN105" s="1184"/>
      <c r="AO105" s="1656"/>
      <c r="AP105" s="590"/>
      <c r="AQ105" s="590"/>
      <c r="AR105" s="590"/>
      <c r="AS105" s="590"/>
      <c r="AT105" s="1665">
        <v>11</v>
      </c>
    </row>
    <row s="1665" customFormat="1" customHeight="1" ht="11.549999999999999">
      <c r="A106" s="1011"/>
      <c r="B106" s="1660"/>
      <c r="C106" s="1660"/>
      <c r="D106" s="375"/>
      <c r="J106" s="1665"/>
      <c r="K106" s="1665"/>
      <c r="L106" s="1665"/>
      <c r="M106" s="1665"/>
      <c r="N106" s="1665"/>
      <c r="O106" s="1665"/>
      <c r="P106" s="1665"/>
      <c r="Q106" s="1665"/>
      <c r="R106" s="1665"/>
      <c r="S106" s="1665"/>
      <c r="T106" s="1665"/>
      <c r="U106" s="1665"/>
      <c r="V106" s="1665"/>
      <c r="W106" s="1665"/>
      <c r="Y106" s="1184"/>
      <c r="Z106" s="1660"/>
      <c r="AA106" s="1660"/>
      <c r="AB106" s="1184"/>
      <c r="AC106" s="1184"/>
      <c r="AD106" s="1184"/>
      <c r="AE106" s="1184"/>
      <c r="AF106" s="1660"/>
      <c r="AG106" s="1184"/>
      <c r="AH106" s="1184"/>
      <c r="AI106" s="568"/>
      <c r="AJ106" s="1184"/>
      <c r="AK106" s="1184"/>
      <c r="AL106" s="1184"/>
      <c r="AM106" s="1184"/>
      <c r="AN106" s="1184"/>
      <c r="AO106" s="1656"/>
      <c r="AP106" s="590"/>
      <c r="AQ106" s="590"/>
      <c r="AR106" s="590"/>
      <c r="AS106" s="590"/>
      <c r="AT106" s="1665">
        <v>11</v>
      </c>
    </row>
    <row s="1665" customFormat="1" customHeight="1" ht="11.549999999999999">
      <c r="A107" s="1011"/>
      <c r="B107" s="1660"/>
      <c r="C107" s="1660"/>
      <c r="D107" s="375"/>
      <c r="J107" s="1665"/>
      <c r="K107" s="1665"/>
      <c r="L107" s="1665"/>
      <c r="M107" s="1665"/>
      <c r="N107" s="1665"/>
      <c r="O107" s="1665"/>
      <c r="P107" s="1665"/>
      <c r="Q107" s="1665"/>
      <c r="R107" s="1665"/>
      <c r="S107" s="1665"/>
      <c r="T107" s="1665"/>
      <c r="U107" s="1665"/>
      <c r="V107" s="1665"/>
      <c r="W107" s="1665"/>
      <c r="Y107" s="1184"/>
      <c r="Z107" s="1660"/>
      <c r="AA107" s="1660"/>
      <c r="AB107" s="1184"/>
      <c r="AC107" s="1184"/>
      <c r="AD107" s="1184"/>
      <c r="AE107" s="1184"/>
      <c r="AF107" s="1660"/>
      <c r="AG107" s="1184"/>
      <c r="AH107" s="1184"/>
      <c r="AI107" s="568"/>
      <c r="AJ107" s="1184"/>
      <c r="AK107" s="1184"/>
      <c r="AL107" s="1184"/>
      <c r="AM107" s="1184"/>
      <c r="AN107" s="1184"/>
      <c r="AO107" s="1656"/>
      <c r="AP107" s="590"/>
      <c r="AQ107" s="590"/>
      <c r="AR107" s="590"/>
      <c r="AS107" s="590"/>
      <c r="AT107" s="1665">
        <v>11</v>
      </c>
    </row>
    <row s="1665" customFormat="1" customHeight="1" ht="11.549999999999999">
      <c r="A108" s="1011"/>
      <c r="B108" s="1660"/>
      <c r="C108" s="1660"/>
      <c r="D108" s="375"/>
      <c r="J108" s="1665"/>
      <c r="K108" s="1665"/>
      <c r="L108" s="1665"/>
      <c r="M108" s="1665"/>
      <c r="N108" s="1665"/>
      <c r="O108" s="1665"/>
      <c r="P108" s="1665"/>
      <c r="Q108" s="1665"/>
      <c r="R108" s="1665"/>
      <c r="S108" s="1665"/>
      <c r="T108" s="1665"/>
      <c r="U108" s="1665"/>
      <c r="V108" s="1665"/>
      <c r="W108" s="1665"/>
      <c r="Y108" s="1184"/>
      <c r="Z108" s="1660"/>
      <c r="AA108" s="1660"/>
      <c r="AB108" s="1184"/>
      <c r="AC108" s="1184"/>
      <c r="AD108" s="1184"/>
      <c r="AE108" s="1184"/>
      <c r="AF108" s="1660"/>
      <c r="AG108" s="1184"/>
      <c r="AH108" s="1184"/>
      <c r="AI108" s="568"/>
      <c r="AJ108" s="1184"/>
      <c r="AK108" s="1184"/>
      <c r="AL108" s="1184"/>
      <c r="AM108" s="1184"/>
      <c r="AN108" s="1184"/>
      <c r="AO108" s="1656"/>
      <c r="AP108" s="590"/>
      <c r="AQ108" s="590"/>
      <c r="AR108" s="590"/>
      <c r="AS108" s="590"/>
      <c r="AT108" s="1665">
        <v>11</v>
      </c>
    </row>
    <row s="1665" customFormat="1" customHeight="1" ht="11.549999999999999">
      <c r="A109" s="1011"/>
      <c r="B109" s="1660"/>
      <c r="C109" s="1660"/>
      <c r="D109" s="375"/>
      <c r="J109" s="1665"/>
      <c r="K109" s="1665"/>
      <c r="L109" s="1665"/>
      <c r="M109" s="1665"/>
      <c r="N109" s="1665"/>
      <c r="O109" s="1665"/>
      <c r="P109" s="1665"/>
      <c r="Q109" s="1665"/>
      <c r="R109" s="1665"/>
      <c r="S109" s="1665"/>
      <c r="T109" s="1665"/>
      <c r="U109" s="1665"/>
      <c r="V109" s="1665"/>
      <c r="W109" s="1665"/>
      <c r="Y109" s="1184"/>
      <c r="Z109" s="1660"/>
      <c r="AA109" s="1660"/>
      <c r="AB109" s="1184"/>
      <c r="AC109" s="1184"/>
      <c r="AD109" s="1184"/>
      <c r="AE109" s="1184"/>
      <c r="AF109" s="1660"/>
      <c r="AG109" s="1184"/>
      <c r="AH109" s="1184"/>
      <c r="AI109" s="568"/>
      <c r="AJ109" s="1184"/>
      <c r="AK109" s="1184"/>
      <c r="AL109" s="1184"/>
      <c r="AM109" s="1184"/>
      <c r="AN109" s="1184"/>
      <c r="AO109" s="1656"/>
      <c r="AP109" s="590"/>
      <c r="AQ109" s="590"/>
      <c r="AR109" s="590"/>
      <c r="AS109" s="590"/>
      <c r="AT109" s="1665">
        <v>11</v>
      </c>
    </row>
    <row s="1665" customFormat="1" customHeight="1" ht="11.549999999999999">
      <c r="A110" s="1011"/>
      <c r="B110" s="1660"/>
      <c r="C110" s="1660"/>
      <c r="D110" s="375"/>
      <c r="J110" s="1665"/>
      <c r="K110" s="1665"/>
      <c r="L110" s="1665"/>
      <c r="M110" s="1665"/>
      <c r="N110" s="1665"/>
      <c r="O110" s="1665"/>
      <c r="P110" s="1665"/>
      <c r="Q110" s="1665"/>
      <c r="R110" s="1665"/>
      <c r="S110" s="1665"/>
      <c r="T110" s="1665"/>
      <c r="U110" s="1665"/>
      <c r="V110" s="1665"/>
      <c r="W110" s="1665"/>
      <c r="Y110" s="1184"/>
      <c r="Z110" s="1660"/>
      <c r="AA110" s="1660"/>
      <c r="AB110" s="1184"/>
      <c r="AC110" s="1184"/>
      <c r="AD110" s="1184"/>
      <c r="AE110" s="1184"/>
      <c r="AF110" s="1660"/>
      <c r="AG110" s="1184"/>
      <c r="AH110" s="1184"/>
      <c r="AI110" s="568"/>
      <c r="AJ110" s="1184"/>
      <c r="AK110" s="1184"/>
      <c r="AL110" s="1184"/>
      <c r="AM110" s="1184"/>
      <c r="AN110" s="1184"/>
      <c r="AO110" s="1656"/>
      <c r="AP110" s="590"/>
      <c r="AQ110" s="590"/>
      <c r="AR110" s="590"/>
      <c r="AS110" s="590"/>
      <c r="AT110" s="1665">
        <v>11</v>
      </c>
    </row>
    <row s="1665" customFormat="1" customHeight="1" ht="11.549999999999999">
      <c r="A111" s="1011"/>
      <c r="B111" s="1660"/>
      <c r="C111" s="1660"/>
      <c r="D111" s="375"/>
      <c r="J111" s="1665"/>
      <c r="K111" s="1665"/>
      <c r="L111" s="1665"/>
      <c r="M111" s="1665"/>
      <c r="N111" s="1665"/>
      <c r="O111" s="1665"/>
      <c r="P111" s="1665"/>
      <c r="Q111" s="1665"/>
      <c r="R111" s="1665"/>
      <c r="S111" s="1665"/>
      <c r="T111" s="1665"/>
      <c r="U111" s="1665"/>
      <c r="V111" s="1665"/>
      <c r="W111" s="1665"/>
      <c r="Y111" s="1184"/>
      <c r="Z111" s="1660"/>
      <c r="AA111" s="1660"/>
      <c r="AB111" s="1184"/>
      <c r="AC111" s="1184"/>
      <c r="AD111" s="1184"/>
      <c r="AE111" s="1184"/>
      <c r="AF111" s="1660"/>
      <c r="AG111" s="1184"/>
      <c r="AH111" s="1184"/>
      <c r="AI111" s="568"/>
      <c r="AJ111" s="1184"/>
      <c r="AK111" s="1184"/>
      <c r="AL111" s="1184"/>
      <c r="AM111" s="1184"/>
      <c r="AN111" s="1184"/>
      <c r="AO111" s="1656"/>
      <c r="AP111" s="590"/>
      <c r="AQ111" s="590"/>
      <c r="AR111" s="590"/>
      <c r="AS111" s="590"/>
      <c r="AT111" s="1665">
        <v>11</v>
      </c>
    </row>
    <row s="1665" customFormat="1" customHeight="1" ht="11.549999999999999">
      <c r="A112" s="1011"/>
      <c r="B112" s="1660"/>
      <c r="C112" s="1660"/>
      <c r="D112" s="375"/>
      <c r="J112" s="1665"/>
      <c r="K112" s="1665"/>
      <c r="L112" s="1665"/>
      <c r="M112" s="1665"/>
      <c r="N112" s="1665"/>
      <c r="O112" s="1665"/>
      <c r="P112" s="1665"/>
      <c r="Q112" s="1665"/>
      <c r="R112" s="1665"/>
      <c r="S112" s="1665"/>
      <c r="T112" s="1665"/>
      <c r="U112" s="1665"/>
      <c r="V112" s="1665"/>
      <c r="W112" s="1665"/>
      <c r="Y112" s="1184"/>
      <c r="Z112" s="1660"/>
      <c r="AA112" s="1660"/>
      <c r="AB112" s="1184"/>
      <c r="AC112" s="1184"/>
      <c r="AD112" s="1184"/>
      <c r="AE112" s="1184"/>
      <c r="AF112" s="1660"/>
      <c r="AG112" s="1184"/>
      <c r="AH112" s="1184"/>
      <c r="AI112" s="568"/>
      <c r="AJ112" s="1184"/>
      <c r="AK112" s="1184"/>
      <c r="AL112" s="1184"/>
      <c r="AM112" s="1184"/>
      <c r="AN112" s="1184"/>
      <c r="AO112" s="1656"/>
      <c r="AP112" s="590"/>
      <c r="AQ112" s="590"/>
      <c r="AR112" s="590"/>
      <c r="AS112" s="590"/>
      <c r="AT112" s="1665">
        <v>11</v>
      </c>
    </row>
    <row s="1665" customFormat="1" customHeight="1" ht="11.549999999999999">
      <c r="A113" s="1011"/>
      <c r="B113" s="1660"/>
      <c r="C113" s="1660"/>
      <c r="D113" s="375"/>
      <c r="J113" s="1665"/>
      <c r="K113" s="1665"/>
      <c r="L113" s="1665"/>
      <c r="M113" s="1665"/>
      <c r="N113" s="1665"/>
      <c r="O113" s="1665"/>
      <c r="P113" s="1665"/>
      <c r="Q113" s="1665"/>
      <c r="R113" s="1665"/>
      <c r="S113" s="1665"/>
      <c r="T113" s="1665"/>
      <c r="U113" s="1665"/>
      <c r="V113" s="1665"/>
      <c r="W113" s="1665"/>
      <c r="Y113" s="1184"/>
      <c r="Z113" s="1660"/>
      <c r="AA113" s="1660"/>
      <c r="AB113" s="1184"/>
      <c r="AC113" s="1184"/>
      <c r="AD113" s="1184"/>
      <c r="AE113" s="1184"/>
      <c r="AF113" s="1660"/>
      <c r="AG113" s="1184"/>
      <c r="AH113" s="1184"/>
      <c r="AI113" s="568"/>
      <c r="AJ113" s="1184"/>
      <c r="AK113" s="1184"/>
      <c r="AL113" s="1184"/>
      <c r="AM113" s="1184"/>
      <c r="AN113" s="1184"/>
      <c r="AO113" s="1656"/>
      <c r="AP113" s="590"/>
      <c r="AQ113" s="590"/>
      <c r="AR113" s="590"/>
      <c r="AS113" s="590"/>
      <c r="AT113" s="1665">
        <v>11</v>
      </c>
    </row>
    <row s="1665" customFormat="1" customHeight="1" ht="11.549999999999999">
      <c r="A114" s="1011"/>
      <c r="B114" s="1660"/>
      <c r="C114" s="1660"/>
      <c r="D114" s="375"/>
      <c r="J114" s="1665"/>
      <c r="K114" s="1665"/>
      <c r="L114" s="1665"/>
      <c r="M114" s="1665"/>
      <c r="N114" s="1665"/>
      <c r="O114" s="1665"/>
      <c r="P114" s="1665"/>
      <c r="Q114" s="1665"/>
      <c r="R114" s="1665"/>
      <c r="S114" s="1665"/>
      <c r="T114" s="1665"/>
      <c r="U114" s="1665"/>
      <c r="V114" s="1665"/>
      <c r="W114" s="1665"/>
      <c r="Y114" s="1184"/>
      <c r="Z114" s="1660"/>
      <c r="AA114" s="1660"/>
      <c r="AB114" s="1184"/>
      <c r="AC114" s="1184"/>
      <c r="AD114" s="1184"/>
      <c r="AE114" s="1184"/>
      <c r="AF114" s="1660"/>
      <c r="AG114" s="1184"/>
      <c r="AH114" s="1184"/>
      <c r="AI114" s="568"/>
      <c r="AJ114" s="1184"/>
      <c r="AK114" s="1184"/>
      <c r="AL114" s="1184"/>
      <c r="AM114" s="1184"/>
      <c r="AN114" s="1184"/>
      <c r="AO114" s="1656"/>
      <c r="AP114" s="590"/>
      <c r="AQ114" s="590"/>
      <c r="AR114" s="590"/>
      <c r="AS114" s="590"/>
      <c r="AT114" s="1665">
        <v>11</v>
      </c>
    </row>
    <row s="1665" customFormat="1" customHeight="1" ht="11.549999999999999">
      <c r="A115" s="1011"/>
      <c r="B115" s="1660"/>
      <c r="C115" s="1660"/>
      <c r="D115" s="375"/>
      <c r="J115" s="1665"/>
      <c r="K115" s="1665"/>
      <c r="L115" s="1665"/>
      <c r="M115" s="1665"/>
      <c r="N115" s="1665"/>
      <c r="O115" s="1665"/>
      <c r="P115" s="1665"/>
      <c r="Q115" s="1665"/>
      <c r="R115" s="1665"/>
      <c r="S115" s="1665"/>
      <c r="T115" s="1665"/>
      <c r="U115" s="1665"/>
      <c r="V115" s="1665"/>
      <c r="W115" s="1665"/>
      <c r="Y115" s="1184"/>
      <c r="Z115" s="1660"/>
      <c r="AA115" s="1660"/>
      <c r="AB115" s="1184"/>
      <c r="AC115" s="1184"/>
      <c r="AD115" s="1184"/>
      <c r="AE115" s="1184"/>
      <c r="AF115" s="1660"/>
      <c r="AG115" s="1184"/>
      <c r="AH115" s="1184"/>
      <c r="AI115" s="568"/>
      <c r="AJ115" s="1184"/>
      <c r="AK115" s="1184"/>
      <c r="AL115" s="1184"/>
      <c r="AM115" s="1184"/>
      <c r="AN115" s="1184"/>
      <c r="AO115" s="1656"/>
      <c r="AP115" s="590"/>
      <c r="AQ115" s="590"/>
      <c r="AR115" s="590"/>
      <c r="AS115" s="590"/>
      <c r="AT115" s="1665">
        <v>11</v>
      </c>
    </row>
    <row s="1665" customFormat="1" customHeight="1" ht="11.549999999999999">
      <c r="A116" s="1011"/>
      <c r="B116" s="1660"/>
      <c r="C116" s="1660"/>
      <c r="D116" s="375"/>
      <c r="J116" s="1665"/>
      <c r="K116" s="1665"/>
      <c r="L116" s="1665"/>
      <c r="M116" s="1665"/>
      <c r="N116" s="1665"/>
      <c r="O116" s="1665"/>
      <c r="P116" s="1665"/>
      <c r="Q116" s="1665"/>
      <c r="R116" s="1665"/>
      <c r="S116" s="1665"/>
      <c r="T116" s="1665"/>
      <c r="U116" s="1665"/>
      <c r="V116" s="1665"/>
      <c r="W116" s="1665"/>
      <c r="Y116" s="1184"/>
      <c r="Z116" s="1660"/>
      <c r="AA116" s="1660"/>
      <c r="AB116" s="1184"/>
      <c r="AC116" s="1184"/>
      <c r="AD116" s="1184"/>
      <c r="AE116" s="1184"/>
      <c r="AF116" s="1660"/>
      <c r="AG116" s="1184"/>
      <c r="AH116" s="1184"/>
      <c r="AI116" s="568"/>
      <c r="AJ116" s="1184"/>
      <c r="AK116" s="1184"/>
      <c r="AL116" s="1184"/>
      <c r="AM116" s="1184"/>
      <c r="AN116" s="1184"/>
      <c r="AO116" s="1656"/>
      <c r="AP116" s="590"/>
      <c r="AQ116" s="590"/>
      <c r="AR116" s="590"/>
      <c r="AS116" s="590"/>
      <c r="AT116" s="1665">
        <v>11</v>
      </c>
    </row>
    <row s="1665" customFormat="1" customHeight="1" ht="11.549999999999999">
      <c r="A117" s="1011"/>
      <c r="B117" s="1660"/>
      <c r="C117" s="1660"/>
      <c r="D117" s="375"/>
      <c r="J117" s="1665"/>
      <c r="K117" s="1665"/>
      <c r="L117" s="1665"/>
      <c r="M117" s="1665"/>
      <c r="N117" s="1665"/>
      <c r="O117" s="1665"/>
      <c r="P117" s="1665"/>
      <c r="Q117" s="1665"/>
      <c r="R117" s="1665"/>
      <c r="S117" s="1665"/>
      <c r="T117" s="1665"/>
      <c r="U117" s="1665"/>
      <c r="V117" s="1665"/>
      <c r="W117" s="1665"/>
      <c r="Y117" s="1184"/>
      <c r="Z117" s="1660"/>
      <c r="AA117" s="1660"/>
      <c r="AB117" s="1184"/>
      <c r="AC117" s="1184"/>
      <c r="AD117" s="1184"/>
      <c r="AE117" s="1184"/>
      <c r="AF117" s="1660"/>
      <c r="AG117" s="1184"/>
      <c r="AH117" s="1184"/>
      <c r="AI117" s="568"/>
      <c r="AJ117" s="1184"/>
      <c r="AK117" s="1184"/>
      <c r="AL117" s="1184"/>
      <c r="AM117" s="1184"/>
      <c r="AN117" s="1184"/>
      <c r="AO117" s="1656"/>
      <c r="AP117" s="590"/>
      <c r="AQ117" s="590"/>
      <c r="AR117" s="590"/>
      <c r="AS117" s="590"/>
      <c r="AT117" s="1665">
        <v>11</v>
      </c>
    </row>
    <row s="1665" customFormat="1" customHeight="1" ht="11.549999999999999">
      <c r="A118" s="1011"/>
      <c r="B118" s="1660"/>
      <c r="C118" s="1660"/>
      <c r="D118" s="375"/>
      <c r="J118" s="1665"/>
      <c r="K118" s="1665"/>
      <c r="L118" s="1665"/>
      <c r="M118" s="1665"/>
      <c r="N118" s="1665"/>
      <c r="O118" s="1665"/>
      <c r="P118" s="1665"/>
      <c r="Q118" s="1665"/>
      <c r="R118" s="1665"/>
      <c r="S118" s="1665"/>
      <c r="T118" s="1665"/>
      <c r="U118" s="1665"/>
      <c r="V118" s="1665"/>
      <c r="W118" s="1665"/>
      <c r="Y118" s="1184"/>
      <c r="Z118" s="1660"/>
      <c r="AA118" s="1660"/>
      <c r="AB118" s="1184"/>
      <c r="AC118" s="1184"/>
      <c r="AD118" s="1184"/>
      <c r="AE118" s="1184"/>
      <c r="AF118" s="1660"/>
      <c r="AG118" s="1184"/>
      <c r="AH118" s="1184"/>
      <c r="AI118" s="568"/>
      <c r="AJ118" s="1184"/>
      <c r="AK118" s="1184"/>
      <c r="AL118" s="1184"/>
      <c r="AM118" s="1184"/>
      <c r="AN118" s="1184"/>
      <c r="AO118" s="1656"/>
      <c r="AP118" s="590"/>
      <c r="AQ118" s="590"/>
      <c r="AR118" s="590"/>
      <c r="AS118" s="590"/>
      <c r="AT118" s="1665">
        <v>11</v>
      </c>
    </row>
    <row s="1665" customFormat="1" customHeight="1" ht="11.549999999999999">
      <c r="A119" s="1011"/>
      <c r="B119" s="1660"/>
      <c r="C119" s="1660"/>
      <c r="D119" s="375"/>
      <c r="J119" s="1665"/>
      <c r="K119" s="1665"/>
      <c r="L119" s="1665"/>
      <c r="M119" s="1665"/>
      <c r="N119" s="1665"/>
      <c r="O119" s="1665"/>
      <c r="P119" s="1665"/>
      <c r="Q119" s="1665"/>
      <c r="R119" s="1665"/>
      <c r="S119" s="1665"/>
      <c r="T119" s="1665"/>
      <c r="U119" s="1665"/>
      <c r="V119" s="1665"/>
      <c r="W119" s="1665"/>
      <c r="Y119" s="1184"/>
      <c r="Z119" s="1660"/>
      <c r="AA119" s="1660"/>
      <c r="AB119" s="1184"/>
      <c r="AC119" s="1184"/>
      <c r="AD119" s="1184"/>
      <c r="AE119" s="1184"/>
      <c r="AF119" s="1660"/>
      <c r="AG119" s="1184"/>
      <c r="AH119" s="1184"/>
      <c r="AI119" s="568"/>
      <c r="AJ119" s="1184"/>
      <c r="AK119" s="1184"/>
      <c r="AL119" s="1184"/>
      <c r="AM119" s="1184"/>
      <c r="AN119" s="1184"/>
      <c r="AO119" s="1656"/>
      <c r="AP119" s="590"/>
      <c r="AQ119" s="590"/>
      <c r="AR119" s="590"/>
      <c r="AS119" s="590"/>
      <c r="AT119" s="1665">
        <v>11</v>
      </c>
    </row>
    <row s="1665" customFormat="1" customHeight="1" ht="11.549999999999999">
      <c r="A120" s="1011"/>
      <c r="B120" s="1660"/>
      <c r="C120" s="1660"/>
      <c r="D120" s="375"/>
      <c r="J120" s="1665"/>
      <c r="K120" s="1665"/>
      <c r="L120" s="1665"/>
      <c r="M120" s="1665"/>
      <c r="N120" s="1665"/>
      <c r="O120" s="1665"/>
      <c r="P120" s="1665"/>
      <c r="Q120" s="1665"/>
      <c r="R120" s="1665"/>
      <c r="S120" s="1665"/>
      <c r="T120" s="1665"/>
      <c r="U120" s="1665"/>
      <c r="V120" s="1665"/>
      <c r="W120" s="1665"/>
      <c r="Y120" s="1184"/>
      <c r="Z120" s="1660"/>
      <c r="AA120" s="1660"/>
      <c r="AB120" s="1184"/>
      <c r="AC120" s="1184"/>
      <c r="AD120" s="1184"/>
      <c r="AE120" s="1184"/>
      <c r="AF120" s="1660"/>
      <c r="AG120" s="1184"/>
      <c r="AH120" s="1184"/>
      <c r="AI120" s="568"/>
      <c r="AJ120" s="1184"/>
      <c r="AK120" s="1184"/>
      <c r="AL120" s="1184"/>
      <c r="AM120" s="1184"/>
      <c r="AN120" s="1184"/>
      <c r="AO120" s="1656"/>
      <c r="AP120" s="590"/>
      <c r="AQ120" s="590"/>
      <c r="AR120" s="590"/>
      <c r="AS120" s="590"/>
      <c r="AT120" s="1665">
        <v>11</v>
      </c>
    </row>
    <row s="1665" customFormat="1" customHeight="1" ht="11.549999999999999">
      <c r="A121" s="1011"/>
      <c r="B121" s="1660"/>
      <c r="C121" s="1660"/>
      <c r="D121" s="375"/>
      <c r="J121" s="1665"/>
      <c r="K121" s="1665"/>
      <c r="L121" s="1665"/>
      <c r="M121" s="1665"/>
      <c r="N121" s="1665"/>
      <c r="O121" s="1665"/>
      <c r="P121" s="1665"/>
      <c r="Q121" s="1665"/>
      <c r="R121" s="1665"/>
      <c r="S121" s="1665"/>
      <c r="T121" s="1665"/>
      <c r="U121" s="1665"/>
      <c r="V121" s="1665"/>
      <c r="W121" s="1665"/>
      <c r="Y121" s="1184"/>
      <c r="Z121" s="1660"/>
      <c r="AA121" s="1660"/>
      <c r="AB121" s="1184"/>
      <c r="AC121" s="1184"/>
      <c r="AD121" s="1184"/>
      <c r="AE121" s="1184"/>
      <c r="AF121" s="1660"/>
      <c r="AG121" s="1184"/>
      <c r="AH121" s="1184"/>
      <c r="AI121" s="568"/>
      <c r="AJ121" s="1184"/>
      <c r="AK121" s="1184"/>
      <c r="AL121" s="1184"/>
      <c r="AM121" s="1184"/>
      <c r="AN121" s="1184"/>
      <c r="AO121" s="1656"/>
      <c r="AP121" s="590"/>
      <c r="AQ121" s="590"/>
      <c r="AR121" s="590"/>
      <c r="AS121" s="590"/>
      <c r="AT121" s="1665">
        <v>11</v>
      </c>
    </row>
    <row s="1665" customFormat="1" customHeight="1" ht="11.549999999999999">
      <c r="A122" s="1011"/>
      <c r="B122" s="1660"/>
      <c r="C122" s="1660"/>
      <c r="D122" s="375"/>
      <c r="J122" s="1665"/>
      <c r="K122" s="1665"/>
      <c r="L122" s="1665"/>
      <c r="M122" s="1665"/>
      <c r="N122" s="1665"/>
      <c r="O122" s="1665"/>
      <c r="P122" s="1665"/>
      <c r="Q122" s="1665"/>
      <c r="R122" s="1665"/>
      <c r="S122" s="1665"/>
      <c r="T122" s="1665"/>
      <c r="U122" s="1665"/>
      <c r="V122" s="1665"/>
      <c r="W122" s="1665"/>
      <c r="Y122" s="1184"/>
      <c r="Z122" s="1660"/>
      <c r="AA122" s="1660"/>
      <c r="AB122" s="1184"/>
      <c r="AC122" s="1184"/>
      <c r="AD122" s="1184"/>
      <c r="AE122" s="1184"/>
      <c r="AF122" s="1660"/>
      <c r="AG122" s="1184"/>
      <c r="AH122" s="1184"/>
      <c r="AI122" s="568"/>
      <c r="AJ122" s="1184"/>
      <c r="AK122" s="1184"/>
      <c r="AL122" s="1184"/>
      <c r="AM122" s="1184"/>
      <c r="AN122" s="1184"/>
      <c r="AO122" s="1656"/>
      <c r="AP122" s="590"/>
      <c r="AQ122" s="590"/>
      <c r="AR122" s="590"/>
      <c r="AS122" s="590"/>
      <c r="AT122" s="1665">
        <v>11</v>
      </c>
    </row>
    <row s="1665" customFormat="1" customHeight="1" ht="11.549999999999999">
      <c r="A123" s="1011"/>
      <c r="B123" s="1660"/>
      <c r="C123" s="1660"/>
      <c r="D123" s="375"/>
      <c r="J123" s="1665"/>
      <c r="K123" s="1665"/>
      <c r="L123" s="1665"/>
      <c r="M123" s="1665"/>
      <c r="N123" s="1665"/>
      <c r="O123" s="1665"/>
      <c r="P123" s="1665"/>
      <c r="Q123" s="1665"/>
      <c r="R123" s="1665"/>
      <c r="S123" s="1665"/>
      <c r="T123" s="1665"/>
      <c r="U123" s="1665"/>
      <c r="V123" s="1665"/>
      <c r="W123" s="1665"/>
      <c r="Y123" s="1184"/>
      <c r="Z123" s="1660"/>
      <c r="AA123" s="1660"/>
      <c r="AB123" s="1184"/>
      <c r="AC123" s="1184"/>
      <c r="AD123" s="1184"/>
      <c r="AE123" s="1184"/>
      <c r="AF123" s="1660"/>
      <c r="AG123" s="1184"/>
      <c r="AH123" s="1184"/>
      <c r="AI123" s="568"/>
      <c r="AJ123" s="1184"/>
      <c r="AK123" s="1184"/>
      <c r="AL123" s="1184"/>
      <c r="AM123" s="1184"/>
      <c r="AN123" s="1184"/>
      <c r="AO123" s="1656"/>
      <c r="AP123" s="590"/>
      <c r="AQ123" s="590"/>
      <c r="AR123" s="590"/>
      <c r="AS123" s="590"/>
      <c r="AT123" s="1665">
        <v>11</v>
      </c>
    </row>
    <row s="1665" customFormat="1" customHeight="1" ht="11.549999999999999">
      <c r="A124" s="1011"/>
      <c r="B124" s="1660"/>
      <c r="C124" s="1660"/>
      <c r="D124" s="375"/>
      <c r="J124" s="1665"/>
      <c r="K124" s="1665"/>
      <c r="L124" s="1665"/>
      <c r="M124" s="1665"/>
      <c r="N124" s="1665"/>
      <c r="O124" s="1665"/>
      <c r="P124" s="1665"/>
      <c r="Q124" s="1665"/>
      <c r="R124" s="1665"/>
      <c r="S124" s="1665"/>
      <c r="T124" s="1665"/>
      <c r="U124" s="1665"/>
      <c r="V124" s="1665"/>
      <c r="W124" s="1665"/>
      <c r="Y124" s="1184"/>
      <c r="Z124" s="1660"/>
      <c r="AA124" s="1660"/>
      <c r="AB124" s="1184"/>
      <c r="AC124" s="1184"/>
      <c r="AD124" s="1184"/>
      <c r="AE124" s="1184"/>
      <c r="AF124" s="1660"/>
      <c r="AG124" s="1184"/>
      <c r="AH124" s="1184"/>
      <c r="AI124" s="568"/>
      <c r="AJ124" s="1184"/>
      <c r="AK124" s="1184"/>
      <c r="AL124" s="1184"/>
      <c r="AM124" s="1184"/>
      <c r="AN124" s="1184"/>
      <c r="AO124" s="1656"/>
      <c r="AP124" s="590"/>
      <c r="AQ124" s="590"/>
      <c r="AR124" s="590"/>
      <c r="AS124" s="590"/>
      <c r="AT124" s="1665">
        <v>11</v>
      </c>
    </row>
    <row s="1665" customFormat="1" customHeight="1" ht="11.549999999999999">
      <c r="A125" s="1011"/>
      <c r="B125" s="1660"/>
      <c r="C125" s="1660"/>
      <c r="D125" s="375"/>
      <c r="J125" s="1665"/>
      <c r="K125" s="1665"/>
      <c r="L125" s="1665"/>
      <c r="M125" s="1665"/>
      <c r="N125" s="1665"/>
      <c r="O125" s="1665"/>
      <c r="P125" s="1665"/>
      <c r="Q125" s="1665"/>
      <c r="R125" s="1665"/>
      <c r="S125" s="1665"/>
      <c r="T125" s="1665"/>
      <c r="U125" s="1665"/>
      <c r="V125" s="1665"/>
      <c r="W125" s="1665"/>
      <c r="Y125" s="1184"/>
      <c r="Z125" s="1660"/>
      <c r="AA125" s="1660"/>
      <c r="AB125" s="1184"/>
      <c r="AC125" s="1184"/>
      <c r="AD125" s="1184"/>
      <c r="AE125" s="1184"/>
      <c r="AF125" s="1660"/>
      <c r="AG125" s="1184"/>
      <c r="AH125" s="1184"/>
      <c r="AI125" s="568"/>
      <c r="AJ125" s="1184"/>
      <c r="AK125" s="1184"/>
      <c r="AL125" s="1184"/>
      <c r="AM125" s="1184"/>
      <c r="AN125" s="1184"/>
      <c r="AO125" s="1656"/>
      <c r="AP125" s="590"/>
      <c r="AQ125" s="590"/>
      <c r="AR125" s="590"/>
      <c r="AS125" s="590"/>
      <c r="AT125" s="1665">
        <v>11</v>
      </c>
    </row>
    <row s="1665" customFormat="1" customHeight="1" ht="11.549999999999999">
      <c r="A126" s="1011"/>
      <c r="B126" s="1660"/>
      <c r="C126" s="1660"/>
      <c r="D126" s="375"/>
      <c r="J126" s="1665"/>
      <c r="K126" s="1665"/>
      <c r="L126" s="1665"/>
      <c r="M126" s="1665"/>
      <c r="N126" s="1665"/>
      <c r="O126" s="1665"/>
      <c r="P126" s="1665"/>
      <c r="Q126" s="1665"/>
      <c r="R126" s="1665"/>
      <c r="S126" s="1665"/>
      <c r="T126" s="1665"/>
      <c r="U126" s="1665"/>
      <c r="V126" s="1665"/>
      <c r="W126" s="1665"/>
      <c r="Y126" s="1184"/>
      <c r="Z126" s="1660"/>
      <c r="AA126" s="1660"/>
      <c r="AB126" s="1184"/>
      <c r="AC126" s="1184"/>
      <c r="AD126" s="1184"/>
      <c r="AE126" s="1184"/>
      <c r="AF126" s="1660"/>
      <c r="AG126" s="1184"/>
      <c r="AH126" s="1184"/>
      <c r="AI126" s="568"/>
      <c r="AJ126" s="1184"/>
      <c r="AK126" s="1184"/>
      <c r="AL126" s="1184"/>
      <c r="AM126" s="1184"/>
      <c r="AN126" s="1184"/>
      <c r="AO126" s="1656"/>
      <c r="AP126" s="590"/>
      <c r="AQ126" s="590"/>
      <c r="AR126" s="590"/>
      <c r="AS126" s="590"/>
      <c r="AT126" s="1665">
        <v>11</v>
      </c>
    </row>
    <row s="1665" customFormat="1" customHeight="1" ht="11.549999999999999">
      <c r="A127" s="1011"/>
      <c r="B127" s="1660"/>
      <c r="C127" s="1660"/>
      <c r="D127" s="375"/>
      <c r="J127" s="1665"/>
      <c r="K127" s="1665"/>
      <c r="L127" s="1665"/>
      <c r="M127" s="1665"/>
      <c r="N127" s="1665"/>
      <c r="O127" s="1665"/>
      <c r="P127" s="1665"/>
      <c r="Q127" s="1665"/>
      <c r="R127" s="1665"/>
      <c r="S127" s="1665"/>
      <c r="T127" s="1665"/>
      <c r="U127" s="1665"/>
      <c r="V127" s="1665"/>
      <c r="W127" s="1665"/>
      <c r="Y127" s="1184"/>
      <c r="Z127" s="1660"/>
      <c r="AA127" s="1660"/>
      <c r="AB127" s="1184"/>
      <c r="AC127" s="1184"/>
      <c r="AD127" s="1184"/>
      <c r="AE127" s="1184"/>
      <c r="AF127" s="1660"/>
      <c r="AG127" s="1184"/>
      <c r="AH127" s="1184"/>
      <c r="AI127" s="568"/>
      <c r="AJ127" s="1184"/>
      <c r="AK127" s="1184"/>
      <c r="AL127" s="1184"/>
      <c r="AM127" s="1184"/>
      <c r="AN127" s="1184"/>
      <c r="AO127" s="1656"/>
      <c r="AP127" s="590"/>
      <c r="AQ127" s="590"/>
      <c r="AR127" s="590"/>
      <c r="AS127" s="590"/>
      <c r="AT127" s="1665">
        <v>11</v>
      </c>
    </row>
    <row s="1665" customFormat="1" customHeight="1" ht="11.549999999999999">
      <c r="A128" s="1011"/>
      <c r="B128" s="1660"/>
      <c r="C128" s="1660"/>
      <c r="D128" s="375"/>
      <c r="J128" s="1665"/>
      <c r="K128" s="1665"/>
      <c r="L128" s="1665"/>
      <c r="M128" s="1665"/>
      <c r="N128" s="1665"/>
      <c r="O128" s="1665"/>
      <c r="P128" s="1665"/>
      <c r="Q128" s="1665"/>
      <c r="R128" s="1665"/>
      <c r="S128" s="1665"/>
      <c r="T128" s="1665"/>
      <c r="U128" s="1665"/>
      <c r="V128" s="1665"/>
      <c r="W128" s="1665"/>
      <c r="Y128" s="1184"/>
      <c r="Z128" s="1660"/>
      <c r="AA128" s="1660"/>
      <c r="AB128" s="1184"/>
      <c r="AC128" s="1184"/>
      <c r="AD128" s="1184"/>
      <c r="AE128" s="1184"/>
      <c r="AF128" s="1660"/>
      <c r="AG128" s="1184"/>
      <c r="AH128" s="1184"/>
      <c r="AI128" s="568"/>
      <c r="AJ128" s="1184"/>
      <c r="AK128" s="1184"/>
      <c r="AL128" s="1184"/>
      <c r="AM128" s="1184"/>
      <c r="AN128" s="1184"/>
      <c r="AO128" s="1656"/>
      <c r="AP128" s="590"/>
      <c r="AQ128" s="590"/>
      <c r="AR128" s="590"/>
      <c r="AS128" s="590"/>
      <c r="AT128" s="1665">
        <v>11</v>
      </c>
    </row>
    <row s="1665" customFormat="1" customHeight="1" ht="11.549999999999999">
      <c r="A129" s="1011"/>
      <c r="B129" s="1660"/>
      <c r="C129" s="1660"/>
      <c r="D129" s="375"/>
      <c r="J129" s="1665"/>
      <c r="K129" s="1665"/>
      <c r="L129" s="1665"/>
      <c r="M129" s="1665"/>
      <c r="N129" s="1665"/>
      <c r="O129" s="1665"/>
      <c r="P129" s="1665"/>
      <c r="Q129" s="1665"/>
      <c r="R129" s="1665"/>
      <c r="S129" s="1665"/>
      <c r="T129" s="1665"/>
      <c r="U129" s="1665"/>
      <c r="V129" s="1665"/>
      <c r="W129" s="1665"/>
      <c r="Y129" s="1184"/>
      <c r="Z129" s="1660"/>
      <c r="AA129" s="1660"/>
      <c r="AB129" s="1184"/>
      <c r="AC129" s="1184"/>
      <c r="AD129" s="1184"/>
      <c r="AE129" s="1184"/>
      <c r="AF129" s="1660"/>
      <c r="AG129" s="1184"/>
      <c r="AH129" s="1184"/>
      <c r="AI129" s="568"/>
      <c r="AJ129" s="1184"/>
      <c r="AK129" s="1184"/>
      <c r="AL129" s="1184"/>
      <c r="AM129" s="1184"/>
      <c r="AN129" s="1184"/>
      <c r="AO129" s="1656"/>
      <c r="AP129" s="590"/>
      <c r="AQ129" s="590"/>
      <c r="AR129" s="590"/>
      <c r="AS129" s="590"/>
      <c r="AT129" s="1665">
        <v>11</v>
      </c>
    </row>
    <row s="1665" customFormat="1" customHeight="1" ht="11.549999999999999">
      <c r="A130" s="1011"/>
      <c r="B130" s="1660"/>
      <c r="C130" s="1660"/>
      <c r="D130" s="375"/>
      <c r="J130" s="1665"/>
      <c r="K130" s="1665"/>
      <c r="L130" s="1665"/>
      <c r="M130" s="1665"/>
      <c r="N130" s="1665"/>
      <c r="O130" s="1665"/>
      <c r="P130" s="1665"/>
      <c r="Q130" s="1665"/>
      <c r="R130" s="1665"/>
      <c r="S130" s="1665"/>
      <c r="T130" s="1665"/>
      <c r="U130" s="1665"/>
      <c r="V130" s="1665"/>
      <c r="W130" s="1665"/>
      <c r="Y130" s="1184"/>
      <c r="Z130" s="1660"/>
      <c r="AA130" s="1660"/>
      <c r="AB130" s="1184"/>
      <c r="AC130" s="1184"/>
      <c r="AD130" s="1184"/>
      <c r="AE130" s="1184"/>
      <c r="AF130" s="1660"/>
      <c r="AG130" s="1184"/>
      <c r="AH130" s="1184"/>
      <c r="AI130" s="568"/>
      <c r="AJ130" s="1184"/>
      <c r="AK130" s="1184"/>
      <c r="AL130" s="1184"/>
      <c r="AM130" s="1184"/>
      <c r="AN130" s="1184"/>
      <c r="AO130" s="1656"/>
      <c r="AP130" s="590"/>
      <c r="AQ130" s="590"/>
      <c r="AR130" s="590"/>
      <c r="AS130" s="590"/>
      <c r="AT130" s="1665">
        <v>11</v>
      </c>
    </row>
    <row s="1665" customFormat="1" customHeight="1" ht="11.549999999999999">
      <c r="A131" s="1011"/>
      <c r="B131" s="1660"/>
      <c r="C131" s="1660"/>
      <c r="D131" s="375"/>
      <c r="J131" s="1665"/>
      <c r="K131" s="1665"/>
      <c r="L131" s="1665"/>
      <c r="M131" s="1665"/>
      <c r="N131" s="1665"/>
      <c r="O131" s="1665"/>
      <c r="P131" s="1665"/>
      <c r="Q131" s="1665"/>
      <c r="R131" s="1665"/>
      <c r="S131" s="1665"/>
      <c r="T131" s="1665"/>
      <c r="U131" s="1665"/>
      <c r="V131" s="1665"/>
      <c r="W131" s="1665"/>
      <c r="Y131" s="1184"/>
      <c r="Z131" s="1660"/>
      <c r="AA131" s="1660"/>
      <c r="AB131" s="1184"/>
      <c r="AC131" s="1184"/>
      <c r="AD131" s="1184"/>
      <c r="AE131" s="1184"/>
      <c r="AF131" s="1660"/>
      <c r="AG131" s="1184"/>
      <c r="AH131" s="1184"/>
      <c r="AI131" s="568"/>
      <c r="AJ131" s="1184"/>
      <c r="AK131" s="1184"/>
      <c r="AL131" s="1184"/>
      <c r="AM131" s="1184"/>
      <c r="AN131" s="1184"/>
      <c r="AO131" s="1656"/>
      <c r="AP131" s="590"/>
      <c r="AQ131" s="590"/>
      <c r="AR131" s="590"/>
      <c r="AS131" s="590"/>
      <c r="AT131" s="1665">
        <v>11</v>
      </c>
    </row>
    <row s="1665" customFormat="1" customHeight="1" ht="11.549999999999999">
      <c r="A132" s="1011"/>
      <c r="B132" s="1660"/>
      <c r="C132" s="1660"/>
      <c r="D132" s="375"/>
      <c r="J132" s="1665"/>
      <c r="K132" s="1665"/>
      <c r="L132" s="1665"/>
      <c r="M132" s="1665"/>
      <c r="N132" s="1665"/>
      <c r="O132" s="1665"/>
      <c r="P132" s="1665"/>
      <c r="Q132" s="1665"/>
      <c r="R132" s="1665"/>
      <c r="S132" s="1665"/>
      <c r="T132" s="1665"/>
      <c r="U132" s="1665"/>
      <c r="V132" s="1665"/>
      <c r="W132" s="1665"/>
      <c r="Y132" s="1184"/>
      <c r="Z132" s="1660"/>
      <c r="AA132" s="1660"/>
      <c r="AB132" s="1184"/>
      <c r="AC132" s="1184"/>
      <c r="AD132" s="1184"/>
      <c r="AE132" s="1184"/>
      <c r="AF132" s="1660"/>
      <c r="AG132" s="1184"/>
      <c r="AH132" s="1184"/>
      <c r="AI132" s="568"/>
      <c r="AJ132" s="1184"/>
      <c r="AK132" s="1184"/>
      <c r="AL132" s="1184"/>
      <c r="AM132" s="1184"/>
      <c r="AN132" s="1184"/>
      <c r="AO132" s="1656"/>
      <c r="AP132" s="590"/>
      <c r="AQ132" s="590"/>
      <c r="AR132" s="590"/>
      <c r="AS132" s="590"/>
      <c r="AT132" s="1665">
        <v>11</v>
      </c>
    </row>
    <row s="1665" customFormat="1" customHeight="1" ht="11.549999999999999">
      <c r="A133" s="1011"/>
      <c r="B133" s="1660"/>
      <c r="C133" s="1660"/>
      <c r="D133" s="375"/>
      <c r="J133" s="1665"/>
      <c r="K133" s="1665"/>
      <c r="L133" s="1665"/>
      <c r="M133" s="1665"/>
      <c r="N133" s="1665"/>
      <c r="O133" s="1665"/>
      <c r="P133" s="1665"/>
      <c r="Q133" s="1665"/>
      <c r="R133" s="1665"/>
      <c r="S133" s="1665"/>
      <c r="T133" s="1665"/>
      <c r="U133" s="1665"/>
      <c r="V133" s="1665"/>
      <c r="W133" s="1665"/>
      <c r="Y133" s="1184"/>
      <c r="Z133" s="1660"/>
      <c r="AA133" s="1660"/>
      <c r="AB133" s="1184"/>
      <c r="AC133" s="1184"/>
      <c r="AD133" s="1184"/>
      <c r="AE133" s="1184"/>
      <c r="AF133" s="1660"/>
      <c r="AG133" s="1184"/>
      <c r="AH133" s="1184"/>
      <c r="AI133" s="568"/>
      <c r="AJ133" s="1184"/>
      <c r="AK133" s="1184"/>
      <c r="AL133" s="1184"/>
      <c r="AM133" s="1184"/>
      <c r="AN133" s="1184"/>
      <c r="AO133" s="1656"/>
      <c r="AP133" s="590"/>
      <c r="AQ133" s="590"/>
      <c r="AR133" s="590"/>
      <c r="AS133" s="590"/>
      <c r="AT133" s="1665">
        <v>11</v>
      </c>
    </row>
    <row s="1665" customFormat="1" customHeight="1" ht="11.549999999999999">
      <c r="A134" s="1011"/>
      <c r="B134" s="1660"/>
      <c r="C134" s="1660"/>
      <c r="D134" s="375"/>
      <c r="J134" s="1665"/>
      <c r="K134" s="1665"/>
      <c r="L134" s="1665"/>
      <c r="M134" s="1665"/>
      <c r="N134" s="1665"/>
      <c r="O134" s="1665"/>
      <c r="P134" s="1665"/>
      <c r="Q134" s="1665"/>
      <c r="R134" s="1665"/>
      <c r="S134" s="1665"/>
      <c r="T134" s="1665"/>
      <c r="U134" s="1665"/>
      <c r="V134" s="1665"/>
      <c r="W134" s="1665"/>
      <c r="Y134" s="1184"/>
      <c r="Z134" s="1660"/>
      <c r="AA134" s="1660"/>
      <c r="AB134" s="1184"/>
      <c r="AC134" s="1184"/>
      <c r="AD134" s="1184"/>
      <c r="AE134" s="1184"/>
      <c r="AF134" s="1660"/>
      <c r="AG134" s="1184"/>
      <c r="AH134" s="1184"/>
      <c r="AI134" s="568"/>
      <c r="AJ134" s="1184"/>
      <c r="AK134" s="1184"/>
      <c r="AL134" s="1184"/>
      <c r="AM134" s="1184"/>
      <c r="AN134" s="1184"/>
      <c r="AO134" s="1656"/>
      <c r="AP134" s="590"/>
      <c r="AQ134" s="590"/>
      <c r="AR134" s="590"/>
      <c r="AS134" s="590"/>
      <c r="AT134" s="1665">
        <v>11</v>
      </c>
    </row>
    <row s="1665" customFormat="1" customHeight="1" ht="11.549999999999999">
      <c r="A135" s="1011"/>
      <c r="B135" s="1660"/>
      <c r="C135" s="1660"/>
      <c r="D135" s="375"/>
      <c r="J135" s="1665"/>
      <c r="K135" s="1665"/>
      <c r="L135" s="1665"/>
      <c r="M135" s="1665"/>
      <c r="N135" s="1665"/>
      <c r="O135" s="1665"/>
      <c r="P135" s="1665"/>
      <c r="Q135" s="1665"/>
      <c r="R135" s="1665"/>
      <c r="S135" s="1665"/>
      <c r="T135" s="1665"/>
      <c r="U135" s="1665"/>
      <c r="V135" s="1665"/>
      <c r="W135" s="1665"/>
      <c r="Y135" s="1184"/>
      <c r="Z135" s="1660"/>
      <c r="AA135" s="1660"/>
      <c r="AB135" s="1184"/>
      <c r="AC135" s="1184"/>
      <c r="AD135" s="1184"/>
      <c r="AE135" s="1184"/>
      <c r="AF135" s="1660"/>
      <c r="AG135" s="1184"/>
      <c r="AH135" s="1184"/>
      <c r="AI135" s="568"/>
      <c r="AJ135" s="1184"/>
      <c r="AK135" s="1184"/>
      <c r="AL135" s="1184"/>
      <c r="AM135" s="1184"/>
      <c r="AN135" s="1184"/>
      <c r="AO135" s="1656"/>
      <c r="AP135" s="590"/>
      <c r="AQ135" s="590"/>
      <c r="AR135" s="590"/>
      <c r="AS135" s="590"/>
      <c r="AT135" s="1665">
        <v>11</v>
      </c>
    </row>
    <row s="1665" customFormat="1" customHeight="1" ht="11.549999999999999">
      <c r="A136" s="1011"/>
      <c r="B136" s="1660"/>
      <c r="C136" s="1660"/>
      <c r="D136" s="375"/>
      <c r="J136" s="1665"/>
      <c r="K136" s="1665"/>
      <c r="L136" s="1665"/>
      <c r="M136" s="1665"/>
      <c r="N136" s="1665"/>
      <c r="O136" s="1665"/>
      <c r="P136" s="1665"/>
      <c r="Q136" s="1665"/>
      <c r="R136" s="1665"/>
      <c r="S136" s="1665"/>
      <c r="T136" s="1665"/>
      <c r="U136" s="1665"/>
      <c r="V136" s="1665"/>
      <c r="W136" s="1665"/>
      <c r="Y136" s="1184"/>
      <c r="Z136" s="1660"/>
      <c r="AA136" s="1660"/>
      <c r="AB136" s="1184"/>
      <c r="AC136" s="1184"/>
      <c r="AD136" s="1184"/>
      <c r="AE136" s="1184"/>
      <c r="AF136" s="1660"/>
      <c r="AG136" s="1184"/>
      <c r="AH136" s="1184"/>
      <c r="AI136" s="568"/>
      <c r="AJ136" s="1184"/>
      <c r="AK136" s="1184"/>
      <c r="AL136" s="1184"/>
      <c r="AM136" s="1184"/>
      <c r="AN136" s="1184"/>
      <c r="AO136" s="1656"/>
      <c r="AP136" s="590"/>
      <c r="AQ136" s="590"/>
      <c r="AR136" s="590"/>
      <c r="AS136" s="590"/>
      <c r="AT136" s="1665">
        <v>11</v>
      </c>
    </row>
    <row s="1665" customFormat="1" customHeight="1" ht="11.549999999999999">
      <c r="A137" s="1011"/>
      <c r="B137" s="1660"/>
      <c r="C137" s="1660"/>
      <c r="D137" s="375"/>
      <c r="J137" s="1665"/>
      <c r="K137" s="1665"/>
      <c r="L137" s="1665"/>
      <c r="M137" s="1665"/>
      <c r="N137" s="1665"/>
      <c r="O137" s="1665"/>
      <c r="P137" s="1665"/>
      <c r="Q137" s="1665"/>
      <c r="R137" s="1665"/>
      <c r="S137" s="1665"/>
      <c r="T137" s="1665"/>
      <c r="U137" s="1665"/>
      <c r="V137" s="1665"/>
      <c r="W137" s="1665"/>
      <c r="Y137" s="1184"/>
      <c r="Z137" s="1660"/>
      <c r="AA137" s="1660"/>
      <c r="AB137" s="1184"/>
      <c r="AC137" s="1184"/>
      <c r="AD137" s="1184"/>
      <c r="AE137" s="1184"/>
      <c r="AF137" s="1660"/>
      <c r="AG137" s="1184"/>
      <c r="AH137" s="1184"/>
      <c r="AI137" s="568"/>
      <c r="AJ137" s="1184"/>
      <c r="AK137" s="1184"/>
      <c r="AL137" s="1184"/>
      <c r="AM137" s="1184"/>
      <c r="AN137" s="1184"/>
      <c r="AO137" s="1656"/>
      <c r="AP137" s="590"/>
      <c r="AQ137" s="590"/>
      <c r="AR137" s="590"/>
      <c r="AS137" s="590"/>
      <c r="AT137" s="1665">
        <v>11</v>
      </c>
    </row>
    <row s="1665" customFormat="1" customHeight="1" ht="11.549999999999999">
      <c r="A138" s="1011"/>
      <c r="B138" s="1660"/>
      <c r="C138" s="1660"/>
      <c r="D138" s="375"/>
      <c r="J138" s="1665"/>
      <c r="K138" s="1665"/>
      <c r="L138" s="1665"/>
      <c r="M138" s="1665"/>
      <c r="N138" s="1665"/>
      <c r="O138" s="1665"/>
      <c r="P138" s="1665"/>
      <c r="Q138" s="1665"/>
      <c r="R138" s="1665"/>
      <c r="S138" s="1665"/>
      <c r="T138" s="1665"/>
      <c r="U138" s="1665"/>
      <c r="V138" s="1665"/>
      <c r="W138" s="1665"/>
      <c r="Y138" s="1184"/>
      <c r="Z138" s="1660"/>
      <c r="AA138" s="1660"/>
      <c r="AB138" s="1184"/>
      <c r="AC138" s="1184"/>
      <c r="AD138" s="1184"/>
      <c r="AE138" s="1184"/>
      <c r="AF138" s="1660"/>
      <c r="AG138" s="1184"/>
      <c r="AH138" s="1184"/>
      <c r="AI138" s="568"/>
      <c r="AJ138" s="1184"/>
      <c r="AK138" s="1184"/>
      <c r="AL138" s="1184"/>
      <c r="AM138" s="1184"/>
      <c r="AN138" s="1184"/>
      <c r="AO138" s="1656"/>
      <c r="AP138" s="590"/>
      <c r="AQ138" s="590"/>
      <c r="AR138" s="590"/>
      <c r="AS138" s="590"/>
      <c r="AT138" s="1665">
        <v>11</v>
      </c>
    </row>
    <row s="1665" customFormat="1" customHeight="1" ht="11.549999999999999">
      <c r="A139" s="1011"/>
      <c r="B139" s="1660"/>
      <c r="C139" s="1660"/>
      <c r="D139" s="375"/>
      <c r="J139" s="1665"/>
      <c r="K139" s="1665"/>
      <c r="L139" s="1665"/>
      <c r="M139" s="1665"/>
      <c r="N139" s="1665"/>
      <c r="O139" s="1665"/>
      <c r="P139" s="1665"/>
      <c r="Q139" s="1665"/>
      <c r="R139" s="1665"/>
      <c r="S139" s="1665"/>
      <c r="T139" s="1665"/>
      <c r="U139" s="1665"/>
      <c r="V139" s="1665"/>
      <c r="W139" s="1665"/>
      <c r="Y139" s="1184"/>
      <c r="Z139" s="1660"/>
      <c r="AA139" s="1660"/>
      <c r="AB139" s="1184"/>
      <c r="AC139" s="1184"/>
      <c r="AD139" s="1184"/>
      <c r="AE139" s="1184"/>
      <c r="AF139" s="1660"/>
      <c r="AG139" s="1184"/>
      <c r="AH139" s="1184"/>
      <c r="AI139" s="568"/>
      <c r="AJ139" s="1184"/>
      <c r="AK139" s="1184"/>
      <c r="AL139" s="1184"/>
      <c r="AM139" s="1184"/>
      <c r="AN139" s="1184"/>
      <c r="AO139" s="1656"/>
      <c r="AP139" s="590"/>
      <c r="AQ139" s="590"/>
      <c r="AR139" s="590"/>
      <c r="AS139" s="590"/>
      <c r="AT139" s="1665">
        <v>11</v>
      </c>
    </row>
    <row s="1665" customFormat="1" customHeight="1" ht="11.549999999999999">
      <c r="A140" s="1011"/>
      <c r="B140" s="1660"/>
      <c r="C140" s="1660"/>
      <c r="D140" s="375"/>
      <c r="J140" s="1665"/>
      <c r="K140" s="1665"/>
      <c r="L140" s="1665"/>
      <c r="M140" s="1665"/>
      <c r="N140" s="1665"/>
      <c r="O140" s="1665"/>
      <c r="P140" s="1665"/>
      <c r="Q140" s="1665"/>
      <c r="R140" s="1665"/>
      <c r="S140" s="1665"/>
      <c r="T140" s="1665"/>
      <c r="U140" s="1665"/>
      <c r="V140" s="1665"/>
      <c r="W140" s="1665"/>
      <c r="Y140" s="1184"/>
      <c r="Z140" s="1660"/>
      <c r="AA140" s="1660"/>
      <c r="AB140" s="1184"/>
      <c r="AC140" s="1184"/>
      <c r="AD140" s="1184"/>
      <c r="AE140" s="1184"/>
      <c r="AF140" s="1660"/>
      <c r="AG140" s="1184"/>
      <c r="AH140" s="1184"/>
      <c r="AI140" s="568"/>
      <c r="AJ140" s="1184"/>
      <c r="AK140" s="1184"/>
      <c r="AL140" s="1184"/>
      <c r="AM140" s="1184"/>
      <c r="AN140" s="1184"/>
      <c r="AO140" s="1656"/>
      <c r="AP140" s="590"/>
      <c r="AQ140" s="590"/>
      <c r="AR140" s="590"/>
      <c r="AS140" s="590"/>
      <c r="AT140" s="1665">
        <v>11</v>
      </c>
    </row>
    <row s="1665" customFormat="1" customHeight="1" ht="11.549999999999999">
      <c r="A141" s="1011"/>
      <c r="B141" s="1660"/>
      <c r="C141" s="1660"/>
      <c r="D141" s="375"/>
      <c r="J141" s="1665"/>
      <c r="K141" s="1665"/>
      <c r="L141" s="1665"/>
      <c r="M141" s="1665"/>
      <c r="N141" s="1665"/>
      <c r="O141" s="1665"/>
      <c r="P141" s="1665"/>
      <c r="Q141" s="1665"/>
      <c r="R141" s="1665"/>
      <c r="S141" s="1665"/>
      <c r="T141" s="1665"/>
      <c r="U141" s="1665"/>
      <c r="V141" s="1665"/>
      <c r="W141" s="1665"/>
      <c r="Y141" s="1184"/>
      <c r="Z141" s="1660"/>
      <c r="AA141" s="1660"/>
      <c r="AB141" s="1184"/>
      <c r="AC141" s="1184"/>
      <c r="AD141" s="1184"/>
      <c r="AE141" s="1184"/>
      <c r="AF141" s="1660"/>
      <c r="AG141" s="1184"/>
      <c r="AH141" s="1184"/>
      <c r="AI141" s="568"/>
      <c r="AJ141" s="1184"/>
      <c r="AK141" s="1184"/>
      <c r="AL141" s="1184"/>
      <c r="AM141" s="1184"/>
      <c r="AN141" s="1184"/>
      <c r="AO141" s="1656"/>
      <c r="AP141" s="590"/>
      <c r="AQ141" s="590"/>
      <c r="AR141" s="590"/>
      <c r="AS141" s="590"/>
      <c r="AT141" s="1665">
        <v>11</v>
      </c>
    </row>
    <row s="1665" customFormat="1" customHeight="1" ht="11.549999999999999">
      <c r="A142" s="1011"/>
      <c r="B142" s="1660"/>
      <c r="C142" s="1660"/>
      <c r="D142" s="375"/>
      <c r="J142" s="1665"/>
      <c r="K142" s="1665"/>
      <c r="L142" s="1665"/>
      <c r="M142" s="1665"/>
      <c r="N142" s="1665"/>
      <c r="O142" s="1665"/>
      <c r="P142" s="1665"/>
      <c r="Q142" s="1665"/>
      <c r="R142" s="1665"/>
      <c r="S142" s="1665"/>
      <c r="T142" s="1665"/>
      <c r="U142" s="1665"/>
      <c r="V142" s="1665"/>
      <c r="W142" s="1665"/>
      <c r="Y142" s="1184"/>
      <c r="Z142" s="1660"/>
      <c r="AA142" s="1660"/>
      <c r="AB142" s="1184"/>
      <c r="AC142" s="1184"/>
      <c r="AD142" s="1184"/>
      <c r="AE142" s="1184"/>
      <c r="AF142" s="1660"/>
      <c r="AG142" s="1184"/>
      <c r="AH142" s="1184"/>
      <c r="AI142" s="568"/>
      <c r="AJ142" s="1184"/>
      <c r="AK142" s="1184"/>
      <c r="AL142" s="1184"/>
      <c r="AM142" s="1184"/>
      <c r="AN142" s="1184"/>
      <c r="AO142" s="1656"/>
      <c r="AP142" s="590"/>
      <c r="AQ142" s="590"/>
      <c r="AR142" s="590"/>
      <c r="AS142" s="590"/>
      <c r="AT142" s="1665">
        <v>11</v>
      </c>
    </row>
    <row s="1665" customFormat="1" customHeight="1" ht="11.549999999999999">
      <c r="A143" s="1011"/>
      <c r="B143" s="1660"/>
      <c r="C143" s="1660"/>
      <c r="D143" s="375"/>
      <c r="J143" s="1665"/>
      <c r="K143" s="1665"/>
      <c r="L143" s="1665"/>
      <c r="M143" s="1665"/>
      <c r="N143" s="1665"/>
      <c r="O143" s="1665"/>
      <c r="P143" s="1665"/>
      <c r="Q143" s="1665"/>
      <c r="R143" s="1665"/>
      <c r="S143" s="1665"/>
      <c r="T143" s="1665"/>
      <c r="U143" s="1665"/>
      <c r="V143" s="1665"/>
      <c r="W143" s="1665"/>
      <c r="Y143" s="1184"/>
      <c r="Z143" s="1660"/>
      <c r="AA143" s="1660"/>
      <c r="AB143" s="1184"/>
      <c r="AC143" s="1184"/>
      <c r="AD143" s="1184"/>
      <c r="AE143" s="1184"/>
      <c r="AF143" s="1660"/>
      <c r="AG143" s="1184"/>
      <c r="AH143" s="1184"/>
      <c r="AI143" s="568"/>
      <c r="AJ143" s="1184"/>
      <c r="AK143" s="1184"/>
      <c r="AL143" s="1184"/>
      <c r="AM143" s="1184"/>
      <c r="AN143" s="1184"/>
      <c r="AO143" s="1656"/>
      <c r="AP143" s="590"/>
      <c r="AQ143" s="590"/>
      <c r="AR143" s="590"/>
      <c r="AS143" s="590"/>
      <c r="AT143" s="1665">
        <v>11</v>
      </c>
    </row>
    <row s="1665" customFormat="1" customHeight="1" ht="11.549999999999999">
      <c r="A144" s="1011"/>
      <c r="B144" s="1660"/>
      <c r="C144" s="1660"/>
      <c r="D144" s="375"/>
      <c r="J144" s="1665"/>
      <c r="K144" s="1665"/>
      <c r="L144" s="1665"/>
      <c r="M144" s="1665"/>
      <c r="N144" s="1665"/>
      <c r="O144" s="1665"/>
      <c r="P144" s="1665"/>
      <c r="Q144" s="1665"/>
      <c r="R144" s="1665"/>
      <c r="S144" s="1665"/>
      <c r="T144" s="1665"/>
      <c r="U144" s="1665"/>
      <c r="V144" s="1665"/>
      <c r="W144" s="1665"/>
      <c r="Y144" s="1184"/>
      <c r="Z144" s="1660"/>
      <c r="AA144" s="1660"/>
      <c r="AB144" s="1184"/>
      <c r="AC144" s="1184"/>
      <c r="AD144" s="1184"/>
      <c r="AE144" s="1184"/>
      <c r="AF144" s="1660"/>
      <c r="AG144" s="1184"/>
      <c r="AH144" s="1184"/>
      <c r="AI144" s="568"/>
      <c r="AJ144" s="1184"/>
      <c r="AK144" s="1184"/>
      <c r="AL144" s="1184"/>
      <c r="AM144" s="1184"/>
      <c r="AN144" s="1184"/>
      <c r="AO144" s="1656"/>
      <c r="AP144" s="590"/>
      <c r="AQ144" s="590"/>
      <c r="AR144" s="590"/>
      <c r="AS144" s="590"/>
      <c r="AT144" s="1665">
        <v>11</v>
      </c>
    </row>
    <row s="1665" customFormat="1" customHeight="1" ht="11.549999999999999">
      <c r="A145" s="1011"/>
      <c r="B145" s="1660"/>
      <c r="C145" s="1660"/>
      <c r="D145" s="375"/>
      <c r="J145" s="1665"/>
      <c r="K145" s="1665"/>
      <c r="L145" s="1665"/>
      <c r="M145" s="1665"/>
      <c r="N145" s="1665"/>
      <c r="O145" s="1665"/>
      <c r="P145" s="1665"/>
      <c r="Q145" s="1665"/>
      <c r="R145" s="1665"/>
      <c r="S145" s="1665"/>
      <c r="T145" s="1665"/>
      <c r="U145" s="1665"/>
      <c r="V145" s="1665"/>
      <c r="W145" s="1665"/>
      <c r="Y145" s="1184"/>
      <c r="Z145" s="1660"/>
      <c r="AA145" s="1660"/>
      <c r="AB145" s="1184"/>
      <c r="AC145" s="1184"/>
      <c r="AD145" s="1184"/>
      <c r="AE145" s="1184"/>
      <c r="AF145" s="1660"/>
      <c r="AG145" s="1184"/>
      <c r="AH145" s="1184"/>
      <c r="AI145" s="568"/>
      <c r="AJ145" s="1184"/>
      <c r="AK145" s="1184"/>
      <c r="AL145" s="1184"/>
      <c r="AM145" s="1184"/>
      <c r="AN145" s="1184"/>
      <c r="AO145" s="1656"/>
      <c r="AP145" s="590"/>
      <c r="AQ145" s="590"/>
      <c r="AR145" s="590"/>
      <c r="AS145" s="590"/>
      <c r="AT145" s="1665">
        <v>11</v>
      </c>
    </row>
    <row s="1665" customFormat="1" customHeight="1" ht="11.549999999999999">
      <c r="A146" s="1011"/>
      <c r="B146" s="1660"/>
      <c r="C146" s="1660"/>
      <c r="D146" s="375"/>
      <c r="J146" s="1665"/>
      <c r="K146" s="1665"/>
      <c r="L146" s="1665"/>
      <c r="M146" s="1665"/>
      <c r="N146" s="1665"/>
      <c r="O146" s="1665"/>
      <c r="P146" s="1665"/>
      <c r="Q146" s="1665"/>
      <c r="R146" s="1665"/>
      <c r="S146" s="1665"/>
      <c r="T146" s="1665"/>
      <c r="U146" s="1665"/>
      <c r="V146" s="1665"/>
      <c r="W146" s="1665"/>
      <c r="Y146" s="1184"/>
      <c r="Z146" s="1660"/>
      <c r="AA146" s="1660"/>
      <c r="AB146" s="1184"/>
      <c r="AC146" s="1184"/>
      <c r="AD146" s="1184"/>
      <c r="AE146" s="1184"/>
      <c r="AF146" s="1660"/>
      <c r="AG146" s="1184"/>
      <c r="AH146" s="1184"/>
      <c r="AI146" s="568"/>
      <c r="AJ146" s="1184"/>
      <c r="AK146" s="1184"/>
      <c r="AL146" s="1184"/>
      <c r="AM146" s="1184"/>
      <c r="AN146" s="1184"/>
      <c r="AO146" s="1656"/>
      <c r="AP146" s="590"/>
      <c r="AQ146" s="590"/>
      <c r="AR146" s="590"/>
      <c r="AS146" s="590"/>
      <c r="AT146" s="1665">
        <v>11</v>
      </c>
    </row>
    <row s="1665" customFormat="1" customHeight="1" ht="11.549999999999999">
      <c r="A147" s="1011"/>
      <c r="B147" s="1660"/>
      <c r="C147" s="1660"/>
      <c r="D147" s="375"/>
      <c r="J147" s="1665"/>
      <c r="K147" s="1665"/>
      <c r="L147" s="1665"/>
      <c r="M147" s="1665"/>
      <c r="N147" s="1665"/>
      <c r="O147" s="1665"/>
      <c r="P147" s="1665"/>
      <c r="Q147" s="1665"/>
      <c r="R147" s="1665"/>
      <c r="S147" s="1665"/>
      <c r="T147" s="1665"/>
      <c r="U147" s="1665"/>
      <c r="V147" s="1665"/>
      <c r="W147" s="1665"/>
      <c r="Y147" s="1184"/>
      <c r="Z147" s="1660"/>
      <c r="AA147" s="1660"/>
      <c r="AB147" s="1184"/>
      <c r="AC147" s="1184"/>
      <c r="AD147" s="1184"/>
      <c r="AE147" s="1184"/>
      <c r="AF147" s="1660"/>
      <c r="AG147" s="1184"/>
      <c r="AH147" s="1184"/>
      <c r="AI147" s="568"/>
      <c r="AJ147" s="1184"/>
      <c r="AK147" s="1184"/>
      <c r="AL147" s="1184"/>
      <c r="AM147" s="1184"/>
      <c r="AN147" s="1184"/>
      <c r="AO147" s="1656"/>
      <c r="AP147" s="590"/>
      <c r="AQ147" s="590"/>
      <c r="AR147" s="590"/>
      <c r="AS147" s="590"/>
      <c r="AT147" s="1665">
        <v>11</v>
      </c>
    </row>
    <row s="1665" customFormat="1" customHeight="1" ht="11.549999999999999">
      <c r="A148" s="1011"/>
      <c r="B148" s="1660"/>
      <c r="C148" s="1660"/>
      <c r="D148" s="375"/>
      <c r="J148" s="1665"/>
      <c r="K148" s="1665"/>
      <c r="L148" s="1665"/>
      <c r="M148" s="1665"/>
      <c r="N148" s="1665"/>
      <c r="O148" s="1665"/>
      <c r="P148" s="1665"/>
      <c r="Q148" s="1665"/>
      <c r="R148" s="1665"/>
      <c r="S148" s="1665"/>
      <c r="T148" s="1665"/>
      <c r="U148" s="1665"/>
      <c r="V148" s="1665"/>
      <c r="W148" s="1665"/>
      <c r="Y148" s="1184"/>
      <c r="Z148" s="1660"/>
      <c r="AA148" s="1660"/>
      <c r="AB148" s="1184"/>
      <c r="AC148" s="1184"/>
      <c r="AD148" s="1184"/>
      <c r="AE148" s="1184"/>
      <c r="AF148" s="1660"/>
      <c r="AG148" s="1184"/>
      <c r="AH148" s="1184"/>
      <c r="AI148" s="568"/>
      <c r="AJ148" s="1184"/>
      <c r="AK148" s="1184"/>
      <c r="AL148" s="1184"/>
      <c r="AM148" s="1184"/>
      <c r="AN148" s="1184"/>
      <c r="AO148" s="1656"/>
      <c r="AP148" s="590"/>
      <c r="AQ148" s="590"/>
      <c r="AR148" s="590"/>
      <c r="AS148" s="590"/>
      <c r="AT148" s="1665">
        <v>11</v>
      </c>
    </row>
    <row s="1665" customFormat="1" customHeight="1" ht="11.549999999999999">
      <c r="A149" s="1011"/>
      <c r="B149" s="1660"/>
      <c r="C149" s="1660"/>
      <c r="D149" s="375"/>
      <c r="J149" s="1665"/>
      <c r="K149" s="1665"/>
      <c r="L149" s="1665"/>
      <c r="M149" s="1665"/>
      <c r="N149" s="1665"/>
      <c r="O149" s="1665"/>
      <c r="P149" s="1665"/>
      <c r="Q149" s="1665"/>
      <c r="R149" s="1665"/>
      <c r="S149" s="1665"/>
      <c r="T149" s="1665"/>
      <c r="U149" s="1665"/>
      <c r="V149" s="1665"/>
      <c r="W149" s="1665"/>
      <c r="Y149" s="1184"/>
      <c r="Z149" s="1660"/>
      <c r="AA149" s="1660"/>
      <c r="AB149" s="1184"/>
      <c r="AC149" s="1184"/>
      <c r="AD149" s="1184"/>
      <c r="AE149" s="1184"/>
      <c r="AF149" s="1660"/>
      <c r="AG149" s="1184"/>
      <c r="AH149" s="1184"/>
      <c r="AI149" s="568"/>
      <c r="AJ149" s="1184"/>
      <c r="AK149" s="1184"/>
      <c r="AL149" s="1184"/>
      <c r="AM149" s="1184"/>
      <c r="AN149" s="1184"/>
      <c r="AO149" s="1656"/>
      <c r="AP149" s="590"/>
      <c r="AQ149" s="590"/>
      <c r="AR149" s="590"/>
      <c r="AS149" s="590"/>
      <c r="AT149" s="1665">
        <v>11</v>
      </c>
    </row>
    <row s="1665" customFormat="1" customHeight="1" ht="11.549999999999999">
      <c r="A150" s="1011"/>
      <c r="B150" s="1660"/>
      <c r="C150" s="1660"/>
      <c r="D150" s="375"/>
      <c r="J150" s="1665"/>
      <c r="K150" s="1665"/>
      <c r="L150" s="1665"/>
      <c r="M150" s="1665"/>
      <c r="N150" s="1665"/>
      <c r="O150" s="1665"/>
      <c r="P150" s="1665"/>
      <c r="Q150" s="1665"/>
      <c r="R150" s="1665"/>
      <c r="S150" s="1665"/>
      <c r="T150" s="1665"/>
      <c r="U150" s="1665"/>
      <c r="V150" s="1665"/>
      <c r="W150" s="1665"/>
      <c r="Y150" s="1184"/>
      <c r="Z150" s="1660"/>
      <c r="AA150" s="1660"/>
      <c r="AB150" s="1184"/>
      <c r="AC150" s="1184"/>
      <c r="AD150" s="1184"/>
      <c r="AE150" s="1184"/>
      <c r="AF150" s="1660"/>
      <c r="AG150" s="1184"/>
      <c r="AH150" s="1184"/>
      <c r="AI150" s="568"/>
      <c r="AJ150" s="1184"/>
      <c r="AK150" s="1184"/>
      <c r="AL150" s="1184"/>
      <c r="AM150" s="1184"/>
      <c r="AN150" s="1184"/>
      <c r="AO150" s="1656"/>
      <c r="AP150" s="590"/>
      <c r="AQ150" s="590"/>
      <c r="AR150" s="590"/>
      <c r="AS150" s="590"/>
      <c r="AT150" s="1665">
        <v>11</v>
      </c>
    </row>
    <row s="1665" customFormat="1" customHeight="1" ht="11.549999999999999">
      <c r="A151" s="1011"/>
      <c r="B151" s="1660"/>
      <c r="C151" s="1660"/>
      <c r="D151" s="375"/>
      <c r="J151" s="1665"/>
      <c r="K151" s="1665"/>
      <c r="L151" s="1665"/>
      <c r="M151" s="1665"/>
      <c r="N151" s="1665"/>
      <c r="O151" s="1665"/>
      <c r="P151" s="1665"/>
      <c r="Q151" s="1665"/>
      <c r="R151" s="1665"/>
      <c r="S151" s="1665"/>
      <c r="T151" s="1665"/>
      <c r="U151" s="1665"/>
      <c r="V151" s="1665"/>
      <c r="W151" s="1665"/>
      <c r="Y151" s="1184"/>
      <c r="Z151" s="1660"/>
      <c r="AA151" s="1660"/>
      <c r="AB151" s="1184"/>
      <c r="AC151" s="1184"/>
      <c r="AD151" s="1184"/>
      <c r="AE151" s="1184"/>
      <c r="AF151" s="1660"/>
      <c r="AG151" s="1184"/>
      <c r="AH151" s="1184"/>
      <c r="AI151" s="568"/>
      <c r="AJ151" s="1184"/>
      <c r="AK151" s="1184"/>
      <c r="AL151" s="1184"/>
      <c r="AM151" s="1184"/>
      <c r="AN151" s="1184"/>
      <c r="AO151" s="1656"/>
      <c r="AP151" s="590"/>
      <c r="AQ151" s="590"/>
      <c r="AR151" s="590"/>
      <c r="AS151" s="590"/>
      <c r="AT151" s="1665">
        <v>11</v>
      </c>
    </row>
    <row s="1665" customFormat="1" customHeight="1" ht="11.549999999999999">
      <c r="A152" s="1011"/>
      <c r="B152" s="1660"/>
      <c r="C152" s="1660"/>
      <c r="D152" s="375"/>
      <c r="J152" s="1665"/>
      <c r="K152" s="1665"/>
      <c r="L152" s="1665"/>
      <c r="M152" s="1665"/>
      <c r="N152" s="1665"/>
      <c r="O152" s="1665"/>
      <c r="P152" s="1665"/>
      <c r="Q152" s="1665"/>
      <c r="R152" s="1665"/>
      <c r="S152" s="1665"/>
      <c r="T152" s="1665"/>
      <c r="U152" s="1665"/>
      <c r="V152" s="1665"/>
      <c r="W152" s="1665"/>
      <c r="Y152" s="1184"/>
      <c r="Z152" s="1660"/>
      <c r="AA152" s="1660"/>
      <c r="AB152" s="1184"/>
      <c r="AC152" s="1184"/>
      <c r="AD152" s="1184"/>
      <c r="AE152" s="1184"/>
      <c r="AF152" s="1660"/>
      <c r="AG152" s="1184"/>
      <c r="AH152" s="1184"/>
      <c r="AI152" s="568"/>
      <c r="AJ152" s="1184"/>
      <c r="AK152" s="1184"/>
      <c r="AL152" s="1184"/>
      <c r="AM152" s="1184"/>
      <c r="AN152" s="1184"/>
      <c r="AO152" s="1656"/>
      <c r="AP152" s="590"/>
      <c r="AQ152" s="590"/>
      <c r="AR152" s="590"/>
      <c r="AS152" s="590"/>
      <c r="AT152" s="1665">
        <v>11</v>
      </c>
    </row>
    <row s="1665" customFormat="1" customHeight="1" ht="11.549999999999999">
      <c r="A153" s="1011"/>
      <c r="B153" s="1660"/>
      <c r="C153" s="1660"/>
      <c r="D153" s="375"/>
      <c r="J153" s="1665"/>
      <c r="K153" s="1665"/>
      <c r="L153" s="1665"/>
      <c r="M153" s="1665"/>
      <c r="N153" s="1665"/>
      <c r="O153" s="1665"/>
      <c r="P153" s="1665"/>
      <c r="Q153" s="1665"/>
      <c r="R153" s="1665"/>
      <c r="S153" s="1665"/>
      <c r="T153" s="1665"/>
      <c r="U153" s="1665"/>
      <c r="V153" s="1665"/>
      <c r="W153" s="1665"/>
      <c r="Y153" s="1184"/>
      <c r="Z153" s="1660"/>
      <c r="AA153" s="1660"/>
      <c r="AB153" s="1184"/>
      <c r="AC153" s="1184"/>
      <c r="AD153" s="1184"/>
      <c r="AE153" s="1184"/>
      <c r="AF153" s="1660"/>
      <c r="AG153" s="1184"/>
      <c r="AH153" s="1184"/>
      <c r="AI153" s="568"/>
      <c r="AJ153" s="1184"/>
      <c r="AK153" s="1184"/>
      <c r="AL153" s="1184"/>
      <c r="AM153" s="1184"/>
      <c r="AN153" s="1184"/>
      <c r="AO153" s="1656"/>
      <c r="AP153" s="590"/>
      <c r="AQ153" s="590"/>
      <c r="AR153" s="590"/>
      <c r="AS153" s="590"/>
      <c r="AT153" s="1665">
        <v>11</v>
      </c>
    </row>
    <row s="1665" customFormat="1" customHeight="1" ht="11.549999999999999">
      <c r="A154" s="1011"/>
      <c r="B154" s="1660"/>
      <c r="C154" s="1660"/>
      <c r="D154" s="375"/>
      <c r="J154" s="1665"/>
      <c r="K154" s="1665"/>
      <c r="L154" s="1665"/>
      <c r="M154" s="1665"/>
      <c r="N154" s="1665"/>
      <c r="O154" s="1665"/>
      <c r="P154" s="1665"/>
      <c r="Q154" s="1665"/>
      <c r="R154" s="1665"/>
      <c r="S154" s="1665"/>
      <c r="T154" s="1665"/>
      <c r="U154" s="1665"/>
      <c r="V154" s="1665"/>
      <c r="W154" s="1665"/>
      <c r="Y154" s="1184"/>
      <c r="Z154" s="1660"/>
      <c r="AA154" s="1660"/>
      <c r="AB154" s="1184"/>
      <c r="AC154" s="1184"/>
      <c r="AD154" s="1184"/>
      <c r="AE154" s="1184"/>
      <c r="AF154" s="1660"/>
      <c r="AG154" s="1184"/>
      <c r="AH154" s="1184"/>
      <c r="AI154" s="568"/>
      <c r="AJ154" s="1184"/>
      <c r="AK154" s="1184"/>
      <c r="AL154" s="1184"/>
      <c r="AM154" s="1184"/>
      <c r="AN154" s="1184"/>
      <c r="AO154" s="1656"/>
      <c r="AP154" s="590"/>
      <c r="AQ154" s="590"/>
      <c r="AR154" s="590"/>
      <c r="AS154" s="590"/>
      <c r="AT154" s="1665">
        <v>11</v>
      </c>
    </row>
    <row s="1665" customFormat="1" customHeight="1" ht="11.549999999999999">
      <c r="A155" s="1011"/>
      <c r="B155" s="1660"/>
      <c r="C155" s="1660"/>
      <c r="D155" s="375"/>
      <c r="J155" s="1665"/>
      <c r="K155" s="1665"/>
      <c r="L155" s="1665"/>
      <c r="M155" s="1665"/>
      <c r="N155" s="1665"/>
      <c r="O155" s="1665"/>
      <c r="P155" s="1665"/>
      <c r="Q155" s="1665"/>
      <c r="R155" s="1665"/>
      <c r="S155" s="1665"/>
      <c r="T155" s="1665"/>
      <c r="U155" s="1665"/>
      <c r="V155" s="1665"/>
      <c r="W155" s="1665"/>
      <c r="Y155" s="1184"/>
      <c r="Z155" s="1660"/>
      <c r="AA155" s="1660"/>
      <c r="AB155" s="1184"/>
      <c r="AC155" s="1184"/>
      <c r="AD155" s="1184"/>
      <c r="AE155" s="1184"/>
      <c r="AF155" s="1660"/>
      <c r="AG155" s="1184"/>
      <c r="AH155" s="1184"/>
      <c r="AI155" s="568"/>
      <c r="AJ155" s="1184"/>
      <c r="AK155" s="1184"/>
      <c r="AL155" s="1184"/>
      <c r="AM155" s="1184"/>
      <c r="AN155" s="1184"/>
      <c r="AO155" s="1656"/>
      <c r="AP155" s="590"/>
      <c r="AQ155" s="590"/>
      <c r="AR155" s="590"/>
      <c r="AS155" s="590"/>
      <c r="AT155" s="1665">
        <v>11</v>
      </c>
    </row>
    <row s="1665" customFormat="1" customHeight="1" ht="11.549999999999999">
      <c r="A156" s="1011"/>
      <c r="B156" s="1660"/>
      <c r="C156" s="1660"/>
      <c r="D156" s="375"/>
      <c r="J156" s="1665"/>
      <c r="K156" s="1665"/>
      <c r="L156" s="1665"/>
      <c r="M156" s="1665"/>
      <c r="N156" s="1665"/>
      <c r="O156" s="1665"/>
      <c r="P156" s="1665"/>
      <c r="Q156" s="1665"/>
      <c r="R156" s="1665"/>
      <c r="S156" s="1665"/>
      <c r="T156" s="1665"/>
      <c r="U156" s="1665"/>
      <c r="V156" s="1665"/>
      <c r="W156" s="1665"/>
      <c r="Y156" s="1184"/>
      <c r="Z156" s="1660"/>
      <c r="AA156" s="1660"/>
      <c r="AB156" s="1184"/>
      <c r="AC156" s="1184"/>
      <c r="AD156" s="1184"/>
      <c r="AE156" s="1184"/>
      <c r="AF156" s="1660"/>
      <c r="AG156" s="1184"/>
      <c r="AH156" s="1184"/>
      <c r="AI156" s="568"/>
      <c r="AJ156" s="1184"/>
      <c r="AK156" s="1184"/>
      <c r="AL156" s="1184"/>
      <c r="AM156" s="1184"/>
      <c r="AN156" s="1184"/>
      <c r="AO156" s="1656"/>
      <c r="AP156" s="590"/>
      <c r="AQ156" s="590"/>
      <c r="AR156" s="590"/>
      <c r="AS156" s="590"/>
      <c r="AT156" s="1665">
        <v>11</v>
      </c>
    </row>
    <row s="1665" customFormat="1" customHeight="1" ht="11.549999999999999">
      <c r="A157" s="1011"/>
      <c r="B157" s="1660"/>
      <c r="C157" s="1660"/>
      <c r="D157" s="375"/>
      <c r="J157" s="1665"/>
      <c r="K157" s="1665"/>
      <c r="L157" s="1665"/>
      <c r="M157" s="1665"/>
      <c r="N157" s="1665"/>
      <c r="O157" s="1665"/>
      <c r="P157" s="1665"/>
      <c r="Q157" s="1665"/>
      <c r="R157" s="1665"/>
      <c r="S157" s="1665"/>
      <c r="T157" s="1665"/>
      <c r="U157" s="1665"/>
      <c r="V157" s="1665"/>
      <c r="W157" s="1665"/>
      <c r="Y157" s="1184"/>
      <c r="Z157" s="1660"/>
      <c r="AA157" s="1660"/>
      <c r="AB157" s="1184"/>
      <c r="AC157" s="1184"/>
      <c r="AD157" s="1184"/>
      <c r="AE157" s="1184"/>
      <c r="AF157" s="1660"/>
      <c r="AG157" s="1184"/>
      <c r="AH157" s="1184"/>
      <c r="AI157" s="568"/>
      <c r="AJ157" s="1184"/>
      <c r="AK157" s="1184"/>
      <c r="AL157" s="1184"/>
      <c r="AM157" s="1184"/>
      <c r="AN157" s="1184"/>
      <c r="AO157" s="1656"/>
      <c r="AP157" s="590"/>
      <c r="AQ157" s="590"/>
      <c r="AR157" s="590"/>
      <c r="AS157" s="590"/>
      <c r="AT157" s="1665">
        <v>11</v>
      </c>
    </row>
    <row s="1665" customFormat="1" customHeight="1" ht="11.549999999999999">
      <c r="A158" s="1011"/>
      <c r="B158" s="1660"/>
      <c r="C158" s="1660"/>
      <c r="D158" s="375"/>
      <c r="J158" s="1665"/>
      <c r="K158" s="1665"/>
      <c r="L158" s="1665"/>
      <c r="M158" s="1665"/>
      <c r="N158" s="1665"/>
      <c r="O158" s="1665"/>
      <c r="P158" s="1665"/>
      <c r="Q158" s="1665"/>
      <c r="R158" s="1665"/>
      <c r="S158" s="1665"/>
      <c r="T158" s="1665"/>
      <c r="U158" s="1665"/>
      <c r="V158" s="1665"/>
      <c r="W158" s="1665"/>
      <c r="Y158" s="1184"/>
      <c r="Z158" s="1660"/>
      <c r="AA158" s="1660"/>
      <c r="AB158" s="1184"/>
      <c r="AC158" s="1184"/>
      <c r="AD158" s="1184"/>
      <c r="AE158" s="1184"/>
      <c r="AF158" s="1660"/>
      <c r="AG158" s="1184"/>
      <c r="AH158" s="1184"/>
      <c r="AI158" s="568"/>
      <c r="AJ158" s="1184"/>
      <c r="AK158" s="1184"/>
      <c r="AL158" s="1184"/>
      <c r="AM158" s="1184"/>
      <c r="AN158" s="1184"/>
      <c r="AO158" s="1656"/>
      <c r="AP158" s="590"/>
      <c r="AQ158" s="590"/>
      <c r="AR158" s="590"/>
      <c r="AS158" s="590"/>
      <c r="AT158" s="1665">
        <v>11</v>
      </c>
    </row>
    <row s="1665" customFormat="1" customHeight="1" ht="11.549999999999999">
      <c r="A159" s="1011"/>
      <c r="B159" s="1660"/>
      <c r="C159" s="1660"/>
      <c r="D159" s="375"/>
      <c r="J159" s="1665"/>
      <c r="K159" s="1665"/>
      <c r="L159" s="1665"/>
      <c r="M159" s="1665"/>
      <c r="N159" s="1665"/>
      <c r="O159" s="1665"/>
      <c r="P159" s="1665"/>
      <c r="Q159" s="1665"/>
      <c r="R159" s="1665"/>
      <c r="S159" s="1665"/>
      <c r="T159" s="1665"/>
      <c r="U159" s="1665"/>
      <c r="V159" s="1665"/>
      <c r="W159" s="1665"/>
      <c r="Y159" s="1184"/>
      <c r="Z159" s="1660"/>
      <c r="AA159" s="1660"/>
      <c r="AB159" s="1184"/>
      <c r="AC159" s="1184"/>
      <c r="AD159" s="1184"/>
      <c r="AE159" s="1184"/>
      <c r="AF159" s="1660"/>
      <c r="AG159" s="1184"/>
      <c r="AH159" s="1184"/>
      <c r="AI159" s="568"/>
      <c r="AJ159" s="1184"/>
      <c r="AK159" s="1184"/>
      <c r="AL159" s="1184"/>
      <c r="AM159" s="1184"/>
      <c r="AN159" s="1184"/>
      <c r="AO159" s="1656"/>
      <c r="AP159" s="590"/>
      <c r="AQ159" s="590"/>
      <c r="AR159" s="590"/>
      <c r="AS159" s="590"/>
      <c r="AT159" s="1665">
        <v>11</v>
      </c>
    </row>
    <row s="1665" customFormat="1" customHeight="1" ht="11.549999999999999">
      <c r="A160" s="1011"/>
      <c r="B160" s="1660"/>
      <c r="C160" s="1660"/>
      <c r="D160" s="375"/>
      <c r="J160" s="1665"/>
      <c r="K160" s="1665"/>
      <c r="L160" s="1665"/>
      <c r="M160" s="1665"/>
      <c r="N160" s="1665"/>
      <c r="O160" s="1665"/>
      <c r="P160" s="1665"/>
      <c r="Q160" s="1665"/>
      <c r="R160" s="1665"/>
      <c r="S160" s="1665"/>
      <c r="T160" s="1665"/>
      <c r="U160" s="1665"/>
      <c r="V160" s="1665"/>
      <c r="W160" s="1665"/>
      <c r="Y160" s="1184"/>
      <c r="Z160" s="1660"/>
      <c r="AA160" s="1660"/>
      <c r="AB160" s="1184"/>
      <c r="AC160" s="1184"/>
      <c r="AD160" s="1184"/>
      <c r="AE160" s="1184"/>
      <c r="AF160" s="1660"/>
      <c r="AG160" s="1184"/>
      <c r="AH160" s="1184"/>
      <c r="AI160" s="568"/>
      <c r="AJ160" s="1184"/>
      <c r="AK160" s="1184"/>
      <c r="AL160" s="1184"/>
      <c r="AM160" s="1184"/>
      <c r="AN160" s="1184"/>
      <c r="AO160" s="1656"/>
      <c r="AP160" s="590"/>
      <c r="AQ160" s="590"/>
      <c r="AR160" s="590"/>
      <c r="AS160" s="590"/>
      <c r="AT160" s="1665">
        <v>11</v>
      </c>
    </row>
    <row s="1665" customFormat="1" customHeight="1" ht="11.549999999999999">
      <c r="A161" s="1011"/>
      <c r="B161" s="1660"/>
      <c r="C161" s="1660"/>
      <c r="D161" s="375"/>
      <c r="J161" s="1665"/>
      <c r="K161" s="1665"/>
      <c r="L161" s="1665"/>
      <c r="M161" s="1665"/>
      <c r="N161" s="1665"/>
      <c r="O161" s="1665"/>
      <c r="P161" s="1665"/>
      <c r="Q161" s="1665"/>
      <c r="R161" s="1665"/>
      <c r="S161" s="1665"/>
      <c r="T161" s="1665"/>
      <c r="U161" s="1665"/>
      <c r="V161" s="1665"/>
      <c r="W161" s="1665"/>
      <c r="Y161" s="1184"/>
      <c r="Z161" s="1660"/>
      <c r="AA161" s="1660"/>
      <c r="AB161" s="1184"/>
      <c r="AC161" s="1184"/>
      <c r="AD161" s="1184"/>
      <c r="AE161" s="1184"/>
      <c r="AF161" s="1660"/>
      <c r="AG161" s="1184"/>
      <c r="AH161" s="1184"/>
      <c r="AI161" s="568"/>
      <c r="AJ161" s="1184"/>
      <c r="AK161" s="1184"/>
      <c r="AL161" s="1184"/>
      <c r="AM161" s="1184"/>
      <c r="AN161" s="1184"/>
      <c r="AO161" s="1656"/>
      <c r="AP161" s="590"/>
      <c r="AQ161" s="590"/>
      <c r="AR161" s="590"/>
      <c r="AS161" s="590"/>
      <c r="AT161" s="1665">
        <v>11</v>
      </c>
    </row>
    <row s="1665" customFormat="1" customHeight="1" ht="11.549999999999999">
      <c r="A162" s="1011"/>
      <c r="B162" s="1660"/>
      <c r="C162" s="1660"/>
      <c r="D162" s="375"/>
      <c r="J162" s="1665"/>
      <c r="K162" s="1665"/>
      <c r="L162" s="1665"/>
      <c r="M162" s="1665"/>
      <c r="N162" s="1665"/>
      <c r="O162" s="1665"/>
      <c r="P162" s="1665"/>
      <c r="Q162" s="1665"/>
      <c r="R162" s="1665"/>
      <c r="S162" s="1665"/>
      <c r="T162" s="1665"/>
      <c r="U162" s="1665"/>
      <c r="V162" s="1665"/>
      <c r="W162" s="1665"/>
      <c r="Y162" s="1184"/>
      <c r="Z162" s="1660"/>
      <c r="AA162" s="1660"/>
      <c r="AB162" s="1184"/>
      <c r="AC162" s="1184"/>
      <c r="AD162" s="1184"/>
      <c r="AE162" s="1184"/>
      <c r="AF162" s="1660"/>
      <c r="AG162" s="1184"/>
      <c r="AH162" s="1184"/>
      <c r="AI162" s="568"/>
      <c r="AJ162" s="1184"/>
      <c r="AK162" s="1184"/>
      <c r="AL162" s="1184"/>
      <c r="AM162" s="1184"/>
      <c r="AN162" s="1184"/>
      <c r="AO162" s="1656"/>
      <c r="AP162" s="590"/>
      <c r="AQ162" s="590"/>
      <c r="AR162" s="590"/>
      <c r="AS162" s="590"/>
      <c r="AT162" s="1665">
        <v>11</v>
      </c>
    </row>
    <row s="1665" customFormat="1" customHeight="1" ht="11.549999999999999">
      <c r="A163" s="1011"/>
      <c r="B163" s="1660"/>
      <c r="C163" s="1660"/>
      <c r="D163" s="375"/>
      <c r="J163" s="1665"/>
      <c r="K163" s="1665"/>
      <c r="L163" s="1665"/>
      <c r="M163" s="1665"/>
      <c r="N163" s="1665"/>
      <c r="O163" s="1665"/>
      <c r="P163" s="1665"/>
      <c r="Q163" s="1665"/>
      <c r="R163" s="1665"/>
      <c r="S163" s="1665"/>
      <c r="T163" s="1665"/>
      <c r="U163" s="1665"/>
      <c r="V163" s="1665"/>
      <c r="W163" s="1665"/>
      <c r="Y163" s="1184"/>
      <c r="Z163" s="1660"/>
      <c r="AA163" s="1660"/>
      <c r="AB163" s="1184"/>
      <c r="AC163" s="1184"/>
      <c r="AD163" s="1184"/>
      <c r="AE163" s="1184"/>
      <c r="AF163" s="1660"/>
      <c r="AG163" s="1184"/>
      <c r="AH163" s="1184"/>
      <c r="AI163" s="568"/>
      <c r="AJ163" s="1184"/>
      <c r="AK163" s="1184"/>
      <c r="AL163" s="1184"/>
      <c r="AM163" s="1184"/>
      <c r="AN163" s="1184"/>
      <c r="AO163" s="1656"/>
      <c r="AP163" s="590"/>
      <c r="AQ163" s="590"/>
      <c r="AR163" s="590"/>
      <c r="AS163" s="590"/>
      <c r="AT163" s="1665">
        <v>11</v>
      </c>
    </row>
    <row s="1665" customFormat="1" customHeight="1" ht="11.549999999999999">
      <c r="A164" s="1011"/>
      <c r="B164" s="1660"/>
      <c r="C164" s="1660"/>
      <c r="D164" s="375"/>
      <c r="J164" s="1665"/>
      <c r="K164" s="1665"/>
      <c r="L164" s="1665"/>
      <c r="M164" s="1665"/>
      <c r="N164" s="1665"/>
      <c r="O164" s="1665"/>
      <c r="P164" s="1665"/>
      <c r="Q164" s="1665"/>
      <c r="R164" s="1665"/>
      <c r="S164" s="1665"/>
      <c r="T164" s="1665"/>
      <c r="U164" s="1665"/>
      <c r="V164" s="1665"/>
      <c r="W164" s="1665"/>
      <c r="Y164" s="1184"/>
      <c r="Z164" s="1660"/>
      <c r="AA164" s="1660"/>
      <c r="AB164" s="1184"/>
      <c r="AC164" s="1184"/>
      <c r="AD164" s="1184"/>
      <c r="AE164" s="1184"/>
      <c r="AF164" s="1660"/>
      <c r="AG164" s="1184"/>
      <c r="AH164" s="1184"/>
      <c r="AI164" s="568"/>
      <c r="AJ164" s="1184"/>
      <c r="AK164" s="1184"/>
      <c r="AL164" s="1184"/>
      <c r="AM164" s="1184"/>
      <c r="AN164" s="1184"/>
      <c r="AO164" s="1656"/>
      <c r="AP164" s="590"/>
      <c r="AQ164" s="590"/>
      <c r="AR164" s="590"/>
      <c r="AS164" s="590"/>
      <c r="AT164" s="1665">
        <v>11</v>
      </c>
    </row>
    <row s="1665" customFormat="1" customHeight="1" ht="11.549999999999999">
      <c r="A165" s="1011"/>
      <c r="B165" s="1660"/>
      <c r="C165" s="1660"/>
      <c r="D165" s="375"/>
      <c r="J165" s="1665"/>
      <c r="K165" s="1665"/>
      <c r="L165" s="1665"/>
      <c r="M165" s="1665"/>
      <c r="N165" s="1665"/>
      <c r="O165" s="1665"/>
      <c r="P165" s="1665"/>
      <c r="Q165" s="1665"/>
      <c r="R165" s="1665"/>
      <c r="S165" s="1665"/>
      <c r="T165" s="1665"/>
      <c r="U165" s="1665"/>
      <c r="V165" s="1665"/>
      <c r="W165" s="1665"/>
      <c r="Y165" s="1184"/>
      <c r="Z165" s="1660"/>
      <c r="AA165" s="1660"/>
      <c r="AB165" s="1184"/>
      <c r="AC165" s="1184"/>
      <c r="AD165" s="1184"/>
      <c r="AE165" s="1184"/>
      <c r="AF165" s="1660"/>
      <c r="AG165" s="1184"/>
      <c r="AH165" s="1184"/>
      <c r="AI165" s="568"/>
      <c r="AJ165" s="1184"/>
      <c r="AK165" s="1184"/>
      <c r="AL165" s="1184"/>
      <c r="AM165" s="1184"/>
      <c r="AN165" s="1184"/>
      <c r="AO165" s="1656"/>
      <c r="AP165" s="590"/>
      <c r="AQ165" s="590"/>
      <c r="AR165" s="590"/>
      <c r="AS165" s="590"/>
      <c r="AT165" s="1665">
        <v>11</v>
      </c>
    </row>
    <row s="1665" customFormat="1" customHeight="1" ht="11.549999999999999">
      <c r="A166" s="1011"/>
      <c r="B166" s="1660"/>
      <c r="C166" s="1660"/>
      <c r="D166" s="375"/>
      <c r="J166" s="1665"/>
      <c r="K166" s="1665"/>
      <c r="L166" s="1665"/>
      <c r="M166" s="1665"/>
      <c r="N166" s="1665"/>
      <c r="O166" s="1665"/>
      <c r="P166" s="1665"/>
      <c r="Q166" s="1665"/>
      <c r="R166" s="1665"/>
      <c r="S166" s="1665"/>
      <c r="T166" s="1665"/>
      <c r="U166" s="1665"/>
      <c r="V166" s="1665"/>
      <c r="W166" s="1665"/>
      <c r="Y166" s="1184"/>
      <c r="Z166" s="1660"/>
      <c r="AA166" s="1660"/>
      <c r="AB166" s="1184"/>
      <c r="AC166" s="1184"/>
      <c r="AD166" s="1184"/>
      <c r="AE166" s="1184"/>
      <c r="AF166" s="1660"/>
      <c r="AG166" s="1184"/>
      <c r="AH166" s="1184"/>
      <c r="AI166" s="568"/>
      <c r="AJ166" s="1184"/>
      <c r="AK166" s="1184"/>
      <c r="AL166" s="1184"/>
      <c r="AM166" s="1184"/>
      <c r="AN166" s="1184"/>
      <c r="AO166" s="1656"/>
      <c r="AP166" s="590"/>
      <c r="AQ166" s="590"/>
      <c r="AR166" s="590"/>
      <c r="AS166" s="590"/>
      <c r="AT166" s="1665">
        <v>11</v>
      </c>
    </row>
    <row s="1665" customFormat="1" customHeight="1" ht="11.549999999999999">
      <c r="A167" s="1011"/>
      <c r="B167" s="1660"/>
      <c r="C167" s="1660"/>
      <c r="D167" s="375"/>
      <c r="J167" s="1665"/>
      <c r="K167" s="1665"/>
      <c r="L167" s="1665"/>
      <c r="M167" s="1665"/>
      <c r="N167" s="1665"/>
      <c r="O167" s="1665"/>
      <c r="P167" s="1665"/>
      <c r="Q167" s="1665"/>
      <c r="R167" s="1665"/>
      <c r="S167" s="1665"/>
      <c r="T167" s="1665"/>
      <c r="U167" s="1665"/>
      <c r="V167" s="1665"/>
      <c r="W167" s="1665"/>
      <c r="Y167" s="1184"/>
      <c r="Z167" s="1660"/>
      <c r="AA167" s="1660"/>
      <c r="AB167" s="1184"/>
      <c r="AC167" s="1184"/>
      <c r="AD167" s="1184"/>
      <c r="AE167" s="1184"/>
      <c r="AF167" s="1660"/>
      <c r="AG167" s="1184"/>
      <c r="AH167" s="1184"/>
      <c r="AI167" s="568"/>
      <c r="AJ167" s="1184"/>
      <c r="AK167" s="1184"/>
      <c r="AL167" s="1184"/>
      <c r="AM167" s="1184"/>
      <c r="AN167" s="1184"/>
      <c r="AO167" s="1656"/>
      <c r="AP167" s="590"/>
      <c r="AQ167" s="590"/>
      <c r="AR167" s="590"/>
      <c r="AS167" s="590"/>
      <c r="AT167" s="1665">
        <v>11</v>
      </c>
    </row>
    <row s="1665" customFormat="1" customHeight="1" ht="11.549999999999999">
      <c r="A168" s="1011"/>
      <c r="B168" s="1660"/>
      <c r="C168" s="1660"/>
      <c r="D168" s="375"/>
      <c r="J168" s="1665"/>
      <c r="K168" s="1665"/>
      <c r="L168" s="1665"/>
      <c r="M168" s="1665"/>
      <c r="N168" s="1665"/>
      <c r="O168" s="1665"/>
      <c r="P168" s="1665"/>
      <c r="Q168" s="1665"/>
      <c r="R168" s="1665"/>
      <c r="S168" s="1665"/>
      <c r="T168" s="1665"/>
      <c r="U168" s="1665"/>
      <c r="V168" s="1665"/>
      <c r="W168" s="1665"/>
      <c r="Y168" s="1184"/>
      <c r="Z168" s="1660"/>
      <c r="AA168" s="1660"/>
      <c r="AB168" s="1184"/>
      <c r="AC168" s="1184"/>
      <c r="AD168" s="1184"/>
      <c r="AE168" s="1184"/>
      <c r="AF168" s="1660"/>
      <c r="AG168" s="1184"/>
      <c r="AH168" s="1184"/>
      <c r="AI168" s="568"/>
      <c r="AJ168" s="1184"/>
      <c r="AK168" s="1184"/>
      <c r="AL168" s="1184"/>
      <c r="AM168" s="1184"/>
      <c r="AN168" s="1184"/>
      <c r="AO168" s="1656"/>
      <c r="AP168" s="590"/>
      <c r="AQ168" s="590"/>
      <c r="AR168" s="590"/>
      <c r="AS168" s="590"/>
      <c r="AT168" s="1665">
        <v>11</v>
      </c>
    </row>
    <row s="1665" customFormat="1" customHeight="1" ht="11.549999999999999">
      <c r="A169" s="1011"/>
      <c r="B169" s="1660"/>
      <c r="C169" s="1660"/>
      <c r="D169" s="375"/>
      <c r="J169" s="1665"/>
      <c r="K169" s="1665"/>
      <c r="L169" s="1665"/>
      <c r="M169" s="1665"/>
      <c r="N169" s="1665"/>
      <c r="O169" s="1665"/>
      <c r="P169" s="1665"/>
      <c r="Q169" s="1665"/>
      <c r="R169" s="1665"/>
      <c r="S169" s="1665"/>
      <c r="T169" s="1665"/>
      <c r="U169" s="1665"/>
      <c r="V169" s="1665"/>
      <c r="W169" s="1665"/>
      <c r="Y169" s="1184"/>
      <c r="Z169" s="1660"/>
      <c r="AA169" s="1660"/>
      <c r="AB169" s="1184"/>
      <c r="AC169" s="1184"/>
      <c r="AD169" s="1184"/>
      <c r="AE169" s="1184"/>
      <c r="AF169" s="1660"/>
      <c r="AG169" s="1184"/>
      <c r="AH169" s="1184"/>
      <c r="AI169" s="568"/>
      <c r="AJ169" s="1184"/>
      <c r="AK169" s="1184"/>
      <c r="AL169" s="1184"/>
      <c r="AM169" s="1184"/>
      <c r="AN169" s="1184"/>
      <c r="AO169" s="1656"/>
      <c r="AP169" s="590"/>
      <c r="AQ169" s="590"/>
      <c r="AR169" s="590"/>
      <c r="AS169" s="590"/>
      <c r="AT169" s="1665">
        <v>11</v>
      </c>
    </row>
    <row s="1665" customFormat="1" customHeight="1" ht="11.549999999999999">
      <c r="A170" s="1011"/>
      <c r="B170" s="1660"/>
      <c r="C170" s="1660"/>
      <c r="D170" s="375"/>
      <c r="J170" s="1665"/>
      <c r="K170" s="1665"/>
      <c r="L170" s="1665"/>
      <c r="M170" s="1665"/>
      <c r="N170" s="1665"/>
      <c r="O170" s="1665"/>
      <c r="P170" s="1665"/>
      <c r="Q170" s="1665"/>
      <c r="R170" s="1665"/>
      <c r="S170" s="1665"/>
      <c r="T170" s="1665"/>
      <c r="U170" s="1665"/>
      <c r="V170" s="1665"/>
      <c r="W170" s="1665"/>
      <c r="Y170" s="1184"/>
      <c r="Z170" s="1660"/>
      <c r="AA170" s="1660"/>
      <c r="AB170" s="1184"/>
      <c r="AC170" s="1184"/>
      <c r="AD170" s="1184"/>
      <c r="AE170" s="1184"/>
      <c r="AF170" s="1660"/>
      <c r="AG170" s="1184"/>
      <c r="AH170" s="1184"/>
      <c r="AI170" s="568"/>
      <c r="AJ170" s="1184"/>
      <c r="AK170" s="1184"/>
      <c r="AL170" s="1184"/>
      <c r="AM170" s="1184"/>
      <c r="AN170" s="1184"/>
      <c r="AO170" s="1656"/>
      <c r="AP170" s="590"/>
      <c r="AQ170" s="590"/>
      <c r="AR170" s="590"/>
      <c r="AS170" s="590"/>
      <c r="AT170" s="1665">
        <v>11</v>
      </c>
    </row>
    <row s="1665" customFormat="1" customHeight="1" ht="11.549999999999999">
      <c r="A171" s="1011"/>
      <c r="B171" s="1660"/>
      <c r="C171" s="1660"/>
      <c r="D171" s="375"/>
      <c r="J171" s="1665"/>
      <c r="K171" s="1665"/>
      <c r="L171" s="1665"/>
      <c r="M171" s="1665"/>
      <c r="N171" s="1665"/>
      <c r="O171" s="1665"/>
      <c r="P171" s="1665"/>
      <c r="Q171" s="1665"/>
      <c r="R171" s="1665"/>
      <c r="S171" s="1665"/>
      <c r="T171" s="1665"/>
      <c r="U171" s="1665"/>
      <c r="V171" s="1665"/>
      <c r="W171" s="1665"/>
      <c r="Y171" s="1184"/>
      <c r="Z171" s="1660"/>
      <c r="AA171" s="1660"/>
      <c r="AB171" s="1184"/>
      <c r="AC171" s="1184"/>
      <c r="AD171" s="1184"/>
      <c r="AE171" s="1184"/>
      <c r="AF171" s="1660"/>
      <c r="AG171" s="1184"/>
      <c r="AH171" s="1184"/>
      <c r="AI171" s="568"/>
      <c r="AJ171" s="1184"/>
      <c r="AK171" s="1184"/>
      <c r="AL171" s="1184"/>
      <c r="AM171" s="1184"/>
      <c r="AN171" s="1184"/>
      <c r="AO171" s="1656"/>
      <c r="AP171" s="590"/>
      <c r="AQ171" s="590"/>
      <c r="AR171" s="590"/>
      <c r="AS171" s="590"/>
      <c r="AT171" s="1665">
        <v>11</v>
      </c>
    </row>
    <row s="1665" customFormat="1" customHeight="1" ht="11.549999999999999">
      <c r="A172" s="1011"/>
      <c r="B172" s="1660"/>
      <c r="C172" s="1660"/>
      <c r="D172" s="375"/>
      <c r="J172" s="1665"/>
      <c r="K172" s="1665"/>
      <c r="L172" s="1665"/>
      <c r="M172" s="1665"/>
      <c r="N172" s="1665"/>
      <c r="O172" s="1665"/>
      <c r="P172" s="1665"/>
      <c r="Q172" s="1665"/>
      <c r="R172" s="1665"/>
      <c r="S172" s="1665"/>
      <c r="T172" s="1665"/>
      <c r="U172" s="1665"/>
      <c r="V172" s="1665"/>
      <c r="W172" s="1665"/>
      <c r="Y172" s="1184"/>
      <c r="Z172" s="1660"/>
      <c r="AA172" s="1660"/>
      <c r="AB172" s="1184"/>
      <c r="AC172" s="1184"/>
      <c r="AD172" s="1184"/>
      <c r="AE172" s="1184"/>
      <c r="AF172" s="1660"/>
      <c r="AG172" s="1184"/>
      <c r="AH172" s="1184"/>
      <c r="AI172" s="568"/>
      <c r="AJ172" s="1184"/>
      <c r="AK172" s="1184"/>
      <c r="AL172" s="1184"/>
      <c r="AM172" s="1184"/>
      <c r="AN172" s="1184"/>
      <c r="AO172" s="1656"/>
      <c r="AP172" s="590"/>
      <c r="AQ172" s="590"/>
      <c r="AR172" s="590"/>
      <c r="AS172" s="590"/>
      <c r="AT172" s="1665">
        <v>11</v>
      </c>
    </row>
    <row s="1665" customFormat="1" customHeight="1" ht="11.549999999999999">
      <c r="A173" s="1011"/>
      <c r="B173" s="1660"/>
      <c r="C173" s="1660"/>
      <c r="D173" s="375"/>
      <c r="J173" s="1665"/>
      <c r="K173" s="1665"/>
      <c r="L173" s="1665"/>
      <c r="M173" s="1665"/>
      <c r="N173" s="1665"/>
      <c r="O173" s="1665"/>
      <c r="P173" s="1665"/>
      <c r="Q173" s="1665"/>
      <c r="R173" s="1665"/>
      <c r="S173" s="1665"/>
      <c r="T173" s="1665"/>
      <c r="U173" s="1665"/>
      <c r="V173" s="1665"/>
      <c r="W173" s="1665"/>
      <c r="Y173" s="1184"/>
      <c r="Z173" s="1660"/>
      <c r="AA173" s="1660"/>
      <c r="AB173" s="1184"/>
      <c r="AC173" s="1184"/>
      <c r="AD173" s="1184"/>
      <c r="AE173" s="1184"/>
      <c r="AF173" s="1660"/>
      <c r="AG173" s="1184"/>
      <c r="AH173" s="1184"/>
      <c r="AI173" s="568"/>
      <c r="AJ173" s="1184"/>
      <c r="AK173" s="1184"/>
      <c r="AL173" s="1184"/>
      <c r="AM173" s="1184"/>
      <c r="AN173" s="1184"/>
      <c r="AO173" s="1656"/>
      <c r="AP173" s="590"/>
      <c r="AQ173" s="590"/>
      <c r="AR173" s="590"/>
      <c r="AS173" s="590"/>
      <c r="AT173" s="1665">
        <v>11</v>
      </c>
    </row>
    <row s="1665" customFormat="1" customHeight="1" ht="11.549999999999999">
      <c r="A174" s="1011"/>
      <c r="B174" s="1660"/>
      <c r="C174" s="1660"/>
      <c r="D174" s="375"/>
      <c r="J174" s="1665"/>
      <c r="K174" s="1665"/>
      <c r="L174" s="1665"/>
      <c r="M174" s="1665"/>
      <c r="N174" s="1665"/>
      <c r="O174" s="1665"/>
      <c r="P174" s="1665"/>
      <c r="Q174" s="1665"/>
      <c r="R174" s="1665"/>
      <c r="S174" s="1665"/>
      <c r="T174" s="1665"/>
      <c r="U174" s="1665"/>
      <c r="V174" s="1665"/>
      <c r="W174" s="1665"/>
      <c r="Y174" s="1184"/>
      <c r="Z174" s="1660"/>
      <c r="AA174" s="1660"/>
      <c r="AB174" s="1184"/>
      <c r="AC174" s="1184"/>
      <c r="AD174" s="1184"/>
      <c r="AE174" s="1184"/>
      <c r="AF174" s="1660"/>
      <c r="AG174" s="1184"/>
      <c r="AH174" s="1184"/>
      <c r="AI174" s="568"/>
      <c r="AJ174" s="1184"/>
      <c r="AK174" s="1184"/>
      <c r="AL174" s="1184"/>
      <c r="AM174" s="1184"/>
      <c r="AN174" s="1184"/>
      <c r="AO174" s="1656"/>
      <c r="AP174" s="590"/>
      <c r="AQ174" s="590"/>
      <c r="AR174" s="590"/>
      <c r="AS174" s="590"/>
      <c r="AT174" s="1665">
        <v>11</v>
      </c>
    </row>
    <row s="1665" customFormat="1" customHeight="1" ht="11.549999999999999">
      <c r="A175" s="1011"/>
      <c r="B175" s="1660"/>
      <c r="C175" s="1660"/>
      <c r="D175" s="375"/>
      <c r="J175" s="1665"/>
      <c r="K175" s="1665"/>
      <c r="L175" s="1665"/>
      <c r="M175" s="1665"/>
      <c r="N175" s="1665"/>
      <c r="O175" s="1665"/>
      <c r="P175" s="1665"/>
      <c r="Q175" s="1665"/>
      <c r="R175" s="1665"/>
      <c r="S175" s="1665"/>
      <c r="T175" s="1665"/>
      <c r="U175" s="1665"/>
      <c r="V175" s="1665"/>
      <c r="W175" s="1665"/>
      <c r="Y175" s="1184"/>
      <c r="Z175" s="1660"/>
      <c r="AA175" s="1660"/>
      <c r="AB175" s="1184"/>
      <c r="AC175" s="1184"/>
      <c r="AD175" s="1184"/>
      <c r="AE175" s="1184"/>
      <c r="AF175" s="1660"/>
      <c r="AG175" s="1184"/>
      <c r="AH175" s="1184"/>
      <c r="AI175" s="568"/>
      <c r="AJ175" s="1184"/>
      <c r="AK175" s="1184"/>
      <c r="AL175" s="1184"/>
      <c r="AM175" s="1184"/>
      <c r="AN175" s="1184"/>
      <c r="AO175" s="1656"/>
      <c r="AP175" s="590"/>
      <c r="AQ175" s="590"/>
      <c r="AR175" s="590"/>
      <c r="AS175" s="590"/>
      <c r="AT175" s="1665">
        <v>11</v>
      </c>
    </row>
    <row s="1665" customFormat="1" customHeight="1" ht="11.549999999999999">
      <c r="A176" s="1011"/>
      <c r="B176" s="1660"/>
      <c r="C176" s="1660"/>
      <c r="D176" s="375"/>
      <c r="J176" s="1665"/>
      <c r="K176" s="1665"/>
      <c r="L176" s="1665"/>
      <c r="M176" s="1665"/>
      <c r="N176" s="1665"/>
      <c r="O176" s="1665"/>
      <c r="P176" s="1665"/>
      <c r="Q176" s="1665"/>
      <c r="R176" s="1665"/>
      <c r="S176" s="1665"/>
      <c r="T176" s="1665"/>
      <c r="U176" s="1665"/>
      <c r="V176" s="1665"/>
      <c r="W176" s="1665"/>
      <c r="Y176" s="1184"/>
      <c r="Z176" s="1660"/>
      <c r="AA176" s="1660"/>
      <c r="AB176" s="1184"/>
      <c r="AC176" s="1184"/>
      <c r="AD176" s="1184"/>
      <c r="AE176" s="1184"/>
      <c r="AF176" s="1660"/>
      <c r="AG176" s="1184"/>
      <c r="AH176" s="1184"/>
      <c r="AI176" s="568"/>
      <c r="AJ176" s="1184"/>
      <c r="AK176" s="1184"/>
      <c r="AL176" s="1184"/>
      <c r="AM176" s="1184"/>
      <c r="AN176" s="1184"/>
      <c r="AO176" s="1656"/>
      <c r="AP176" s="590"/>
      <c r="AQ176" s="590"/>
      <c r="AR176" s="590"/>
      <c r="AS176" s="590"/>
      <c r="AT176" s="1665">
        <v>11</v>
      </c>
    </row>
    <row s="1665" customFormat="1" customHeight="1" ht="11.549999999999999">
      <c r="A177" s="1011"/>
      <c r="B177" s="1660"/>
      <c r="C177" s="1660"/>
      <c r="D177" s="375"/>
      <c r="J177" s="1665"/>
      <c r="K177" s="1665"/>
      <c r="L177" s="1665"/>
      <c r="M177" s="1665"/>
      <c r="N177" s="1665"/>
      <c r="O177" s="1665"/>
      <c r="P177" s="1665"/>
      <c r="Q177" s="1665"/>
      <c r="R177" s="1665"/>
      <c r="S177" s="1665"/>
      <c r="T177" s="1665"/>
      <c r="U177" s="1665"/>
      <c r="V177" s="1665"/>
      <c r="W177" s="1665"/>
      <c r="Y177" s="1184"/>
      <c r="Z177" s="1660"/>
      <c r="AA177" s="1660"/>
      <c r="AB177" s="1184"/>
      <c r="AC177" s="1184"/>
      <c r="AD177" s="1184"/>
      <c r="AE177" s="1184"/>
      <c r="AF177" s="1660"/>
      <c r="AG177" s="1184"/>
      <c r="AH177" s="1184"/>
      <c r="AI177" s="568"/>
      <c r="AJ177" s="1184"/>
      <c r="AK177" s="1184"/>
      <c r="AL177" s="1184"/>
      <c r="AM177" s="1184"/>
      <c r="AN177" s="1184"/>
      <c r="AO177" s="1656"/>
      <c r="AP177" s="590"/>
      <c r="AQ177" s="590"/>
      <c r="AR177" s="590"/>
      <c r="AS177" s="590"/>
      <c r="AT177" s="1665">
        <v>11</v>
      </c>
    </row>
    <row s="1665" customFormat="1" customHeight="1" ht="11.549999999999999">
      <c r="A178" s="1011"/>
      <c r="B178" s="1660"/>
      <c r="C178" s="1660"/>
      <c r="D178" s="375"/>
      <c r="J178" s="1665"/>
      <c r="K178" s="1665"/>
      <c r="L178" s="1665"/>
      <c r="M178" s="1665"/>
      <c r="N178" s="1665"/>
      <c r="O178" s="1665"/>
      <c r="P178" s="1665"/>
      <c r="Q178" s="1665"/>
      <c r="R178" s="1665"/>
      <c r="S178" s="1665"/>
      <c r="T178" s="1665"/>
      <c r="U178" s="1665"/>
      <c r="V178" s="1665"/>
      <c r="W178" s="1665"/>
      <c r="Y178" s="1184"/>
      <c r="Z178" s="1660"/>
      <c r="AA178" s="1660"/>
      <c r="AB178" s="1184"/>
      <c r="AC178" s="1184"/>
      <c r="AD178" s="1184"/>
      <c r="AE178" s="1184"/>
      <c r="AF178" s="1660"/>
      <c r="AG178" s="1184"/>
      <c r="AH178" s="1184"/>
      <c r="AI178" s="568"/>
      <c r="AJ178" s="1184"/>
      <c r="AK178" s="1184"/>
      <c r="AL178" s="1184"/>
      <c r="AM178" s="1184"/>
      <c r="AN178" s="1184"/>
      <c r="AO178" s="1656"/>
      <c r="AP178" s="590"/>
      <c r="AQ178" s="590"/>
      <c r="AR178" s="590"/>
      <c r="AS178" s="590"/>
      <c r="AT178" s="1665">
        <v>11</v>
      </c>
    </row>
    <row s="1665" customFormat="1" customHeight="1" ht="11.549999999999999">
      <c r="A179" s="1011"/>
      <c r="B179" s="1660"/>
      <c r="C179" s="1660"/>
      <c r="D179" s="375"/>
      <c r="J179" s="1665"/>
      <c r="K179" s="1665"/>
      <c r="L179" s="1665"/>
      <c r="M179" s="1665"/>
      <c r="N179" s="1665"/>
      <c r="O179" s="1665"/>
      <c r="P179" s="1665"/>
      <c r="Q179" s="1665"/>
      <c r="R179" s="1665"/>
      <c r="S179" s="1665"/>
      <c r="T179" s="1665"/>
      <c r="U179" s="1665"/>
      <c r="V179" s="1665"/>
      <c r="W179" s="1665"/>
      <c r="Y179" s="1184"/>
      <c r="Z179" s="1660"/>
      <c r="AA179" s="1660"/>
      <c r="AB179" s="1184"/>
      <c r="AC179" s="1184"/>
      <c r="AD179" s="1184"/>
      <c r="AE179" s="1184"/>
      <c r="AF179" s="1660"/>
      <c r="AG179" s="1184"/>
      <c r="AH179" s="1184"/>
      <c r="AI179" s="568"/>
      <c r="AJ179" s="1184"/>
      <c r="AK179" s="1184"/>
      <c r="AL179" s="1184"/>
      <c r="AM179" s="1184"/>
      <c r="AN179" s="1184"/>
      <c r="AO179" s="1656"/>
      <c r="AP179" s="590"/>
      <c r="AQ179" s="590"/>
      <c r="AR179" s="590"/>
      <c r="AS179" s="590"/>
      <c r="AT179" s="1665">
        <v>11</v>
      </c>
    </row>
    <row s="1665" customFormat="1" customHeight="1" ht="11.549999999999999">
      <c r="A180" s="1011"/>
      <c r="B180" s="1660"/>
      <c r="C180" s="1660"/>
      <c r="D180" s="375"/>
      <c r="J180" s="1665"/>
      <c r="K180" s="1665"/>
      <c r="L180" s="1665"/>
      <c r="M180" s="1665"/>
      <c r="N180" s="1665"/>
      <c r="O180" s="1665"/>
      <c r="P180" s="1665"/>
      <c r="Q180" s="1665"/>
      <c r="R180" s="1665"/>
      <c r="S180" s="1665"/>
      <c r="T180" s="1665"/>
      <c r="U180" s="1665"/>
      <c r="V180" s="1665"/>
      <c r="W180" s="1665"/>
      <c r="Y180" s="1184"/>
      <c r="Z180" s="1660"/>
      <c r="AA180" s="1660"/>
      <c r="AB180" s="1184"/>
      <c r="AC180" s="1184"/>
      <c r="AD180" s="1184"/>
      <c r="AE180" s="1184"/>
      <c r="AF180" s="1660"/>
      <c r="AG180" s="1184"/>
      <c r="AH180" s="1184"/>
      <c r="AI180" s="568"/>
      <c r="AJ180" s="1184"/>
      <c r="AK180" s="1184"/>
      <c r="AL180" s="1184"/>
      <c r="AM180" s="1184"/>
      <c r="AN180" s="1184"/>
      <c r="AO180" s="1656"/>
      <c r="AP180" s="590"/>
      <c r="AQ180" s="590"/>
      <c r="AR180" s="590"/>
      <c r="AS180" s="590"/>
      <c r="AT180" s="1665">
        <v>11</v>
      </c>
    </row>
    <row s="1665" customFormat="1" customHeight="1" ht="11.549999999999999">
      <c r="A181" s="1011"/>
      <c r="B181" s="1660"/>
      <c r="C181" s="1660"/>
      <c r="D181" s="375"/>
      <c r="J181" s="1665"/>
      <c r="K181" s="1665"/>
      <c r="L181" s="1665"/>
      <c r="M181" s="1665"/>
      <c r="N181" s="1665"/>
      <c r="O181" s="1665"/>
      <c r="P181" s="1665"/>
      <c r="Q181" s="1665"/>
      <c r="R181" s="1665"/>
      <c r="S181" s="1665"/>
      <c r="T181" s="1665"/>
      <c r="U181" s="1665"/>
      <c r="V181" s="1665"/>
      <c r="W181" s="1665"/>
      <c r="Y181" s="1184"/>
      <c r="Z181" s="1660"/>
      <c r="AA181" s="1660"/>
      <c r="AB181" s="1184"/>
      <c r="AC181" s="1184"/>
      <c r="AD181" s="1184"/>
      <c r="AE181" s="1184"/>
      <c r="AF181" s="1660"/>
      <c r="AG181" s="1184"/>
      <c r="AH181" s="1184"/>
      <c r="AI181" s="568"/>
      <c r="AJ181" s="1184"/>
      <c r="AK181" s="1184"/>
      <c r="AL181" s="1184"/>
      <c r="AM181" s="1184"/>
      <c r="AN181" s="1184"/>
      <c r="AO181" s="1656"/>
      <c r="AP181" s="590"/>
      <c r="AQ181" s="590"/>
      <c r="AR181" s="590"/>
      <c r="AS181" s="590"/>
      <c r="AT181" s="1665">
        <v>11</v>
      </c>
    </row>
    <row s="1665" customFormat="1" customHeight="1" ht="11.549999999999999">
      <c r="A182" s="1011"/>
      <c r="B182" s="1660"/>
      <c r="C182" s="1660"/>
      <c r="D182" s="375"/>
      <c r="J182" s="1665"/>
      <c r="K182" s="1665"/>
      <c r="L182" s="1665"/>
      <c r="M182" s="1665"/>
      <c r="N182" s="1665"/>
      <c r="O182" s="1665"/>
      <c r="P182" s="1665"/>
      <c r="Q182" s="1665"/>
      <c r="R182" s="1665"/>
      <c r="S182" s="1665"/>
      <c r="T182" s="1665"/>
      <c r="U182" s="1665"/>
      <c r="V182" s="1665"/>
      <c r="W182" s="1665"/>
      <c r="Y182" s="1184"/>
      <c r="Z182" s="1660"/>
      <c r="AA182" s="1660"/>
      <c r="AB182" s="1184"/>
      <c r="AC182" s="1184"/>
      <c r="AD182" s="1184"/>
      <c r="AE182" s="1184"/>
      <c r="AF182" s="1660"/>
      <c r="AG182" s="1184"/>
      <c r="AH182" s="1184"/>
      <c r="AI182" s="568"/>
      <c r="AJ182" s="1184"/>
      <c r="AK182" s="1184"/>
      <c r="AL182" s="1184"/>
      <c r="AM182" s="1184"/>
      <c r="AN182" s="1184"/>
      <c r="AO182" s="1656"/>
      <c r="AP182" s="590"/>
      <c r="AQ182" s="590"/>
      <c r="AR182" s="590"/>
      <c r="AS182" s="590"/>
      <c r="AT182" s="1665">
        <v>11</v>
      </c>
    </row>
    <row s="1665" customFormat="1" customHeight="1" ht="11.549999999999999">
      <c r="A183" s="1011"/>
      <c r="B183" s="1660"/>
      <c r="C183" s="1660"/>
      <c r="D183" s="375"/>
      <c r="J183" s="1665"/>
      <c r="K183" s="1665"/>
      <c r="L183" s="1665"/>
      <c r="M183" s="1665"/>
      <c r="N183" s="1665"/>
      <c r="O183" s="1665"/>
      <c r="P183" s="1665"/>
      <c r="Q183" s="1665"/>
      <c r="R183" s="1665"/>
      <c r="S183" s="1665"/>
      <c r="T183" s="1665"/>
      <c r="U183" s="1665"/>
      <c r="V183" s="1665"/>
      <c r="W183" s="1665"/>
      <c r="Y183" s="1184"/>
      <c r="Z183" s="1660"/>
      <c r="AA183" s="1660"/>
      <c r="AB183" s="1184"/>
      <c r="AC183" s="1184"/>
      <c r="AD183" s="1184"/>
      <c r="AE183" s="1184"/>
      <c r="AF183" s="1660"/>
      <c r="AG183" s="1184"/>
      <c r="AH183" s="1184"/>
      <c r="AI183" s="568"/>
      <c r="AJ183" s="1184"/>
      <c r="AK183" s="1184"/>
      <c r="AL183" s="1184"/>
      <c r="AM183" s="1184"/>
      <c r="AN183" s="1184"/>
      <c r="AO183" s="1656"/>
      <c r="AP183" s="590"/>
      <c r="AQ183" s="590"/>
      <c r="AR183" s="590"/>
      <c r="AS183" s="590"/>
      <c r="AT183" s="1665">
        <v>11</v>
      </c>
    </row>
    <row s="1665" customFormat="1" customHeight="1" ht="11.549999999999999">
      <c r="A184" s="1011"/>
      <c r="B184" s="1660"/>
      <c r="C184" s="1660"/>
      <c r="D184" s="375"/>
      <c r="J184" s="1665"/>
      <c r="K184" s="1665"/>
      <c r="L184" s="1665"/>
      <c r="M184" s="1665"/>
      <c r="N184" s="1665"/>
      <c r="O184" s="1665"/>
      <c r="P184" s="1665"/>
      <c r="Q184" s="1665"/>
      <c r="R184" s="1665"/>
      <c r="S184" s="1665"/>
      <c r="T184" s="1665"/>
      <c r="U184" s="1665"/>
      <c r="V184" s="1665"/>
      <c r="W184" s="1665"/>
      <c r="Y184" s="1184"/>
      <c r="Z184" s="1660"/>
      <c r="AA184" s="1660"/>
      <c r="AB184" s="1184"/>
      <c r="AC184" s="1184"/>
      <c r="AD184" s="1184"/>
      <c r="AE184" s="1184"/>
      <c r="AF184" s="1660"/>
      <c r="AG184" s="1184"/>
      <c r="AH184" s="1184"/>
      <c r="AI184" s="568"/>
      <c r="AJ184" s="1184"/>
      <c r="AK184" s="1184"/>
      <c r="AL184" s="1184"/>
      <c r="AM184" s="1184"/>
      <c r="AN184" s="1184"/>
      <c r="AO184" s="1656"/>
      <c r="AP184" s="590"/>
      <c r="AQ184" s="590"/>
      <c r="AR184" s="590"/>
      <c r="AS184" s="590"/>
      <c r="AT184" s="1665">
        <v>11</v>
      </c>
    </row>
    <row s="1665" customFormat="1" customHeight="1" ht="11.549999999999999">
      <c r="A185" s="1011"/>
      <c r="B185" s="1660"/>
      <c r="C185" s="1660"/>
      <c r="D185" s="375"/>
      <c r="J185" s="1665"/>
      <c r="K185" s="1665"/>
      <c r="L185" s="1665"/>
      <c r="M185" s="1665"/>
      <c r="N185" s="1665"/>
      <c r="O185" s="1665"/>
      <c r="P185" s="1665"/>
      <c r="Q185" s="1665"/>
      <c r="R185" s="1665"/>
      <c r="S185" s="1665"/>
      <c r="T185" s="1665"/>
      <c r="U185" s="1665"/>
      <c r="V185" s="1665"/>
      <c r="W185" s="1665"/>
      <c r="Y185" s="1184"/>
      <c r="Z185" s="1660"/>
      <c r="AA185" s="1660"/>
      <c r="AB185" s="1184"/>
      <c r="AC185" s="1184"/>
      <c r="AD185" s="1184"/>
      <c r="AE185" s="1184"/>
      <c r="AF185" s="1660"/>
      <c r="AG185" s="1184"/>
      <c r="AH185" s="1184"/>
      <c r="AI185" s="568"/>
      <c r="AJ185" s="1184"/>
      <c r="AK185" s="1184"/>
      <c r="AL185" s="1184"/>
      <c r="AM185" s="1184"/>
      <c r="AN185" s="1184"/>
      <c r="AO185" s="1656"/>
      <c r="AP185" s="590"/>
      <c r="AQ185" s="590"/>
      <c r="AR185" s="590"/>
      <c r="AS185" s="590"/>
      <c r="AT185" s="1665">
        <v>11</v>
      </c>
    </row>
    <row s="1665" customFormat="1" customHeight="1" ht="11.549999999999999">
      <c r="A186" s="1011"/>
      <c r="B186" s="1660"/>
      <c r="C186" s="1660"/>
      <c r="D186" s="375"/>
      <c r="J186" s="1665"/>
      <c r="K186" s="1665"/>
      <c r="L186" s="1665"/>
      <c r="M186" s="1665"/>
      <c r="N186" s="1665"/>
      <c r="O186" s="1665"/>
      <c r="P186" s="1665"/>
      <c r="Q186" s="1665"/>
      <c r="R186" s="1665"/>
      <c r="S186" s="1665"/>
      <c r="T186" s="1665"/>
      <c r="U186" s="1665"/>
      <c r="V186" s="1665"/>
      <c r="W186" s="1665"/>
      <c r="Y186" s="1184"/>
      <c r="Z186" s="1660"/>
      <c r="AA186" s="1660"/>
      <c r="AB186" s="1184"/>
      <c r="AC186" s="1184"/>
      <c r="AD186" s="1184"/>
      <c r="AE186" s="1184"/>
      <c r="AF186" s="1660"/>
      <c r="AG186" s="1184"/>
      <c r="AH186" s="1184"/>
      <c r="AI186" s="568"/>
      <c r="AJ186" s="1184"/>
      <c r="AK186" s="1184"/>
      <c r="AL186" s="1184"/>
      <c r="AM186" s="1184"/>
      <c r="AN186" s="1184"/>
      <c r="AO186" s="1656"/>
      <c r="AP186" s="590"/>
      <c r="AQ186" s="590"/>
      <c r="AR186" s="590"/>
      <c r="AS186" s="590"/>
      <c r="AT186" s="1665">
        <v>11</v>
      </c>
    </row>
    <row s="1665" customFormat="1" customHeight="1" ht="11.549999999999999">
      <c r="A187" s="1011"/>
      <c r="B187" s="1660"/>
      <c r="C187" s="1660"/>
      <c r="D187" s="375"/>
      <c r="J187" s="1665"/>
      <c r="K187" s="1665"/>
      <c r="L187" s="1665"/>
      <c r="M187" s="1665"/>
      <c r="N187" s="1665"/>
      <c r="O187" s="1665"/>
      <c r="P187" s="1665"/>
      <c r="Q187" s="1665"/>
      <c r="R187" s="1665"/>
      <c r="S187" s="1665"/>
      <c r="T187" s="1665"/>
      <c r="U187" s="1665"/>
      <c r="V187" s="1665"/>
      <c r="W187" s="1665"/>
      <c r="Y187" s="1184"/>
      <c r="Z187" s="1660"/>
      <c r="AA187" s="1660"/>
      <c r="AB187" s="1184"/>
      <c r="AC187" s="1184"/>
      <c r="AD187" s="1184"/>
      <c r="AE187" s="1184"/>
      <c r="AF187" s="1660"/>
      <c r="AG187" s="1184"/>
      <c r="AH187" s="1184"/>
      <c r="AI187" s="568"/>
      <c r="AJ187" s="1184"/>
      <c r="AK187" s="1184"/>
      <c r="AL187" s="1184"/>
      <c r="AM187" s="1184"/>
      <c r="AN187" s="1184"/>
      <c r="AO187" s="1656"/>
      <c r="AP187" s="590"/>
      <c r="AQ187" s="590"/>
      <c r="AR187" s="590"/>
      <c r="AS187" s="590"/>
      <c r="AT187" s="1665">
        <v>11</v>
      </c>
    </row>
    <row s="1665" customFormat="1" customHeight="1" ht="11.549999999999999">
      <c r="A188" s="1011"/>
      <c r="B188" s="1660"/>
      <c r="C188" s="1660"/>
      <c r="D188" s="375"/>
      <c r="J188" s="1665"/>
      <c r="K188" s="1665"/>
      <c r="L188" s="1665"/>
      <c r="M188" s="1665"/>
      <c r="N188" s="1665"/>
      <c r="O188" s="1665"/>
      <c r="P188" s="1665"/>
      <c r="Q188" s="1665"/>
      <c r="R188" s="1665"/>
      <c r="S188" s="1665"/>
      <c r="T188" s="1665"/>
      <c r="U188" s="1665"/>
      <c r="V188" s="1665"/>
      <c r="W188" s="1665"/>
      <c r="Y188" s="1184"/>
      <c r="Z188" s="1660"/>
      <c r="AA188" s="1660"/>
      <c r="AB188" s="1184"/>
      <c r="AC188" s="1184"/>
      <c r="AD188" s="1184"/>
      <c r="AE188" s="1184"/>
      <c r="AF188" s="1660"/>
      <c r="AG188" s="1184"/>
      <c r="AH188" s="1184"/>
      <c r="AI188" s="568"/>
      <c r="AJ188" s="1184"/>
      <c r="AK188" s="1184"/>
      <c r="AL188" s="1184"/>
      <c r="AM188" s="1184"/>
      <c r="AN188" s="1184"/>
      <c r="AO188" s="1656"/>
      <c r="AP188" s="590"/>
      <c r="AQ188" s="590"/>
      <c r="AR188" s="590"/>
      <c r="AS188" s="590"/>
      <c r="AT188" s="1665">
        <v>11</v>
      </c>
    </row>
    <row s="1665" customFormat="1" customHeight="1" ht="11.549999999999999">
      <c r="A189" s="1011"/>
      <c r="B189" s="1660"/>
      <c r="C189" s="1660"/>
      <c r="D189" s="375"/>
      <c r="J189" s="1665"/>
      <c r="K189" s="1665"/>
      <c r="L189" s="1665"/>
      <c r="M189" s="1665"/>
      <c r="N189" s="1665"/>
      <c r="O189" s="1665"/>
      <c r="P189" s="1665"/>
      <c r="Q189" s="1665"/>
      <c r="R189" s="1665"/>
      <c r="S189" s="1665"/>
      <c r="T189" s="1665"/>
      <c r="U189" s="1665"/>
      <c r="V189" s="1665"/>
      <c r="W189" s="1665"/>
      <c r="Y189" s="1184"/>
      <c r="Z189" s="1660"/>
      <c r="AA189" s="1660"/>
      <c r="AB189" s="1184"/>
      <c r="AC189" s="1184"/>
      <c r="AD189" s="1184"/>
      <c r="AE189" s="1184"/>
      <c r="AF189" s="1660"/>
      <c r="AG189" s="1184"/>
      <c r="AH189" s="1184"/>
      <c r="AI189" s="568"/>
      <c r="AJ189" s="1184"/>
      <c r="AK189" s="1184"/>
      <c r="AL189" s="1184"/>
      <c r="AM189" s="1184"/>
      <c r="AN189" s="1184"/>
      <c r="AO189" s="1656"/>
      <c r="AP189" s="590"/>
      <c r="AQ189" s="590"/>
      <c r="AR189" s="590"/>
      <c r="AS189" s="590"/>
      <c r="AT189" s="1665">
        <v>11</v>
      </c>
    </row>
    <row s="1665" customFormat="1" customHeight="1" ht="11.549999999999999">
      <c r="A190" s="1011"/>
      <c r="B190" s="1660"/>
      <c r="C190" s="1660"/>
      <c r="D190" s="375"/>
      <c r="J190" s="1665"/>
      <c r="K190" s="1665"/>
      <c r="L190" s="1665"/>
      <c r="M190" s="1665"/>
      <c r="N190" s="1665"/>
      <c r="O190" s="1665"/>
      <c r="P190" s="1665"/>
      <c r="Q190" s="1665"/>
      <c r="R190" s="1665"/>
      <c r="S190" s="1665"/>
      <c r="T190" s="1665"/>
      <c r="U190" s="1665"/>
      <c r="V190" s="1665"/>
      <c r="W190" s="1665"/>
      <c r="Y190" s="1184"/>
      <c r="Z190" s="1660"/>
      <c r="AA190" s="1660"/>
      <c r="AB190" s="1184"/>
      <c r="AC190" s="1184"/>
      <c r="AD190" s="1184"/>
      <c r="AE190" s="1184"/>
      <c r="AF190" s="1660"/>
      <c r="AG190" s="1184"/>
      <c r="AH190" s="1184"/>
      <c r="AI190" s="568"/>
      <c r="AJ190" s="1184"/>
      <c r="AK190" s="1184"/>
      <c r="AL190" s="1184"/>
      <c r="AM190" s="1184"/>
      <c r="AN190" s="1184"/>
      <c r="AO190" s="1656"/>
      <c r="AP190" s="590"/>
      <c r="AQ190" s="590"/>
      <c r="AR190" s="590"/>
      <c r="AS190" s="590"/>
      <c r="AT190" s="1665">
        <v>11</v>
      </c>
    </row>
    <row s="1665" customFormat="1" customHeight="1" ht="11.549999999999999">
      <c r="A191" s="1011"/>
      <c r="B191" s="1660"/>
      <c r="C191" s="1660"/>
      <c r="D191" s="375"/>
      <c r="J191" s="1665"/>
      <c r="K191" s="1665"/>
      <c r="L191" s="1665"/>
      <c r="M191" s="1665"/>
      <c r="N191" s="1665"/>
      <c r="O191" s="1665"/>
      <c r="P191" s="1665"/>
      <c r="Q191" s="1665"/>
      <c r="R191" s="1665"/>
      <c r="S191" s="1665"/>
      <c r="T191" s="1665"/>
      <c r="U191" s="1665"/>
      <c r="V191" s="1665"/>
      <c r="W191" s="1665"/>
      <c r="Y191" s="1184"/>
      <c r="Z191" s="1660"/>
      <c r="AA191" s="1660"/>
      <c r="AB191" s="1184"/>
      <c r="AC191" s="1184"/>
      <c r="AD191" s="1184"/>
      <c r="AE191" s="1184"/>
      <c r="AF191" s="1660"/>
      <c r="AG191" s="1184"/>
      <c r="AH191" s="1184"/>
      <c r="AI191" s="568"/>
      <c r="AJ191" s="1184"/>
      <c r="AK191" s="1184"/>
      <c r="AL191" s="1184"/>
      <c r="AM191" s="1184"/>
      <c r="AN191" s="1184"/>
      <c r="AO191" s="1656"/>
      <c r="AP191" s="590"/>
      <c r="AQ191" s="590"/>
      <c r="AR191" s="590"/>
      <c r="AS191" s="590"/>
      <c r="AT191" s="1665">
        <v>11</v>
      </c>
    </row>
    <row s="1665" customFormat="1" customHeight="1" ht="11.549999999999999">
      <c r="A192" s="1011"/>
      <c r="B192" s="1660"/>
      <c r="C192" s="1660"/>
      <c r="D192" s="375"/>
      <c r="J192" s="1665"/>
      <c r="K192" s="1665"/>
      <c r="L192" s="1665"/>
      <c r="M192" s="1665"/>
      <c r="N192" s="1665"/>
      <c r="O192" s="1665"/>
      <c r="P192" s="1665"/>
      <c r="Q192" s="1665"/>
      <c r="R192" s="1665"/>
      <c r="S192" s="1665"/>
      <c r="T192" s="1665"/>
      <c r="U192" s="1665"/>
      <c r="V192" s="1665"/>
      <c r="W192" s="1665"/>
      <c r="Y192" s="1184"/>
      <c r="Z192" s="1660"/>
      <c r="AA192" s="1660"/>
      <c r="AB192" s="1184"/>
      <c r="AC192" s="1184"/>
      <c r="AD192" s="1184"/>
      <c r="AE192" s="1184"/>
      <c r="AF192" s="1660"/>
      <c r="AG192" s="1184"/>
      <c r="AH192" s="1184"/>
      <c r="AI192" s="568"/>
      <c r="AJ192" s="1184"/>
      <c r="AK192" s="1184"/>
      <c r="AL192" s="1184"/>
      <c r="AM192" s="1184"/>
      <c r="AN192" s="1184"/>
      <c r="AO192" s="1656"/>
      <c r="AP192" s="590"/>
      <c r="AQ192" s="590"/>
      <c r="AR192" s="590"/>
      <c r="AS192" s="590"/>
      <c r="AT192" s="1665">
        <v>11</v>
      </c>
    </row>
    <row s="1665" customFormat="1" customHeight="1" ht="11.549999999999999">
      <c r="A193" s="1011"/>
      <c r="B193" s="1660"/>
      <c r="C193" s="1660"/>
      <c r="D193" s="375"/>
      <c r="J193" s="1665"/>
      <c r="K193" s="1665"/>
      <c r="L193" s="1665"/>
      <c r="M193" s="1665"/>
      <c r="N193" s="1665"/>
      <c r="O193" s="1665"/>
      <c r="P193" s="1665"/>
      <c r="Q193" s="1665"/>
      <c r="R193" s="1665"/>
      <c r="S193" s="1665"/>
      <c r="T193" s="1665"/>
      <c r="U193" s="1665"/>
      <c r="V193" s="1665"/>
      <c r="W193" s="1665"/>
      <c r="Y193" s="1184"/>
      <c r="Z193" s="1660"/>
      <c r="AA193" s="1660"/>
      <c r="AB193" s="1184"/>
      <c r="AC193" s="1184"/>
      <c r="AD193" s="1184"/>
      <c r="AE193" s="1184"/>
      <c r="AF193" s="1660"/>
      <c r="AG193" s="1184"/>
      <c r="AH193" s="1184"/>
      <c r="AI193" s="568"/>
      <c r="AJ193" s="1184"/>
      <c r="AK193" s="1184"/>
      <c r="AL193" s="1184"/>
      <c r="AM193" s="1184"/>
      <c r="AN193" s="1184"/>
      <c r="AO193" s="1656"/>
      <c r="AP193" s="590"/>
      <c r="AQ193" s="590"/>
      <c r="AR193" s="590"/>
      <c r="AS193" s="590"/>
      <c r="AT193" s="1665">
        <v>11</v>
      </c>
    </row>
    <row s="1665" customFormat="1" customHeight="1" ht="11.549999999999999">
      <c r="A194" s="1011"/>
      <c r="B194" s="1660"/>
      <c r="C194" s="1660"/>
      <c r="D194" s="375"/>
      <c r="J194" s="1665"/>
      <c r="K194" s="1665"/>
      <c r="L194" s="1665"/>
      <c r="M194" s="1665"/>
      <c r="N194" s="1665"/>
      <c r="O194" s="1665"/>
      <c r="P194" s="1665"/>
      <c r="Q194" s="1665"/>
      <c r="R194" s="1665"/>
      <c r="S194" s="1665"/>
      <c r="T194" s="1665"/>
      <c r="U194" s="1665"/>
      <c r="V194" s="1665"/>
      <c r="W194" s="1665"/>
      <c r="Y194" s="1184"/>
      <c r="Z194" s="1660"/>
      <c r="AA194" s="1660"/>
      <c r="AB194" s="1184"/>
      <c r="AC194" s="1184"/>
      <c r="AD194" s="1184"/>
      <c r="AE194" s="1184"/>
      <c r="AF194" s="1660"/>
      <c r="AG194" s="1184"/>
      <c r="AH194" s="1184"/>
      <c r="AI194" s="568"/>
      <c r="AJ194" s="1184"/>
      <c r="AK194" s="1184"/>
      <c r="AL194" s="1184"/>
      <c r="AM194" s="1184"/>
      <c r="AN194" s="1184"/>
      <c r="AO194" s="1656"/>
      <c r="AP194" s="590"/>
      <c r="AQ194" s="590"/>
      <c r="AR194" s="590"/>
      <c r="AS194" s="590"/>
      <c r="AT194" s="1665">
        <v>11</v>
      </c>
    </row>
    <row s="1665" customFormat="1" customHeight="1" ht="11.549999999999999">
      <c r="A195" s="1011"/>
      <c r="B195" s="1660"/>
      <c r="C195" s="1660"/>
      <c r="D195" s="375"/>
      <c r="J195" s="1665"/>
      <c r="K195" s="1665"/>
      <c r="L195" s="1665"/>
      <c r="M195" s="1665"/>
      <c r="N195" s="1665"/>
      <c r="O195" s="1665"/>
      <c r="P195" s="1665"/>
      <c r="Q195" s="1665"/>
      <c r="R195" s="1665"/>
      <c r="S195" s="1665"/>
      <c r="T195" s="1665"/>
      <c r="U195" s="1665"/>
      <c r="V195" s="1665"/>
      <c r="W195" s="1665"/>
      <c r="Y195" s="1184"/>
      <c r="Z195" s="1660"/>
      <c r="AA195" s="1660"/>
      <c r="AB195" s="1184"/>
      <c r="AC195" s="1184"/>
      <c r="AD195" s="1184"/>
      <c r="AE195" s="1184"/>
      <c r="AF195" s="1660"/>
      <c r="AG195" s="1184"/>
      <c r="AH195" s="1184"/>
      <c r="AI195" s="568"/>
      <c r="AJ195" s="1184"/>
      <c r="AK195" s="1184"/>
      <c r="AL195" s="1184"/>
      <c r="AM195" s="1184"/>
      <c r="AN195" s="1184"/>
      <c r="AO195" s="1656"/>
      <c r="AP195" s="590"/>
      <c r="AQ195" s="590"/>
      <c r="AR195" s="590"/>
      <c r="AS195" s="590"/>
      <c r="AT195" s="1665">
        <v>11</v>
      </c>
    </row>
    <row s="1665" customFormat="1" customHeight="1" ht="11.549999999999999">
      <c r="A196" s="1011"/>
      <c r="B196" s="1660"/>
      <c r="C196" s="1660"/>
      <c r="D196" s="375"/>
      <c r="J196" s="1665"/>
      <c r="K196" s="1665"/>
      <c r="L196" s="1665"/>
      <c r="M196" s="1665"/>
      <c r="N196" s="1665"/>
      <c r="O196" s="1665"/>
      <c r="P196" s="1665"/>
      <c r="Q196" s="1665"/>
      <c r="R196" s="1665"/>
      <c r="S196" s="1665"/>
      <c r="T196" s="1665"/>
      <c r="U196" s="1665"/>
      <c r="V196" s="1665"/>
      <c r="W196" s="1665"/>
      <c r="Y196" s="1184"/>
      <c r="Z196" s="1660"/>
      <c r="AA196" s="1660"/>
      <c r="AB196" s="1184"/>
      <c r="AC196" s="1184"/>
      <c r="AD196" s="1184"/>
      <c r="AE196" s="1184"/>
      <c r="AF196" s="1660"/>
      <c r="AG196" s="1184"/>
      <c r="AH196" s="1184"/>
      <c r="AI196" s="568"/>
      <c r="AJ196" s="1184"/>
      <c r="AK196" s="1184"/>
      <c r="AL196" s="1184"/>
      <c r="AM196" s="1184"/>
      <c r="AN196" s="1184"/>
      <c r="AO196" s="1656"/>
      <c r="AP196" s="590"/>
      <c r="AQ196" s="590"/>
      <c r="AR196" s="590"/>
      <c r="AS196" s="590"/>
      <c r="AT196" s="1665">
        <v>11</v>
      </c>
    </row>
    <row s="1665" customFormat="1" customHeight="1" ht="11.549999999999999">
      <c r="A197" s="1011"/>
      <c r="B197" s="1660"/>
      <c r="C197" s="1660"/>
      <c r="D197" s="375"/>
      <c r="J197" s="1665"/>
      <c r="K197" s="1665"/>
      <c r="L197" s="1665"/>
      <c r="M197" s="1665"/>
      <c r="N197" s="1665"/>
      <c r="O197" s="1665"/>
      <c r="P197" s="1665"/>
      <c r="Q197" s="1665"/>
      <c r="R197" s="1665"/>
      <c r="S197" s="1665"/>
      <c r="T197" s="1665"/>
      <c r="U197" s="1665"/>
      <c r="V197" s="1665"/>
      <c r="W197" s="1665"/>
      <c r="Y197" s="1184"/>
      <c r="Z197" s="1660"/>
      <c r="AA197" s="1660"/>
      <c r="AB197" s="1184"/>
      <c r="AC197" s="1184"/>
      <c r="AD197" s="1184"/>
      <c r="AE197" s="1184"/>
      <c r="AF197" s="1660"/>
      <c r="AG197" s="1184"/>
      <c r="AH197" s="1184"/>
      <c r="AI197" s="568"/>
      <c r="AJ197" s="1184"/>
      <c r="AK197" s="1184"/>
      <c r="AL197" s="1184"/>
      <c r="AM197" s="1184"/>
      <c r="AN197" s="1184"/>
      <c r="AO197" s="1656"/>
      <c r="AP197" s="590"/>
      <c r="AQ197" s="590"/>
      <c r="AR197" s="590"/>
      <c r="AS197" s="590"/>
      <c r="AT197" s="1665">
        <v>11</v>
      </c>
    </row>
    <row s="1665" customFormat="1" customHeight="1" ht="11.549999999999999">
      <c r="A198" s="1011"/>
      <c r="B198" s="1660"/>
      <c r="C198" s="1660"/>
      <c r="D198" s="375"/>
      <c r="J198" s="1665"/>
      <c r="K198" s="1665"/>
      <c r="L198" s="1665"/>
      <c r="M198" s="1665"/>
      <c r="N198" s="1665"/>
      <c r="O198" s="1665"/>
      <c r="P198" s="1665"/>
      <c r="Q198" s="1665"/>
      <c r="R198" s="1665"/>
      <c r="S198" s="1665"/>
      <c r="T198" s="1665"/>
      <c r="U198" s="1665"/>
      <c r="V198" s="1665"/>
      <c r="W198" s="1665"/>
      <c r="Y198" s="1184"/>
      <c r="Z198" s="1660"/>
      <c r="AA198" s="1660"/>
      <c r="AB198" s="1184"/>
      <c r="AC198" s="1184"/>
      <c r="AD198" s="1184"/>
      <c r="AE198" s="1184"/>
      <c r="AF198" s="1660"/>
      <c r="AG198" s="1184"/>
      <c r="AH198" s="1184"/>
      <c r="AI198" s="568"/>
      <c r="AJ198" s="1184"/>
      <c r="AK198" s="1184"/>
      <c r="AL198" s="1184"/>
      <c r="AM198" s="1184"/>
      <c r="AN198" s="1184"/>
      <c r="AO198" s="1656"/>
      <c r="AP198" s="590"/>
      <c r="AQ198" s="590"/>
      <c r="AR198" s="590"/>
      <c r="AS198" s="590"/>
      <c r="AT198" s="1665">
        <v>11</v>
      </c>
    </row>
    <row s="1665" customFormat="1" customHeight="1" ht="11.549999999999999">
      <c r="A199" s="1011"/>
      <c r="B199" s="1660"/>
      <c r="C199" s="1660"/>
      <c r="D199" s="375"/>
      <c r="J199" s="1665"/>
      <c r="K199" s="1665"/>
      <c r="L199" s="1665"/>
      <c r="M199" s="1665"/>
      <c r="N199" s="1665"/>
      <c r="O199" s="1665"/>
      <c r="P199" s="1665"/>
      <c r="Q199" s="1665"/>
      <c r="R199" s="1665"/>
      <c r="S199" s="1665"/>
      <c r="T199" s="1665"/>
      <c r="U199" s="1665"/>
      <c r="V199" s="1665"/>
      <c r="W199" s="1665"/>
      <c r="Y199" s="1184"/>
      <c r="Z199" s="1660"/>
      <c r="AA199" s="1660"/>
      <c r="AB199" s="1184"/>
      <c r="AC199" s="1184"/>
      <c r="AD199" s="1184"/>
      <c r="AE199" s="1184"/>
      <c r="AF199" s="1660"/>
      <c r="AG199" s="1184"/>
      <c r="AH199" s="1184"/>
      <c r="AI199" s="568"/>
      <c r="AJ199" s="1184"/>
      <c r="AK199" s="1184"/>
      <c r="AL199" s="1184"/>
      <c r="AM199" s="1184"/>
      <c r="AN199" s="1184"/>
      <c r="AO199" s="1656"/>
      <c r="AP199" s="590"/>
      <c r="AQ199" s="590"/>
      <c r="AR199" s="590"/>
      <c r="AS199" s="590"/>
      <c r="AT199" s="1665">
        <v>11</v>
      </c>
    </row>
    <row s="1665" customFormat="1" customHeight="1" ht="11.549999999999999">
      <c r="A200" s="1011"/>
      <c r="B200" s="1660"/>
      <c r="C200" s="1660"/>
      <c r="D200" s="375"/>
      <c r="J200" s="1665"/>
      <c r="K200" s="1665"/>
      <c r="L200" s="1665"/>
      <c r="M200" s="1665"/>
      <c r="N200" s="1665"/>
      <c r="O200" s="1665"/>
      <c r="P200" s="1665"/>
      <c r="Q200" s="1665"/>
      <c r="R200" s="1665"/>
      <c r="S200" s="1665"/>
      <c r="T200" s="1665"/>
      <c r="U200" s="1665"/>
      <c r="V200" s="1665"/>
      <c r="W200" s="1665"/>
      <c r="Y200" s="1184"/>
      <c r="Z200" s="1660"/>
      <c r="AA200" s="1660"/>
      <c r="AB200" s="1184"/>
      <c r="AC200" s="1184"/>
      <c r="AD200" s="1184"/>
      <c r="AE200" s="1184"/>
      <c r="AF200" s="1660"/>
      <c r="AG200" s="1184"/>
      <c r="AH200" s="1184"/>
      <c r="AI200" s="568"/>
      <c r="AJ200" s="1184"/>
      <c r="AK200" s="1184"/>
      <c r="AL200" s="1184"/>
      <c r="AM200" s="1184"/>
      <c r="AN200" s="1184"/>
      <c r="AO200" s="1656"/>
      <c r="AP200" s="590"/>
      <c r="AQ200" s="590"/>
      <c r="AR200" s="590"/>
      <c r="AS200" s="590"/>
      <c r="AT200" s="1665">
        <v>11</v>
      </c>
    </row>
    <row s="1665" customFormat="1" customHeight="1" ht="11.549999999999999">
      <c r="A201" s="1011"/>
      <c r="B201" s="1660"/>
      <c r="C201" s="1660"/>
      <c r="D201" s="375"/>
      <c r="J201" s="1665"/>
      <c r="K201" s="1665"/>
      <c r="L201" s="1665"/>
      <c r="M201" s="1665"/>
      <c r="N201" s="1665"/>
      <c r="O201" s="1665"/>
      <c r="P201" s="1665"/>
      <c r="Q201" s="1665"/>
      <c r="R201" s="1665"/>
      <c r="S201" s="1665"/>
      <c r="T201" s="1665"/>
      <c r="U201" s="1665"/>
      <c r="V201" s="1665"/>
      <c r="W201" s="1665"/>
      <c r="Y201" s="1184"/>
      <c r="Z201" s="1660"/>
      <c r="AA201" s="1660"/>
      <c r="AB201" s="1184"/>
      <c r="AC201" s="1184"/>
      <c r="AD201" s="1184"/>
      <c r="AE201" s="1184"/>
      <c r="AF201" s="1660"/>
      <c r="AG201" s="1184"/>
      <c r="AH201" s="1184"/>
      <c r="AI201" s="568"/>
      <c r="AJ201" s="1184"/>
      <c r="AK201" s="1184"/>
      <c r="AL201" s="1184"/>
      <c r="AM201" s="1184"/>
      <c r="AN201" s="1184"/>
      <c r="AO201" s="1656"/>
      <c r="AP201" s="590"/>
      <c r="AQ201" s="590"/>
      <c r="AR201" s="590"/>
      <c r="AS201" s="590"/>
      <c r="AT201" s="1665">
        <v>11</v>
      </c>
    </row>
    <row s="1665" customFormat="1" customHeight="1" ht="11.549999999999999">
      <c r="A202" s="1011"/>
      <c r="B202" s="1660"/>
      <c r="C202" s="1660"/>
      <c r="D202" s="375"/>
      <c r="J202" s="1665"/>
      <c r="K202" s="1665"/>
      <c r="L202" s="1665"/>
      <c r="M202" s="1665"/>
      <c r="N202" s="1665"/>
      <c r="O202" s="1665"/>
      <c r="P202" s="1665"/>
      <c r="Q202" s="1665"/>
      <c r="R202" s="1665"/>
      <c r="S202" s="1665"/>
      <c r="T202" s="1665"/>
      <c r="U202" s="1665"/>
      <c r="V202" s="1665"/>
      <c r="W202" s="1665"/>
      <c r="Y202" s="1184"/>
      <c r="Z202" s="1660"/>
      <c r="AA202" s="1660"/>
      <c r="AB202" s="1184"/>
      <c r="AC202" s="1184"/>
      <c r="AD202" s="1184"/>
      <c r="AE202" s="1184"/>
      <c r="AF202" s="1660"/>
      <c r="AG202" s="1184"/>
      <c r="AH202" s="1184"/>
      <c r="AI202" s="568"/>
      <c r="AJ202" s="1184"/>
      <c r="AK202" s="1184"/>
      <c r="AL202" s="1184"/>
      <c r="AM202" s="1184"/>
      <c r="AN202" s="1184"/>
      <c r="AO202" s="1656"/>
      <c r="AP202" s="590"/>
      <c r="AQ202" s="590"/>
      <c r="AR202" s="590"/>
      <c r="AS202" s="590"/>
      <c r="AT202" s="1665">
        <v>11</v>
      </c>
    </row>
    <row customHeight="1" ht="11.549999999999999">
      <c r="J203" s="1659"/>
      <c r="K203" s="1659"/>
      <c r="L203" s="1659"/>
      <c r="M203" s="1659"/>
      <c r="N203" s="1659"/>
      <c r="O203" s="1659"/>
      <c r="P203" s="1659"/>
      <c r="Q203" s="1659"/>
      <c r="R203" s="1659"/>
      <c r="S203" s="1659"/>
      <c r="T203" s="1659"/>
      <c r="U203" s="1659"/>
      <c r="V203" s="1659"/>
      <c r="W203" s="1659"/>
      <c r="AT203" s="1655">
        <v>11</v>
      </c>
    </row>
    <row customHeight="1" ht="11.549999999999999">
      <c r="J204" s="1659"/>
      <c r="K204" s="1659"/>
      <c r="L204" s="1659"/>
      <c r="M204" s="1659"/>
      <c r="N204" s="1659"/>
      <c r="O204" s="1659"/>
      <c r="P204" s="1659"/>
      <c r="Q204" s="1659"/>
      <c r="R204" s="1659"/>
      <c r="S204" s="1659"/>
      <c r="T204" s="1659"/>
      <c r="U204" s="1659"/>
      <c r="V204" s="1659"/>
      <c r="W204" s="1659"/>
      <c r="AT204" s="1655">
        <v>11</v>
      </c>
    </row>
    <row customHeight="1" ht="11.549999999999999">
      <c r="J205" s="1659"/>
      <c r="K205" s="1659"/>
      <c r="L205" s="1659"/>
      <c r="M205" s="1659"/>
      <c r="N205" s="1659"/>
      <c r="O205" s="1659"/>
      <c r="P205" s="1659"/>
      <c r="Q205" s="1659"/>
      <c r="R205" s="1659"/>
      <c r="S205" s="1659"/>
      <c r="T205" s="1659"/>
      <c r="U205" s="1659"/>
      <c r="V205" s="1659"/>
      <c r="W205" s="1659"/>
      <c r="AT205" s="1655">
        <v>11</v>
      </c>
    </row>
    <row customHeight="1" ht="11.549999999999999">
      <c r="A206" s="1014"/>
      <c r="B206" s="1655"/>
      <c r="D206" s="1655"/>
      <c r="J206" s="1659"/>
      <c r="K206" s="1659"/>
      <c r="L206" s="1659"/>
      <c r="M206" s="1659"/>
      <c r="N206" s="1659"/>
      <c r="O206" s="1659"/>
      <c r="P206" s="1659"/>
      <c r="Q206" s="1659"/>
      <c r="R206" s="1659"/>
      <c r="S206" s="1659"/>
      <c r="T206" s="1659"/>
      <c r="U206" s="1659"/>
      <c r="V206" s="1659"/>
      <c r="W206" s="1659"/>
      <c r="Y206" s="1655"/>
      <c r="AB206" s="1655"/>
      <c r="AC206" s="1655"/>
      <c r="AD206" s="1655"/>
      <c r="AE206" s="1655"/>
      <c r="AG206" s="1655"/>
      <c r="AH206" s="1655"/>
      <c r="AI206" s="1655"/>
      <c r="AJ206" s="1655"/>
      <c r="AK206" s="1655"/>
      <c r="AL206" s="1655"/>
      <c r="AM206" s="1655"/>
      <c r="AN206" s="1655"/>
      <c r="AO206" s="1655"/>
      <c r="AP206" s="1655"/>
      <c r="AQ206" s="1655"/>
      <c r="AR206" s="1655"/>
      <c r="AS206" s="1655"/>
      <c r="AT206" s="1655">
        <v>11</v>
      </c>
    </row>
    <row customHeight="1" ht="11.549999999999999">
      <c r="A207" s="1014"/>
      <c r="B207" s="1655"/>
      <c r="D207" s="1655"/>
      <c r="J207" s="1659"/>
      <c r="K207" s="1659"/>
      <c r="L207" s="1659"/>
      <c r="M207" s="1659"/>
      <c r="N207" s="1659"/>
      <c r="O207" s="1659"/>
      <c r="P207" s="1659"/>
      <c r="Q207" s="1659"/>
      <c r="R207" s="1659"/>
      <c r="S207" s="1659"/>
      <c r="T207" s="1659"/>
      <c r="U207" s="1659"/>
      <c r="V207" s="1659"/>
      <c r="W207" s="1659"/>
      <c r="Y207" s="1655"/>
      <c r="AB207" s="1655"/>
      <c r="AC207" s="1655"/>
      <c r="AD207" s="1655"/>
      <c r="AE207" s="1655"/>
      <c r="AG207" s="1655"/>
      <c r="AH207" s="1655"/>
      <c r="AI207" s="1655"/>
      <c r="AJ207" s="1655"/>
      <c r="AK207" s="1655"/>
      <c r="AL207" s="1655"/>
      <c r="AM207" s="1655"/>
      <c r="AN207" s="1655"/>
      <c r="AO207" s="1655"/>
      <c r="AP207" s="1655"/>
      <c r="AQ207" s="1655"/>
      <c r="AR207" s="1655"/>
      <c r="AS207" s="1655"/>
      <c r="AT207" s="1655">
        <v>11</v>
      </c>
    </row>
    <row customHeight="1" ht="11.549999999999999">
      <c r="A208" s="1014"/>
      <c r="B208" s="1655"/>
      <c r="D208" s="1655"/>
      <c r="J208" s="1659"/>
      <c r="K208" s="1659"/>
      <c r="L208" s="1659"/>
      <c r="M208" s="1659"/>
      <c r="N208" s="1659"/>
      <c r="O208" s="1659"/>
      <c r="P208" s="1659"/>
      <c r="Q208" s="1659"/>
      <c r="R208" s="1659"/>
      <c r="S208" s="1659"/>
      <c r="T208" s="1659"/>
      <c r="U208" s="1659"/>
      <c r="V208" s="1659"/>
      <c r="W208" s="1659"/>
      <c r="Y208" s="1655"/>
      <c r="AB208" s="1655"/>
      <c r="AC208" s="1655"/>
      <c r="AD208" s="1655"/>
      <c r="AE208" s="1655"/>
      <c r="AG208" s="1655"/>
      <c r="AH208" s="1655"/>
      <c r="AI208" s="1655"/>
      <c r="AJ208" s="1655"/>
      <c r="AK208" s="1655"/>
      <c r="AL208" s="1655"/>
      <c r="AM208" s="1655"/>
      <c r="AN208" s="1655"/>
      <c r="AO208" s="1655"/>
      <c r="AP208" s="1655"/>
      <c r="AQ208" s="1655"/>
      <c r="AR208" s="1655"/>
      <c r="AS208" s="1655"/>
      <c r="AT208" s="1655">
        <v>11</v>
      </c>
    </row>
    <row customHeight="1" ht="11.549999999999999">
      <c r="A209" s="1014"/>
      <c r="B209" s="1655"/>
      <c r="D209" s="1655"/>
      <c r="J209" s="1659"/>
      <c r="K209" s="1659"/>
      <c r="L209" s="1659"/>
      <c r="M209" s="1659"/>
      <c r="N209" s="1659"/>
      <c r="O209" s="1659"/>
      <c r="P209" s="1659"/>
      <c r="Q209" s="1659"/>
      <c r="R209" s="1659"/>
      <c r="S209" s="1659"/>
      <c r="T209" s="1659"/>
      <c r="U209" s="1659"/>
      <c r="V209" s="1659"/>
      <c r="W209" s="1659"/>
      <c r="Y209" s="1655"/>
      <c r="AB209" s="1655"/>
      <c r="AC209" s="1655"/>
      <c r="AD209" s="1655"/>
      <c r="AE209" s="1655"/>
      <c r="AG209" s="1655"/>
      <c r="AH209" s="1655"/>
      <c r="AI209" s="1655"/>
      <c r="AJ209" s="1655"/>
      <c r="AK209" s="1655"/>
      <c r="AL209" s="1655"/>
      <c r="AM209" s="1655"/>
      <c r="AN209" s="1655"/>
      <c r="AO209" s="1655"/>
      <c r="AP209" s="1655"/>
      <c r="AQ209" s="1655"/>
      <c r="AR209" s="1655"/>
      <c r="AS209" s="1655"/>
      <c r="AT209" s="1655">
        <v>11</v>
      </c>
    </row>
    <row customHeight="1" ht="11.549999999999999">
      <c r="A210" s="1014"/>
      <c r="B210" s="1655"/>
      <c r="D210" s="1655"/>
      <c r="J210" s="1659"/>
      <c r="K210" s="1659"/>
      <c r="L210" s="1659"/>
      <c r="M210" s="1659"/>
      <c r="N210" s="1659"/>
      <c r="O210" s="1659"/>
      <c r="P210" s="1659"/>
      <c r="Q210" s="1659"/>
      <c r="R210" s="1659"/>
      <c r="S210" s="1659"/>
      <c r="T210" s="1659"/>
      <c r="U210" s="1659"/>
      <c r="V210" s="1659"/>
      <c r="W210" s="1659"/>
      <c r="Y210" s="1655"/>
      <c r="AB210" s="1655"/>
      <c r="AC210" s="1655"/>
      <c r="AD210" s="1655"/>
      <c r="AE210" s="1655"/>
      <c r="AG210" s="1655"/>
      <c r="AH210" s="1655"/>
      <c r="AI210" s="1655"/>
      <c r="AJ210" s="1655"/>
      <c r="AK210" s="1655"/>
      <c r="AL210" s="1655"/>
      <c r="AM210" s="1655"/>
      <c r="AN210" s="1655"/>
      <c r="AO210" s="1655"/>
      <c r="AP210" s="1655"/>
      <c r="AQ210" s="1655"/>
      <c r="AR210" s="1655"/>
      <c r="AS210" s="1655"/>
      <c r="AT210" s="1655">
        <v>11</v>
      </c>
    </row>
    <row customHeight="1" ht="11.549999999999999">
      <c r="A211" s="1014"/>
      <c r="B211" s="1655"/>
      <c r="D211" s="1655"/>
      <c r="J211" s="1659"/>
      <c r="K211" s="1659"/>
      <c r="L211" s="1659"/>
      <c r="M211" s="1659"/>
      <c r="N211" s="1659"/>
      <c r="O211" s="1659"/>
      <c r="P211" s="1659"/>
      <c r="Q211" s="1659"/>
      <c r="R211" s="1659"/>
      <c r="S211" s="1659"/>
      <c r="T211" s="1659"/>
      <c r="U211" s="1659"/>
      <c r="V211" s="1659"/>
      <c r="W211" s="1659"/>
      <c r="Y211" s="1655"/>
      <c r="AB211" s="1655"/>
      <c r="AC211" s="1655"/>
      <c r="AD211" s="1655"/>
      <c r="AE211" s="1655"/>
      <c r="AG211" s="1655"/>
      <c r="AH211" s="1655"/>
      <c r="AI211" s="1655"/>
      <c r="AJ211" s="1655"/>
      <c r="AK211" s="1655"/>
      <c r="AL211" s="1655"/>
      <c r="AM211" s="1655"/>
      <c r="AN211" s="1655"/>
      <c r="AO211" s="1655"/>
      <c r="AP211" s="1655"/>
      <c r="AQ211" s="1655"/>
      <c r="AR211" s="1655"/>
      <c r="AS211" s="1655"/>
      <c r="AT211" s="1655">
        <v>11</v>
      </c>
    </row>
    <row customHeight="1" ht="11.549999999999999">
      <c r="A212" s="1014"/>
      <c r="B212" s="1655"/>
      <c r="D212" s="1655"/>
      <c r="J212" s="1659"/>
      <c r="K212" s="1659"/>
      <c r="L212" s="1659"/>
      <c r="M212" s="1659"/>
      <c r="N212" s="1659"/>
      <c r="O212" s="1659"/>
      <c r="P212" s="1659"/>
      <c r="Q212" s="1659"/>
      <c r="R212" s="1659"/>
      <c r="S212" s="1659"/>
      <c r="T212" s="1659"/>
      <c r="U212" s="1659"/>
      <c r="V212" s="1659"/>
      <c r="W212" s="1659"/>
      <c r="Y212" s="1655"/>
      <c r="AB212" s="1655"/>
      <c r="AC212" s="1655"/>
      <c r="AD212" s="1655"/>
      <c r="AE212" s="1655"/>
      <c r="AG212" s="1655"/>
      <c r="AH212" s="1655"/>
      <c r="AI212" s="1655"/>
      <c r="AJ212" s="1655"/>
      <c r="AK212" s="1655"/>
      <c r="AL212" s="1655"/>
      <c r="AM212" s="1655"/>
      <c r="AN212" s="1655"/>
      <c r="AO212" s="1655"/>
      <c r="AP212" s="1655"/>
      <c r="AQ212" s="1655"/>
      <c r="AR212" s="1655"/>
      <c r="AS212" s="1655"/>
      <c r="AT212" s="1655">
        <v>11</v>
      </c>
    </row>
    <row customHeight="1" ht="11.549999999999999">
      <c r="A213" s="1014"/>
      <c r="B213" s="1655"/>
      <c r="D213" s="1655"/>
      <c r="J213" s="1659"/>
      <c r="K213" s="1659"/>
      <c r="L213" s="1659"/>
      <c r="M213" s="1659"/>
      <c r="N213" s="1659"/>
      <c r="O213" s="1659"/>
      <c r="P213" s="1659"/>
      <c r="Q213" s="1659"/>
      <c r="R213" s="1659"/>
      <c r="S213" s="1659"/>
      <c r="T213" s="1659"/>
      <c r="U213" s="1659"/>
      <c r="V213" s="1659"/>
      <c r="W213" s="1659"/>
      <c r="Y213" s="1655"/>
      <c r="AB213" s="1655"/>
      <c r="AC213" s="1655"/>
      <c r="AD213" s="1655"/>
      <c r="AE213" s="1655"/>
      <c r="AG213" s="1655"/>
      <c r="AH213" s="1655"/>
      <c r="AI213" s="1655"/>
      <c r="AJ213" s="1655"/>
      <c r="AK213" s="1655"/>
      <c r="AL213" s="1655"/>
      <c r="AM213" s="1655"/>
      <c r="AN213" s="1655"/>
      <c r="AO213" s="1655"/>
      <c r="AP213" s="1655"/>
      <c r="AQ213" s="1655"/>
      <c r="AR213" s="1655"/>
      <c r="AS213" s="1655"/>
      <c r="AT213" s="1655">
        <v>11</v>
      </c>
    </row>
    <row customHeight="1" ht="11.549999999999999">
      <c r="A214" s="1014"/>
      <c r="B214" s="1655"/>
      <c r="D214" s="1655"/>
      <c r="J214" s="1659"/>
      <c r="K214" s="1659"/>
      <c r="L214" s="1659"/>
      <c r="M214" s="1659"/>
      <c r="N214" s="1659"/>
      <c r="O214" s="1659"/>
      <c r="P214" s="1659"/>
      <c r="Q214" s="1659"/>
      <c r="R214" s="1659"/>
      <c r="S214" s="1659"/>
      <c r="T214" s="1659"/>
      <c r="U214" s="1659"/>
      <c r="V214" s="1659"/>
      <c r="W214" s="1659"/>
      <c r="Y214" s="1655"/>
      <c r="AB214" s="1655"/>
      <c r="AC214" s="1655"/>
      <c r="AD214" s="1655"/>
      <c r="AE214" s="1655"/>
      <c r="AG214" s="1655"/>
      <c r="AH214" s="1655"/>
      <c r="AI214" s="1655"/>
      <c r="AJ214" s="1655"/>
      <c r="AK214" s="1655"/>
      <c r="AL214" s="1655"/>
      <c r="AM214" s="1655"/>
      <c r="AN214" s="1655"/>
      <c r="AO214" s="1655"/>
      <c r="AP214" s="1655"/>
      <c r="AQ214" s="1655"/>
      <c r="AR214" s="1655"/>
      <c r="AS214" s="1655"/>
      <c r="AT214" s="1655">
        <v>11</v>
      </c>
    </row>
    <row customHeight="1" ht="11.549999999999999">
      <c r="A215" s="1014"/>
      <c r="B215" s="1655"/>
      <c r="D215" s="1655"/>
      <c r="J215" s="1659"/>
      <c r="K215" s="1659"/>
      <c r="L215" s="1659"/>
      <c r="M215" s="1659"/>
      <c r="N215" s="1659"/>
      <c r="O215" s="1659"/>
      <c r="P215" s="1659"/>
      <c r="Q215" s="1659"/>
      <c r="R215" s="1659"/>
      <c r="S215" s="1659"/>
      <c r="T215" s="1659"/>
      <c r="U215" s="1659"/>
      <c r="V215" s="1659"/>
      <c r="W215" s="1659"/>
      <c r="Y215" s="1655"/>
      <c r="AB215" s="1655"/>
      <c r="AC215" s="1655"/>
      <c r="AD215" s="1655"/>
      <c r="AE215" s="1655"/>
      <c r="AG215" s="1655"/>
      <c r="AH215" s="1655"/>
      <c r="AI215" s="1655"/>
      <c r="AJ215" s="1655"/>
      <c r="AK215" s="1655"/>
      <c r="AL215" s="1655"/>
      <c r="AM215" s="1655"/>
      <c r="AN215" s="1655"/>
      <c r="AO215" s="1655"/>
      <c r="AP215" s="1655"/>
      <c r="AQ215" s="1655"/>
      <c r="AR215" s="1655"/>
      <c r="AS215" s="1655"/>
      <c r="AT215" s="1655">
        <v>11</v>
      </c>
    </row>
    <row customHeight="1" ht="11.549999999999999">
      <c r="A216" s="1014"/>
      <c r="B216" s="1655"/>
      <c r="D216" s="1655"/>
      <c r="J216" s="1659"/>
      <c r="K216" s="1659"/>
      <c r="L216" s="1659"/>
      <c r="M216" s="1659"/>
      <c r="N216" s="1659"/>
      <c r="O216" s="1659"/>
      <c r="P216" s="1659"/>
      <c r="Q216" s="1659"/>
      <c r="R216" s="1659"/>
      <c r="S216" s="1659"/>
      <c r="T216" s="1659"/>
      <c r="U216" s="1659"/>
      <c r="V216" s="1659"/>
      <c r="W216" s="1659"/>
      <c r="Y216" s="1655"/>
      <c r="AB216" s="1655"/>
      <c r="AC216" s="1655"/>
      <c r="AD216" s="1655"/>
      <c r="AE216" s="1655"/>
      <c r="AG216" s="1655"/>
      <c r="AH216" s="1655"/>
      <c r="AI216" s="1655"/>
      <c r="AJ216" s="1655"/>
      <c r="AK216" s="1655"/>
      <c r="AL216" s="1655"/>
      <c r="AM216" s="1655"/>
      <c r="AN216" s="1655"/>
      <c r="AO216" s="1655"/>
      <c r="AP216" s="1655"/>
      <c r="AQ216" s="1655"/>
      <c r="AR216" s="1655"/>
      <c r="AS216" s="1655"/>
      <c r="AT216" s="1655">
        <v>11</v>
      </c>
    </row>
    <row customHeight="1" ht="11.25" hidden="1">
      <c r="A217" s="1011" t="s">
        <v>82</v>
      </c>
      <c r="B217" s="1184">
        <v>0</v>
      </c>
      <c r="C217" s="1660">
        <v>0</v>
      </c>
      <c r="D217" s="1659">
        <v>3</v>
      </c>
      <c r="E217" s="1655">
        <v>7</v>
      </c>
      <c r="F217" s="1655">
        <v>56</v>
      </c>
      <c r="G217" s="1655">
        <v>10</v>
      </c>
      <c r="H217" s="1655">
        <v>0</v>
      </c>
      <c r="I217" s="1655">
        <v>40</v>
      </c>
      <c r="J217" s="1659">
        <v>0</v>
      </c>
      <c r="K217" s="1659">
        <v>0</v>
      </c>
      <c r="L217" s="1659">
        <v>0</v>
      </c>
      <c r="M217" s="1659">
        <v>0</v>
      </c>
      <c r="N217" s="1659">
        <v>0</v>
      </c>
      <c r="O217" s="1659">
        <v>0</v>
      </c>
      <c r="P217" s="1659">
        <v>0</v>
      </c>
      <c r="Q217" s="1659">
        <v>0</v>
      </c>
      <c r="R217" s="1659">
        <v>0</v>
      </c>
      <c r="S217" s="1659">
        <v>0</v>
      </c>
      <c r="T217" s="1659">
        <v>0</v>
      </c>
      <c r="U217" s="1659">
        <v>0</v>
      </c>
      <c r="V217" s="1659">
        <v>0</v>
      </c>
      <c r="W217" s="1659">
        <v>0</v>
      </c>
      <c r="X217" s="1655">
        <v>102</v>
      </c>
      <c r="Y217" s="1184">
        <v>9</v>
      </c>
      <c r="Z217" s="1660">
        <v>5</v>
      </c>
      <c r="AA217" s="1660">
        <v>3</v>
      </c>
      <c r="AB217" s="1184">
        <v>3</v>
      </c>
      <c r="AC217" s="1184">
        <v>3</v>
      </c>
      <c r="AD217" s="1184">
        <v>3</v>
      </c>
      <c r="AE217" s="1184">
        <v>3</v>
      </c>
      <c r="AF217" s="1660">
        <v>10</v>
      </c>
      <c r="AG217" s="1184">
        <v>34</v>
      </c>
      <c r="AH217" s="1184">
        <v>9</v>
      </c>
      <c r="AI217" s="568">
        <v>8</v>
      </c>
      <c r="AJ217" s="1184">
        <v>8</v>
      </c>
      <c r="AK217" s="1184">
        <v>8</v>
      </c>
      <c r="AL217" s="1184">
        <v>8</v>
      </c>
      <c r="AM217" s="1184">
        <v>8</v>
      </c>
      <c r="AN217" s="1184">
        <v>8</v>
      </c>
      <c r="AO217" s="1656">
        <v>8</v>
      </c>
      <c r="AP217" s="1656">
        <v>8</v>
      </c>
      <c r="AQ217" s="1656">
        <v>8</v>
      </c>
      <c r="AR217" s="1656">
        <v>8</v>
      </c>
      <c r="AS217" s="1656">
        <v>8</v>
      </c>
      <c r="AT217" s="1655">
        <v>11</v>
      </c>
    </row>
  </sheetData>
  <sheetProtection sheet="1" formatColumns="0" formatRows="0" autoFilter="0" sort="1" insertRows="1" insertColumns="1" deleteRows="1" deleteColumns="1"/>
  <mergeCells count="7">
    <mergeCell ref="E6:I6"/>
    <mergeCell ref="E7:I7"/>
    <mergeCell ref="F10:G10"/>
    <mergeCell ref="X10:X14"/>
    <mergeCell ref="F11:G11"/>
    <mergeCell ref="F12:G12"/>
    <mergeCell ref="E13:G13"/>
  </mergeCells>
  <dataValidations count="5">
    <dataValidation type="decimal" allowBlank="1" showErrorMessage="1" errorTitle="Ошибка" error="Допускается ввод только действительных чисел!" sqref="H40:W42">
      <formula1>-9.99999999999999E+37</formula1>
      <formula2>9.99999999999999E+37</formula2>
    </dataValidation>
    <dataValidation type="decimal" allowBlank="1" showErrorMessage="1" errorTitle="Ошибка" error="Допускается ввод только действительных чисел!" sqref="H36:W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W43">
      <formula1>900</formula1>
    </dataValidation>
    <dataValidation type="decimal" allowBlank="1" showErrorMessage="1" errorTitle="Ошибка" error="Допускается ввод только неотрицательных чисел!" sqref="H38:W39 H2:W2 H15:W15 H17:W32 H35:W35 H44:W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W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D9AB39-0E2E-8A62-17F1-0.88F2946E}" mc:Ignorable="x14ac xr xr2 xr3">
  <sheetPr>
    <tabColor theme="9" tint="-0.25"/>
  </sheetPr>
  <dimension ref="A1:AT210"/>
  <sheetViews>
    <sheetView showGridLines="0" zoomScale="90" workbookViewId="0">
      <pane xSplit="8" ySplit="14" topLeftCell="W15" activePane="bottomRight" state="frozen"/>
      <selection pane="bottomLeft" activeCell="A15" sqref="A15"/>
      <selection pane="topRight" activeCell="I1" sqref="I1"/>
      <selection pane="bottomRight" activeCell="W9" sqref="W9"/>
    </sheetView>
  </sheetViews>
  <sheetFormatPr defaultColWidth="9.140625" customHeight="1" defaultRowHeight="11.25"/>
  <cols>
    <col min="1" max="1" style="1011" width="10.7109375" hidden="1" customWidth="1"/>
    <col min="2" max="2" style="1390" width="16.8515625" hidden="1" customWidth="1"/>
    <col min="3" max="3" style="1666" width="5.57421875" hidden="1" customWidth="1"/>
    <col min="4" max="4" style="1659" width="3.00390625" customWidth="1"/>
    <col min="5" max="5" style="1659" width="7.00390625" customWidth="1"/>
    <col min="6" max="6" style="1659" width="54.00390625" customWidth="1"/>
    <col min="7" max="7" style="1659" width="10.00390625" customWidth="1"/>
    <col min="8" max="8" style="1659" width="40.7109375" hidden="1" customWidth="1"/>
    <col min="9" max="9" style="1659" width="40.00390625" customWidth="1"/>
    <col min="10" max="23" style="1659" width="40.7109375" customWidth="1"/>
    <col min="24" max="24" style="1659" width="102.00390625" customWidth="1"/>
    <col min="25" max="25" style="1390" width="9.00390625" customWidth="1"/>
    <col min="26" max="26" style="1666" width="5.00390625" customWidth="1"/>
    <col min="27" max="27" style="1666" width="3.00390625" customWidth="1"/>
    <col min="28" max="31" style="1390" width="3.00390625" customWidth="1"/>
    <col min="32" max="32" style="1666" width="10.00390625" customWidth="1"/>
    <col min="33" max="33" style="1390" width="34.00390625" customWidth="1"/>
    <col min="34" max="34" style="1390" width="9.00390625" customWidth="1"/>
    <col min="35" max="35" style="760" width="8.00390625" customWidth="1"/>
    <col min="36" max="40" style="1390" width="8.00390625" customWidth="1"/>
    <col min="41" max="45" style="1656" width="8.00390625" customWidth="1"/>
    <col min="46" max="46" style="1659" width="9.140625" hidden="1"/>
  </cols>
  <sheetData>
    <row s="1390" customFormat="1" customHeight="1" ht="22.5" hidden="1">
      <c r="A1" s="1011"/>
      <c r="C1" s="1660"/>
      <c r="D1" s="561"/>
      <c r="H1" s="1184">
        <v>4</v>
      </c>
      <c r="I1" s="1184">
        <v>4</v>
      </c>
      <c r="J1" s="1390">
        <v>4</v>
      </c>
      <c r="K1" s="1390">
        <v>4</v>
      </c>
      <c r="L1" s="1390">
        <v>4</v>
      </c>
      <c r="M1" s="1390">
        <v>4</v>
      </c>
      <c r="N1" s="1390">
        <v>4</v>
      </c>
      <c r="O1" s="1390">
        <v>4</v>
      </c>
      <c r="P1" s="1390">
        <v>4</v>
      </c>
      <c r="Q1" s="1390">
        <v>4</v>
      </c>
      <c r="R1" s="1390">
        <v>4</v>
      </c>
      <c r="S1" s="1390">
        <v>4</v>
      </c>
      <c r="T1" s="1390">
        <v>4</v>
      </c>
      <c r="U1" s="1390">
        <v>4</v>
      </c>
      <c r="V1" s="1390">
        <v>4</v>
      </c>
      <c r="W1" s="1390">
        <v>4</v>
      </c>
      <c r="Z1" s="1660"/>
      <c r="AA1" s="1660"/>
      <c r="AF1" s="1660"/>
      <c r="AT1" s="1184" t="s">
        <v>14</v>
      </c>
    </row>
    <row s="1390" customFormat="1" customHeight="1" ht="22.5" hidden="1">
      <c r="A2" s="1011"/>
      <c r="C2" s="1660"/>
      <c r="D2" s="562"/>
      <c r="E2" s="1682"/>
      <c r="F2" s="564"/>
      <c r="G2" s="1681" t="s">
        <v>636</v>
      </c>
      <c r="H2" s="565"/>
      <c r="I2" s="565"/>
      <c r="J2" s="775"/>
      <c r="K2" s="775"/>
      <c r="L2" s="775"/>
      <c r="M2" s="775"/>
      <c r="N2" s="775"/>
      <c r="O2" s="775"/>
      <c r="P2" s="775"/>
      <c r="Q2" s="775"/>
      <c r="R2" s="775"/>
      <c r="S2" s="775"/>
      <c r="T2" s="775"/>
      <c r="U2" s="775"/>
      <c r="V2" s="775"/>
      <c r="W2" s="775"/>
      <c r="X2" s="566" t="s">
        <v>639</v>
      </c>
      <c r="Y2" s="567"/>
      <c r="Z2" s="1660"/>
      <c r="AA2" s="1660"/>
      <c r="AF2" s="1660"/>
      <c r="AI2" s="568"/>
      <c r="AO2" s="1656"/>
      <c r="AP2" s="1656"/>
      <c r="AQ2" s="1656"/>
      <c r="AR2" s="1656"/>
      <c r="AS2" s="1656"/>
      <c r="AT2" s="1184">
        <v>0</v>
      </c>
    </row>
    <row customHeight="1" ht="11.25" hidden="1">
      <c r="J3" s="1659"/>
      <c r="K3" s="1659"/>
      <c r="L3" s="1659"/>
      <c r="M3" s="1659"/>
      <c r="N3" s="1659"/>
      <c r="O3" s="1659"/>
      <c r="P3" s="1659"/>
      <c r="Q3" s="1659"/>
      <c r="R3" s="1659"/>
      <c r="S3" s="1659"/>
      <c r="T3" s="1659"/>
      <c r="U3" s="1659"/>
      <c r="V3" s="1659"/>
      <c r="W3" s="1659"/>
      <c r="AT3" s="1655">
        <v>0</v>
      </c>
    </row>
    <row s="1656" customFormat="1" customHeight="1" ht="11.25" hidden="1">
      <c r="A4" s="1011"/>
      <c r="B4" s="1184"/>
      <c r="C4" s="1660"/>
      <c r="D4" s="386"/>
      <c r="J4" s="1656"/>
      <c r="K4" s="1656"/>
      <c r="L4" s="1656"/>
      <c r="M4" s="1656"/>
      <c r="N4" s="1656"/>
      <c r="O4" s="1656"/>
      <c r="P4" s="1656"/>
      <c r="Q4" s="1656"/>
      <c r="R4" s="1656"/>
      <c r="S4" s="1656"/>
      <c r="T4" s="1656"/>
      <c r="U4" s="1656"/>
      <c r="V4" s="1656"/>
      <c r="W4" s="1656"/>
      <c r="X4" s="1656">
        <v>4</v>
      </c>
      <c r="Y4" s="1184"/>
      <c r="Z4" s="1660"/>
      <c r="AA4" s="1660"/>
      <c r="AB4" s="1184"/>
      <c r="AC4" s="1184"/>
      <c r="AD4" s="1184"/>
      <c r="AE4" s="1184"/>
      <c r="AF4" s="1660"/>
      <c r="AG4" s="1184"/>
      <c r="AH4" s="1184"/>
      <c r="AI4" s="568"/>
      <c r="AJ4" s="1184"/>
      <c r="AK4" s="1184"/>
      <c r="AL4" s="1184"/>
      <c r="AM4" s="1184"/>
      <c r="AN4" s="1184"/>
      <c r="AT4" s="1656">
        <v>0</v>
      </c>
    </row>
    <row customHeight="1" ht="11.549999999999999">
      <c r="J5" s="1659"/>
      <c r="K5" s="1659"/>
      <c r="L5" s="1659"/>
      <c r="M5" s="1659"/>
      <c r="N5" s="1659"/>
      <c r="O5" s="1659"/>
      <c r="P5" s="1659"/>
      <c r="Q5" s="1659"/>
      <c r="R5" s="1659"/>
      <c r="S5" s="1659"/>
      <c r="T5" s="1659"/>
      <c r="U5" s="1659"/>
      <c r="V5" s="1659"/>
      <c r="W5" s="1659"/>
      <c r="AT5" s="1655">
        <v>11</v>
      </c>
    </row>
    <row customHeight="1" ht="33.75">
      <c r="E6" s="2272" t="s">
        <v>872</v>
      </c>
      <c r="F6" s="2272"/>
      <c r="G6" s="2272"/>
      <c r="H6" s="2272"/>
      <c r="I6" s="2272"/>
      <c r="J6" s="2272"/>
      <c r="K6" s="2272"/>
      <c r="L6" s="2272"/>
      <c r="M6" s="2272"/>
      <c r="N6" s="2272"/>
      <c r="O6" s="2272"/>
      <c r="P6" s="2272"/>
      <c r="Q6" s="2272"/>
      <c r="R6" s="2272"/>
      <c r="S6" s="2272"/>
      <c r="T6" s="2272"/>
      <c r="U6" s="2272"/>
      <c r="V6" s="2272"/>
      <c r="W6" s="2272"/>
      <c r="X6" s="580"/>
      <c r="AT6" s="1655">
        <v>32</v>
      </c>
    </row>
    <row customHeight="1" ht="25.2">
      <c r="E7" s="2273" t="str">
        <f>IF(org=0,"Не определено",org)</f>
        <v>АО "ДГК"</v>
      </c>
      <c r="F7" s="2273"/>
      <c r="G7" s="2273"/>
      <c r="H7" s="2273"/>
      <c r="I7" s="2273"/>
      <c r="J7" s="2273"/>
      <c r="K7" s="2273"/>
      <c r="L7" s="2273"/>
      <c r="M7" s="2273"/>
      <c r="N7" s="2273"/>
      <c r="O7" s="2273"/>
      <c r="P7" s="2273"/>
      <c r="Q7" s="2273"/>
      <c r="R7" s="2273"/>
      <c r="S7" s="2273"/>
      <c r="T7" s="2273"/>
      <c r="U7" s="2273"/>
      <c r="V7" s="2273"/>
      <c r="W7" s="2273"/>
      <c r="AT7" s="1655">
        <v>24</v>
      </c>
    </row>
    <row customHeight="1" ht="11.549999999999999">
      <c r="E8" s="1159"/>
      <c r="F8" s="1159"/>
      <c r="G8" s="1159"/>
      <c r="H8" s="1159"/>
      <c r="I8" s="1159"/>
      <c r="J8" s="1160" t="s">
        <v>22</v>
      </c>
      <c r="K8" s="1160" t="s">
        <v>22</v>
      </c>
      <c r="L8" s="1160" t="s">
        <v>22</v>
      </c>
      <c r="M8" s="1160" t="s">
        <v>22</v>
      </c>
      <c r="N8" s="1160" t="s">
        <v>22</v>
      </c>
      <c r="O8" s="1160" t="s">
        <v>22</v>
      </c>
      <c r="P8" s="1160" t="s">
        <v>22</v>
      </c>
      <c r="Q8" s="1160" t="s">
        <v>22</v>
      </c>
      <c r="R8" s="1160" t="s">
        <v>22</v>
      </c>
      <c r="S8" s="1160" t="s">
        <v>22</v>
      </c>
      <c r="T8" s="1160" t="s">
        <v>22</v>
      </c>
      <c r="U8" s="1160" t="s">
        <v>22</v>
      </c>
      <c r="V8" s="1160" t="s">
        <v>22</v>
      </c>
      <c r="W8" s="1160" t="s">
        <v>22</v>
      </c>
      <c r="AT8" s="1655">
        <v>11</v>
      </c>
    </row>
    <row s="1666" customFormat="1" customHeight="1" ht="1.05">
      <c r="A9" s="1191"/>
      <c r="D9" s="1666"/>
      <c r="H9" s="913"/>
      <c r="I9" s="913" t="s">
        <v>176</v>
      </c>
      <c r="J9" s="913" t="s">
        <v>181</v>
      </c>
      <c r="K9" s="913" t="s">
        <v>183</v>
      </c>
      <c r="L9" s="913" t="s">
        <v>185</v>
      </c>
      <c r="M9" s="913" t="s">
        <v>187</v>
      </c>
      <c r="N9" s="913" t="s">
        <v>189</v>
      </c>
      <c r="O9" s="913" t="s">
        <v>191</v>
      </c>
      <c r="P9" s="913" t="s">
        <v>193</v>
      </c>
      <c r="Q9" s="913" t="s">
        <v>195</v>
      </c>
      <c r="R9" s="913" t="s">
        <v>197</v>
      </c>
      <c r="S9" s="913" t="s">
        <v>199</v>
      </c>
      <c r="T9" s="913" t="s">
        <v>201</v>
      </c>
      <c r="U9" s="913" t="s">
        <v>203</v>
      </c>
      <c r="V9" s="913" t="s">
        <v>205</v>
      </c>
      <c r="W9" s="913" t="s">
        <v>207</v>
      </c>
      <c r="AT9" s="1660">
        <v>1</v>
      </c>
    </row>
    <row customHeight="1" ht="11.549999999999999">
      <c r="E10" s="735"/>
      <c r="F10" s="2391" t="s">
        <v>166</v>
      </c>
      <c r="G10" s="2392"/>
      <c r="H10" s="1683" t="str">
        <f>IF(H9="","",INDEX(DIFFERENTIATION_UNMERGE_VD,MATCH(H9,DIFFERENTIATION_ID_DIFF,0)))</f>
        <v/>
      </c>
      <c r="I10" s="1683" t="str">
        <f>IF(I9="","",INDEX(DIFFERENTIATION_UNMERGE_VD,MATCH(I9,DIFFERENTIATION_ID_DIFF,0)))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10" s="2417" t="str">
        <f>IF(J9="","",INDEX(DIFFERENTIATION_UNMERGE_VD,MATCH(J9,DIFFERENTIATION_ID_DIFF,0)))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K10" s="2417" t="str">
        <f>IF(K9="","",INDEX(DIFFERENTIATION_UNMERGE_VD,MATCH(K9,DIFFERENTIATION_ID_DIFF,0)))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L10" s="2417" t="str">
        <f>IF(L9="","",INDEX(DIFFERENTIATION_UNMERGE_VD,MATCH(L9,DIFFERENTIATION_ID_DIFF,0)))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M10" s="2417" t="str">
        <f>IF(M9="","",INDEX(DIFFERENTIATION_UNMERGE_VD,MATCH(M9,DIFFERENTIATION_ID_DIFF,0)))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N10" s="2417" t="str">
        <f>IF(N9="","",INDEX(DIFFERENTIATION_UNMERGE_VD,MATCH(N9,DIFFERENTIATION_ID_DIFF,0)))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O10" s="2417" t="str">
        <f>IF(O9="","",INDEX(DIFFERENTIATION_UNMERGE_VD,MATCH(O9,DIFFERENTIATION_ID_DIFF,0)))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10" s="2417" t="str">
        <f>IF(P9="","",INDEX(DIFFERENTIATION_UNMERGE_VD,MATCH(P9,DIFFERENTIATION_ID_DIFF,0)))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10" s="2417" t="str">
        <f>IF(Q9="","",INDEX(DIFFERENTIATION_UNMERGE_VD,MATCH(Q9,DIFFERENTIATION_ID_DIFF,0)))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R10" s="2417" t="str">
        <f>IF(R9="","",INDEX(DIFFERENTIATION_UNMERGE_VD,MATCH(R9,DIFFERENTIATION_ID_DIFF,0)))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S10" s="2417" t="str">
        <f>IF(S9="","",INDEX(DIFFERENTIATION_UNMERGE_VD,MATCH(S9,DIFFERENTIATION_ID_DIFF,0)))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T10" s="2417" t="str">
        <f>IF(T9="","",INDEX(DIFFERENTIATION_UNMERGE_VD,MATCH(T9,DIFFERENTIATION_ID_DIFF,0)))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U10" s="2417" t="str">
        <f>IF(U9="","",INDEX(DIFFERENTIATION_UNMERGE_VD,MATCH(U9,DIFFERENTIATION_ID_DIFF,0)))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V10" s="2417" t="str">
        <f>IF(V9="","",INDEX(DIFFERENTIATION_UNMERGE_VD,MATCH(V9,DIFFERENTIATION_ID_DIFF,0)))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W10" s="2417" t="str">
        <f>IF(W9="","",INDEX(DIFFERENTIATION_UNMERGE_VD,MATCH(W9,DIFFERENTIATION_ID_DIFF,0)))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X10" s="2151"/>
      <c r="AT10" s="1655">
        <v>11</v>
      </c>
    </row>
    <row customHeight="1" ht="11.549999999999999">
      <c r="E11" s="735"/>
      <c r="F11" s="2391" t="s">
        <v>648</v>
      </c>
      <c r="G11" s="2392"/>
      <c r="H11" s="1683" t="str">
        <f>IF(H9="","",INDEX(DIFFERENTIATION_UNMERGE_AREA,MATCH(H9,DIFFERENTIATION_ID_DIFF,0)))</f>
        <v/>
      </c>
      <c r="I11" s="1683" t="str">
        <f>IF(I9="","",INDEX(DIFFERENTIATION_UNMERGE_AREA,MATCH(I9,DIFFERENTIATION_ID_DIFF,0)))</f>
        <v>Территория 1</v>
      </c>
      <c r="J11" s="2417" t="str">
        <f>IF(J9="","",INDEX(DIFFERENTIATION_UNMERGE_AREA,MATCH(J9,DIFFERENTIATION_ID_DIFF,0)))</f>
        <v>Территория 2</v>
      </c>
      <c r="K11" s="2417" t="str">
        <f>IF(K9="","",INDEX(DIFFERENTIATION_UNMERGE_AREA,MATCH(K9,DIFFERENTIATION_ID_DIFF,0)))</f>
        <v>Территория 2</v>
      </c>
      <c r="L11" s="2417" t="str">
        <f>IF(L9="","",INDEX(DIFFERENTIATION_UNMERGE_AREA,MATCH(L9,DIFFERENTIATION_ID_DIFF,0)))</f>
        <v>Территория 3</v>
      </c>
      <c r="M11" s="2417" t="str">
        <f>IF(M9="","",INDEX(DIFFERENTIATION_UNMERGE_AREA,MATCH(M9,DIFFERENTIATION_ID_DIFF,0)))</f>
        <v>Территория 3</v>
      </c>
      <c r="N11" s="2417" t="str">
        <f>IF(N9="","",INDEX(DIFFERENTIATION_UNMERGE_AREA,MATCH(N9,DIFFERENTIATION_ID_DIFF,0)))</f>
        <v>Территория 3</v>
      </c>
      <c r="O11" s="2417" t="str">
        <f>IF(O9="","",INDEX(DIFFERENTIATION_UNMERGE_AREA,MATCH(O9,DIFFERENTIATION_ID_DIFF,0)))</f>
        <v>Территория 3</v>
      </c>
      <c r="P11" s="2417" t="str">
        <f>IF(P9="","",INDEX(DIFFERENTIATION_UNMERGE_AREA,MATCH(P9,DIFFERENTIATION_ID_DIFF,0)))</f>
        <v>Территория 4</v>
      </c>
      <c r="Q11" s="2417" t="str">
        <f>IF(Q9="","",INDEX(DIFFERENTIATION_UNMERGE_AREA,MATCH(Q9,DIFFERENTIATION_ID_DIFF,0)))</f>
        <v>Территория 5</v>
      </c>
      <c r="R11" s="2417" t="str">
        <f>IF(R9="","",INDEX(DIFFERENTIATION_UNMERGE_AREA,MATCH(R9,DIFFERENTIATION_ID_DIFF,0)))</f>
        <v>Территория 6</v>
      </c>
      <c r="S11" s="2417" t="str">
        <f>IF(S9="","",INDEX(DIFFERENTIATION_UNMERGE_AREA,MATCH(S9,DIFFERENTIATION_ID_DIFF,0)))</f>
        <v>Территория 7</v>
      </c>
      <c r="T11" s="2417" t="str">
        <f>IF(T9="","",INDEX(DIFFERENTIATION_UNMERGE_AREA,MATCH(T9,DIFFERENTIATION_ID_DIFF,0)))</f>
        <v>Территория 8</v>
      </c>
      <c r="U11" s="2417" t="str">
        <f>IF(U9="","",INDEX(DIFFERENTIATION_UNMERGE_AREA,MATCH(U9,DIFFERENTIATION_ID_DIFF,0)))</f>
        <v>Территория 8</v>
      </c>
      <c r="V11" s="2417" t="str">
        <f>IF(V9="","",INDEX(DIFFERENTIATION_UNMERGE_AREA,MATCH(V9,DIFFERENTIATION_ID_DIFF,0)))</f>
        <v>Территория 9</v>
      </c>
      <c r="W11" s="2417" t="str">
        <f>IF(W9="","",INDEX(DIFFERENTIATION_UNMERGE_AREA,MATCH(W9,DIFFERENTIATION_ID_DIFF,0)))</f>
        <v>Территория 10</v>
      </c>
      <c r="X11" s="2151"/>
      <c r="AT11" s="1655">
        <v>11</v>
      </c>
    </row>
    <row customHeight="1" ht="11.25" hidden="1">
      <c r="E12" s="1686"/>
      <c r="F12" s="2414" t="s">
        <v>649</v>
      </c>
      <c r="G12" s="2415"/>
      <c r="H12" s="1687" t="str">
        <f>IF(H9="","",INDEX(DIFFERENTIATION_UNMERGE_SYSTEM,MATCH(H9,DIFFERENTIATION_ID_DIFF,0)))</f>
        <v/>
      </c>
      <c r="I12" s="1687" t="str">
        <f>IF(I9="","",INDEX(DIFFERENTIATION_UNMERGE_SYSTEM,MATCH(I9,DIFFERENTIATION_ID_DIFF,0)))</f>
        <v>Амурская ТЭЦ-1 (г. Амурск)</v>
      </c>
      <c r="J12" s="1687" t="str">
        <f>IF(J9="","",INDEX(DIFFERENTIATION_UNMERGE_SYSTEM,MATCH(J9,DIFFERENTIATION_ID_DIFF,0)))</f>
        <v>Николаевская ТЭЦ (г. Николаевск)</v>
      </c>
      <c r="K12" s="1687" t="str">
        <f>IF(K9="","",INDEX(DIFFERENTIATION_UNMERGE_SYSTEM,MATCH(K9,DIFFERENTIATION_ID_DIFF,0)))</f>
        <v>котельная "Аэропорт"</v>
      </c>
      <c r="L12" s="1687" t="str">
        <f>IF(L9="","",INDEX(DIFFERENTIATION_UNMERGE_SYSTEM,MATCH(L9,DIFFERENTIATION_ID_DIFF,0)))</f>
        <v>Комсомольская ТЭЦ-1 (г. Комсомольск)</v>
      </c>
      <c r="M12" s="1687" t="str">
        <f>IF(M9="","",INDEX(DIFFERENTIATION_UNMERGE_SYSTEM,MATCH(M9,DIFFERENTIATION_ID_DIFF,0)))</f>
        <v>Комсомольская ТЭЦ-2 (г. Комсомольск)</v>
      </c>
      <c r="N12" s="1687" t="str">
        <f>IF(N9="","",INDEX(DIFFERENTIATION_UNMERGE_SYSTEM,MATCH(N9,DIFFERENTIATION_ID_DIFF,0)))</f>
        <v>Комсомольская ТЭЦ-3 (г. Комсомольск)</v>
      </c>
      <c r="O12" s="1687" t="str">
        <f>IF(O9="","",INDEX(DIFFERENTIATION_UNMERGE_SYSTEM,MATCH(O9,DIFFERENTIATION_ID_DIFF,0)))</f>
        <v>ВК "Дземги" (г. Комсомольск)</v>
      </c>
      <c r="P12" s="1687" t="str">
        <f>IF(P9="","",INDEX(DIFFERENTIATION_UNMERGE_SYSTEM,MATCH(P9,DIFFERENTIATION_ID_DIFF,0)))</f>
        <v>ТЭЦ в г. Советская Гавань</v>
      </c>
      <c r="Q12" s="1687" t="str">
        <f>IF(Q9="","",INDEX(DIFFERENTIATION_UNMERGE_SYSTEM,MATCH(Q9,DIFFERENTIATION_ID_DIFF,0)))</f>
        <v>Майская котельная </v>
      </c>
      <c r="R12" s="1687" t="str">
        <f>IF(R9="","",INDEX(DIFFERENTIATION_UNMERGE_SYSTEM,MATCH(R9,DIFFERENTIATION_ID_DIFF,0)))</f>
        <v>Ургальская котельная (п. Чегдомын)</v>
      </c>
      <c r="S12" s="1687" t="str">
        <f>IF(S9="","",INDEX(DIFFERENTIATION_UNMERGE_SYSTEM,MATCH(S9,DIFFERENTIATION_ID_DIFF,0)))</f>
        <v>Хабаровская ТЭЦ-1 (г. Хабаровск, с. Ильинское, п. Корфовский, с. Ракитненское)</v>
      </c>
      <c r="T12" s="1687" t="str">
        <f>IF(T9="","",INDEX(DIFFERENTIATION_UNMERGE_SYSTEM,MATCH(T9,DIFFERENTIATION_ID_DIFF,0)))</f>
        <v>Хабаровская ТЭЦ-2 (г. Хабаровск)</v>
      </c>
      <c r="U12" s="1687" t="str">
        <f>IF(U9="","",INDEX(DIFFERENTIATION_UNMERGE_SYSTEM,MATCH(U9,DIFFERENTIATION_ID_DIFF,0)))</f>
        <v>Котельная в Волочаевском городке</v>
      </c>
      <c r="V12" s="1687" t="str">
        <f>IF(V9="","",INDEX(DIFFERENTIATION_UNMERGE_SYSTEM,MATCH(V9,DIFFERENTIATION_ID_DIFF,0)))</f>
        <v>Хабаровская ТЭЦ-3 (г. Хабаровск, с. Восточное, с. Мирненское, с. Тополевское)</v>
      </c>
      <c r="W12" s="1687" t="str">
        <f>IF(W9="","",INDEX(DIFFERENTIATION_UNMERGE_SYSTEM,MATCH(W9,DIFFERENTIATION_ID_DIFF,0)))</f>
        <v>Котельная в с. Некрасовка (с. Дружбинское, с. Некрасовское) </v>
      </c>
      <c r="X12" s="2151"/>
      <c r="AT12" s="1655">
        <v>0</v>
      </c>
    </row>
    <row customHeight="1" ht="11.549999999999999">
      <c r="E13" s="2393" t="s">
        <v>384</v>
      </c>
      <c r="F13" s="2394"/>
      <c r="G13" s="2394"/>
      <c r="H13" s="1680"/>
      <c r="I13" s="1680"/>
      <c r="J13" s="2391"/>
      <c r="K13" s="2391"/>
      <c r="L13" s="2391"/>
      <c r="M13" s="2391"/>
      <c r="N13" s="2391"/>
      <c r="O13" s="2391"/>
      <c r="P13" s="2391"/>
      <c r="Q13" s="2391"/>
      <c r="R13" s="2391"/>
      <c r="S13" s="2391"/>
      <c r="T13" s="2391"/>
      <c r="U13" s="2391"/>
      <c r="V13" s="2391"/>
      <c r="W13" s="2391"/>
      <c r="X13" s="2151"/>
      <c r="AT13" s="1655">
        <v>11</v>
      </c>
    </row>
    <row customHeight="1" ht="24">
      <c r="E14" s="1681" t="s">
        <v>88</v>
      </c>
      <c r="F14" s="1684" t="s">
        <v>386</v>
      </c>
      <c r="G14" s="1684" t="s">
        <v>650</v>
      </c>
      <c r="H14" s="1684" t="s">
        <v>387</v>
      </c>
      <c r="I14" s="1684" t="s">
        <v>387</v>
      </c>
      <c r="J14" s="2336" t="s">
        <v>387</v>
      </c>
      <c r="K14" s="2336" t="s">
        <v>387</v>
      </c>
      <c r="L14" s="2336" t="s">
        <v>387</v>
      </c>
      <c r="M14" s="2336" t="s">
        <v>387</v>
      </c>
      <c r="N14" s="2336" t="s">
        <v>387</v>
      </c>
      <c r="O14" s="2336" t="s">
        <v>387</v>
      </c>
      <c r="P14" s="2336" t="s">
        <v>387</v>
      </c>
      <c r="Q14" s="2336" t="s">
        <v>387</v>
      </c>
      <c r="R14" s="2336" t="s">
        <v>387</v>
      </c>
      <c r="S14" s="2336" t="s">
        <v>387</v>
      </c>
      <c r="T14" s="2336" t="s">
        <v>387</v>
      </c>
      <c r="U14" s="2336" t="s">
        <v>387</v>
      </c>
      <c r="V14" s="2336" t="s">
        <v>387</v>
      </c>
      <c r="W14" s="2336" t="s">
        <v>387</v>
      </c>
      <c r="X14" s="2151"/>
      <c r="AT14" s="1655">
        <v>23</v>
      </c>
    </row>
    <row customHeight="1" ht="19.95">
      <c r="D15" s="1662"/>
      <c r="E15" s="1654" t="s">
        <v>170</v>
      </c>
      <c r="F15" s="731" t="s">
        <v>873</v>
      </c>
      <c r="G15" s="1681" t="s">
        <v>636</v>
      </c>
      <c r="H15" s="581"/>
      <c r="I15" s="581"/>
      <c r="J15" s="581"/>
      <c r="K15" s="581"/>
      <c r="L15" s="581"/>
      <c r="M15" s="581"/>
      <c r="N15" s="581"/>
      <c r="O15" s="581"/>
      <c r="P15" s="581"/>
      <c r="Q15" s="581"/>
      <c r="R15" s="581"/>
      <c r="S15" s="581"/>
      <c r="T15" s="581"/>
      <c r="U15" s="581"/>
      <c r="V15" s="581"/>
      <c r="W15" s="581"/>
      <c r="X15" s="313" t="s">
        <v>874</v>
      </c>
      <c r="Y15" s="567" t="s">
        <v>728</v>
      </c>
      <c r="AT15" s="1655">
        <v>19</v>
      </c>
    </row>
    <row customHeight="1" ht="24">
      <c r="D16" s="1662"/>
      <c r="E16" s="1654" t="s">
        <v>103</v>
      </c>
      <c r="F16" s="1689" t="s">
        <v>875</v>
      </c>
      <c r="G16" s="1681" t="s">
        <v>636</v>
      </c>
      <c r="H16" s="582">
        <f>SUM(H17,H20:H27)</f>
        <v>0</v>
      </c>
      <c r="I16" s="582">
        <f>SUM(I17,I20:I27)</f>
        <v>0</v>
      </c>
      <c r="J16" s="582">
        <f>SUM(J17,J20:J27)</f>
        <v>0</v>
      </c>
      <c r="K16" s="582">
        <f>SUM(K17,K20:K27)</f>
        <v>0</v>
      </c>
      <c r="L16" s="582">
        <f>SUM(L17,L20:L27)</f>
        <v>0</v>
      </c>
      <c r="M16" s="582">
        <f>SUM(M17,M20:M27)</f>
        <v>0</v>
      </c>
      <c r="N16" s="582">
        <f>SUM(N17,N20:N27)</f>
        <v>0</v>
      </c>
      <c r="O16" s="582">
        <f>SUM(O17,O20:O27)</f>
        <v>0</v>
      </c>
      <c r="P16" s="582">
        <f>SUM(P17,P20:P27)</f>
        <v>0</v>
      </c>
      <c r="Q16" s="582">
        <f>SUM(Q17,Q20:Q27)</f>
        <v>0</v>
      </c>
      <c r="R16" s="582">
        <f>SUM(R17,R20:R27)</f>
        <v>0</v>
      </c>
      <c r="S16" s="582">
        <f>SUM(S17,S20:S27)</f>
        <v>0</v>
      </c>
      <c r="T16" s="582">
        <f>SUM(T17,T20:T27)</f>
        <v>0</v>
      </c>
      <c r="U16" s="582">
        <f>SUM(U17,U20:U27)</f>
        <v>0</v>
      </c>
      <c r="V16" s="582">
        <f>SUM(V17,V20:V27)</f>
        <v>0</v>
      </c>
      <c r="W16" s="582">
        <f>SUM(W17,W20:W27)</f>
        <v>0</v>
      </c>
      <c r="X16" s="313" t="s">
        <v>876</v>
      </c>
      <c r="Y16" s="567" t="s">
        <v>728</v>
      </c>
      <c r="AT16" s="1655">
        <v>23</v>
      </c>
    </row>
    <row customHeight="1" ht="35.699999999999996">
      <c r="D17" s="1662"/>
      <c r="E17" s="1688" t="s">
        <v>806</v>
      </c>
      <c r="F17" s="1691" t="s">
        <v>877</v>
      </c>
      <c r="G17" s="1678" t="s">
        <v>636</v>
      </c>
      <c r="H17" s="581"/>
      <c r="I17" s="581"/>
      <c r="J17" s="581"/>
      <c r="K17" s="581"/>
      <c r="L17" s="581"/>
      <c r="M17" s="581"/>
      <c r="N17" s="581"/>
      <c r="O17" s="581"/>
      <c r="P17" s="581"/>
      <c r="Q17" s="581"/>
      <c r="R17" s="581"/>
      <c r="S17" s="581"/>
      <c r="T17" s="581"/>
      <c r="U17" s="581"/>
      <c r="V17" s="581"/>
      <c r="W17" s="581"/>
      <c r="X17" s="313" t="s">
        <v>878</v>
      </c>
      <c r="Y17" s="567"/>
      <c r="AT17" s="1655">
        <v>34</v>
      </c>
    </row>
    <row customHeight="1" ht="19.95">
      <c r="D18" s="1662"/>
      <c r="E18" s="1688" t="s">
        <v>809</v>
      </c>
      <c r="F18" s="1692" t="s">
        <v>879</v>
      </c>
      <c r="G18" s="1678" t="s">
        <v>636</v>
      </c>
      <c r="H18" s="581"/>
      <c r="I18" s="581"/>
      <c r="J18" s="581"/>
      <c r="K18" s="581"/>
      <c r="L18" s="581"/>
      <c r="M18" s="581"/>
      <c r="N18" s="581"/>
      <c r="O18" s="581"/>
      <c r="P18" s="581"/>
      <c r="Q18" s="581"/>
      <c r="R18" s="581"/>
      <c r="S18" s="581"/>
      <c r="T18" s="581"/>
      <c r="U18" s="581"/>
      <c r="V18" s="581"/>
      <c r="W18" s="581"/>
      <c r="X18" s="313"/>
      <c r="Y18" s="567"/>
      <c r="AT18" s="1655">
        <v>19</v>
      </c>
    </row>
    <row customHeight="1" ht="24">
      <c r="D19" s="1662"/>
      <c r="E19" s="1688" t="s">
        <v>812</v>
      </c>
      <c r="F19" s="1692" t="s">
        <v>880</v>
      </c>
      <c r="G19" s="1678" t="s">
        <v>636</v>
      </c>
      <c r="H19" s="581"/>
      <c r="I19" s="581"/>
      <c r="J19" s="581"/>
      <c r="K19" s="581"/>
      <c r="L19" s="581"/>
      <c r="M19" s="581"/>
      <c r="N19" s="581"/>
      <c r="O19" s="581"/>
      <c r="P19" s="581"/>
      <c r="Q19" s="581"/>
      <c r="R19" s="581"/>
      <c r="S19" s="581"/>
      <c r="T19" s="581"/>
      <c r="U19" s="581"/>
      <c r="V19" s="581"/>
      <c r="W19" s="581"/>
      <c r="X19" s="313"/>
      <c r="Y19" s="567"/>
      <c r="AT19" s="1655">
        <v>23</v>
      </c>
    </row>
    <row customHeight="1" ht="35.699999999999996">
      <c r="D20" s="1662"/>
      <c r="E20" s="1688" t="s">
        <v>391</v>
      </c>
      <c r="F20" s="1691" t="s">
        <v>881</v>
      </c>
      <c r="G20" s="1678" t="s">
        <v>636</v>
      </c>
      <c r="H20" s="581"/>
      <c r="I20" s="581"/>
      <c r="J20" s="581"/>
      <c r="K20" s="581"/>
      <c r="L20" s="581"/>
      <c r="M20" s="581"/>
      <c r="N20" s="581"/>
      <c r="O20" s="581"/>
      <c r="P20" s="581"/>
      <c r="Q20" s="581"/>
      <c r="R20" s="581"/>
      <c r="S20" s="581"/>
      <c r="T20" s="581"/>
      <c r="U20" s="581"/>
      <c r="V20" s="581"/>
      <c r="W20" s="581"/>
      <c r="X20" s="313"/>
      <c r="Y20" s="567"/>
      <c r="AT20" s="1655">
        <v>34</v>
      </c>
    </row>
    <row customHeight="1" ht="48.29999999999999">
      <c r="D21" s="1662"/>
      <c r="E21" s="1688" t="s">
        <v>394</v>
      </c>
      <c r="F21" s="1691" t="s">
        <v>882</v>
      </c>
      <c r="G21" s="1678" t="s">
        <v>636</v>
      </c>
      <c r="H21" s="581"/>
      <c r="I21" s="581"/>
      <c r="J21" s="581"/>
      <c r="K21" s="581"/>
      <c r="L21" s="581"/>
      <c r="M21" s="581"/>
      <c r="N21" s="581"/>
      <c r="O21" s="581"/>
      <c r="P21" s="581"/>
      <c r="Q21" s="581"/>
      <c r="R21" s="581"/>
      <c r="S21" s="581"/>
      <c r="T21" s="581"/>
      <c r="U21" s="581"/>
      <c r="V21" s="581"/>
      <c r="W21" s="581"/>
      <c r="X21" s="313"/>
      <c r="Y21" s="567"/>
      <c r="AT21" s="1655">
        <v>46</v>
      </c>
    </row>
    <row customHeight="1" ht="60">
      <c r="D22" s="1662"/>
      <c r="E22" s="1688" t="s">
        <v>826</v>
      </c>
      <c r="F22" s="1691" t="s">
        <v>883</v>
      </c>
      <c r="G22" s="1678" t="s">
        <v>636</v>
      </c>
      <c r="H22" s="581"/>
      <c r="I22" s="581"/>
      <c r="J22" s="581"/>
      <c r="K22" s="581"/>
      <c r="L22" s="581"/>
      <c r="M22" s="581"/>
      <c r="N22" s="581"/>
      <c r="O22" s="581"/>
      <c r="P22" s="581"/>
      <c r="Q22" s="581"/>
      <c r="R22" s="581"/>
      <c r="S22" s="581"/>
      <c r="T22" s="581"/>
      <c r="U22" s="581"/>
      <c r="V22" s="581"/>
      <c r="W22" s="581"/>
      <c r="X22" s="313"/>
      <c r="Y22" s="567"/>
      <c r="AT22" s="1655">
        <v>57</v>
      </c>
    </row>
    <row customHeight="1" ht="35.699999999999996">
      <c r="D23" s="1662"/>
      <c r="E23" s="1688" t="s">
        <v>833</v>
      </c>
      <c r="F23" s="1691" t="s">
        <v>884</v>
      </c>
      <c r="G23" s="1678" t="s">
        <v>636</v>
      </c>
      <c r="H23" s="581"/>
      <c r="I23" s="581"/>
      <c r="J23" s="581"/>
      <c r="K23" s="581"/>
      <c r="L23" s="581"/>
      <c r="M23" s="581"/>
      <c r="N23" s="581"/>
      <c r="O23" s="581"/>
      <c r="P23" s="581"/>
      <c r="Q23" s="581"/>
      <c r="R23" s="581"/>
      <c r="S23" s="581"/>
      <c r="T23" s="581"/>
      <c r="U23" s="581"/>
      <c r="V23" s="581"/>
      <c r="W23" s="581"/>
      <c r="X23" s="313"/>
      <c r="Y23" s="567"/>
      <c r="AT23" s="1655">
        <v>34</v>
      </c>
    </row>
    <row customHeight="1" ht="35.699999999999996">
      <c r="D24" s="1662"/>
      <c r="E24" s="1688" t="s">
        <v>835</v>
      </c>
      <c r="F24" s="1691" t="s">
        <v>885</v>
      </c>
      <c r="G24" s="1678" t="s">
        <v>636</v>
      </c>
      <c r="H24" s="581"/>
      <c r="I24" s="581"/>
      <c r="J24" s="581"/>
      <c r="K24" s="581"/>
      <c r="L24" s="581"/>
      <c r="M24" s="581"/>
      <c r="N24" s="581"/>
      <c r="O24" s="581"/>
      <c r="P24" s="581"/>
      <c r="Q24" s="581"/>
      <c r="R24" s="581"/>
      <c r="S24" s="581"/>
      <c r="T24" s="581"/>
      <c r="U24" s="581"/>
      <c r="V24" s="581"/>
      <c r="W24" s="581"/>
      <c r="X24" s="313"/>
      <c r="Y24" s="567"/>
      <c r="AT24" s="1655">
        <v>34</v>
      </c>
    </row>
    <row customHeight="1" ht="24">
      <c r="D25" s="1662"/>
      <c r="E25" s="1688" t="s">
        <v>837</v>
      </c>
      <c r="F25" s="1691" t="s">
        <v>886</v>
      </c>
      <c r="G25" s="1678" t="s">
        <v>636</v>
      </c>
      <c r="H25" s="581"/>
      <c r="I25" s="581"/>
      <c r="J25" s="581"/>
      <c r="K25" s="581"/>
      <c r="L25" s="581"/>
      <c r="M25" s="581"/>
      <c r="N25" s="581"/>
      <c r="O25" s="581"/>
      <c r="P25" s="581"/>
      <c r="Q25" s="581"/>
      <c r="R25" s="581"/>
      <c r="S25" s="581"/>
      <c r="T25" s="581"/>
      <c r="U25" s="581"/>
      <c r="V25" s="581"/>
      <c r="W25" s="581"/>
      <c r="X25" s="313"/>
      <c r="Y25" s="567"/>
      <c r="AT25" s="1655">
        <v>23</v>
      </c>
    </row>
    <row customHeight="1" ht="76.5">
      <c r="D26" s="1662"/>
      <c r="E26" s="1688" t="s">
        <v>839</v>
      </c>
      <c r="F26" s="1691" t="s">
        <v>887</v>
      </c>
      <c r="G26" s="1678" t="s">
        <v>636</v>
      </c>
      <c r="H26" s="581"/>
      <c r="I26" s="581"/>
      <c r="J26" s="581"/>
      <c r="K26" s="581"/>
      <c r="L26" s="581"/>
      <c r="M26" s="581"/>
      <c r="N26" s="581"/>
      <c r="O26" s="581"/>
      <c r="P26" s="581"/>
      <c r="Q26" s="581"/>
      <c r="R26" s="581"/>
      <c r="S26" s="581"/>
      <c r="T26" s="581"/>
      <c r="U26" s="581"/>
      <c r="V26" s="581"/>
      <c r="W26" s="581"/>
      <c r="X26" s="313"/>
      <c r="Y26" s="567"/>
      <c r="AT26" s="1655">
        <v>73</v>
      </c>
    </row>
    <row s="1390" customFormat="1" customHeight="1" ht="35.699999999999996">
      <c r="A27" s="1011"/>
      <c r="C27" s="1660"/>
      <c r="D27" s="1662"/>
      <c r="E27" s="1653" t="s">
        <v>843</v>
      </c>
      <c r="F27" s="1652" t="s">
        <v>888</v>
      </c>
      <c r="G27" s="1679" t="s">
        <v>636</v>
      </c>
      <c r="H27" s="603">
        <f>SUM(H28:H29)</f>
        <v>0</v>
      </c>
      <c r="I27" s="603">
        <f>SUM(I28:I29)</f>
        <v>0</v>
      </c>
      <c r="J27" s="603">
        <f>SUM(J28:J29)</f>
        <v>0</v>
      </c>
      <c r="K27" s="603">
        <f>SUM(K28:K29)</f>
        <v>0</v>
      </c>
      <c r="L27" s="603">
        <f>SUM(L28:L29)</f>
        <v>0</v>
      </c>
      <c r="M27" s="603">
        <f>SUM(M28:M29)</f>
        <v>0</v>
      </c>
      <c r="N27" s="603">
        <f>SUM(N28:N29)</f>
        <v>0</v>
      </c>
      <c r="O27" s="603">
        <f>SUM(O28:O29)</f>
        <v>0</v>
      </c>
      <c r="P27" s="603">
        <f>SUM(P28:P29)</f>
        <v>0</v>
      </c>
      <c r="Q27" s="603">
        <f>SUM(Q28:Q29)</f>
        <v>0</v>
      </c>
      <c r="R27" s="603">
        <f>SUM(R28:R29)</f>
        <v>0</v>
      </c>
      <c r="S27" s="603">
        <f>SUM(S28:S29)</f>
        <v>0</v>
      </c>
      <c r="T27" s="603">
        <f>SUM(T28:T29)</f>
        <v>0</v>
      </c>
      <c r="U27" s="603">
        <f>SUM(U28:U29)</f>
        <v>0</v>
      </c>
      <c r="V27" s="603">
        <f>SUM(V28:V29)</f>
        <v>0</v>
      </c>
      <c r="W27" s="603">
        <f>SUM(W28:W29)</f>
        <v>0</v>
      </c>
      <c r="X27" s="313" t="s">
        <v>841</v>
      </c>
      <c r="Y27" s="567"/>
      <c r="Z27" s="1660"/>
      <c r="AA27" s="1660"/>
      <c r="AF27" s="1660"/>
      <c r="AI27" s="568"/>
      <c r="AO27" s="1656"/>
      <c r="AP27" s="1656"/>
      <c r="AQ27" s="1656"/>
      <c r="AR27" s="1656"/>
      <c r="AS27" s="1656"/>
      <c r="AT27" s="1184">
        <v>34</v>
      </c>
    </row>
    <row s="1666" customFormat="1" customHeight="1" ht="1.05">
      <c r="A28" s="1191"/>
      <c r="D28" s="572"/>
      <c r="E28" s="826" t="str">
        <f>E27&amp;".0"</f>
        <v>2.9.0</v>
      </c>
      <c r="F28" s="1015"/>
      <c r="G28" s="575"/>
      <c r="H28" s="1016"/>
      <c r="I28" s="1016"/>
      <c r="J28" s="1016"/>
      <c r="K28" s="1016"/>
      <c r="L28" s="1016"/>
      <c r="M28" s="1016"/>
      <c r="N28" s="1016"/>
      <c r="O28" s="1016"/>
      <c r="P28" s="1016"/>
      <c r="Q28" s="1016"/>
      <c r="R28" s="1016"/>
      <c r="S28" s="1016"/>
      <c r="T28" s="1016"/>
      <c r="U28" s="1016"/>
      <c r="V28" s="1016"/>
      <c r="W28" s="1016"/>
      <c r="X28" s="1017"/>
      <c r="AT28" s="1660">
        <v>1</v>
      </c>
    </row>
    <row s="1390" customFormat="1" customHeight="1" ht="19.95">
      <c r="A29" s="1011"/>
      <c r="C29" s="1660"/>
      <c r="D29" s="1657"/>
      <c r="E29" s="594"/>
      <c r="F29" s="1690" t="s">
        <v>661</v>
      </c>
      <c r="G29" s="596"/>
      <c r="H29" s="597"/>
      <c r="I29" s="597"/>
      <c r="J29" s="2769"/>
      <c r="K29" s="2770"/>
      <c r="L29" s="2771"/>
      <c r="M29" s="2772"/>
      <c r="N29" s="2773"/>
      <c r="O29" s="2774"/>
      <c r="P29" s="2775"/>
      <c r="Q29" s="2776"/>
      <c r="R29" s="2777"/>
      <c r="S29" s="2778"/>
      <c r="T29" s="2779"/>
      <c r="U29" s="2780"/>
      <c r="V29" s="2781"/>
      <c r="W29" s="2782"/>
      <c r="X29" s="325" t="s">
        <v>842</v>
      </c>
      <c r="Y29" s="567"/>
      <c r="Z29" s="1660"/>
      <c r="AA29" s="1660"/>
      <c r="AF29" s="1660"/>
      <c r="AI29" s="568"/>
      <c r="AO29" s="1656"/>
      <c r="AP29" s="1656"/>
      <c r="AQ29" s="1656"/>
      <c r="AR29" s="1656"/>
      <c r="AS29" s="1656"/>
      <c r="AT29" s="1184">
        <v>19</v>
      </c>
    </row>
    <row s="1390" customFormat="1" customHeight="1" ht="24">
      <c r="A30" s="1011"/>
      <c r="C30" s="1660"/>
      <c r="D30" s="1662"/>
      <c r="E30" s="1688" t="s">
        <v>90</v>
      </c>
      <c r="F30" s="1685" t="s">
        <v>889</v>
      </c>
      <c r="G30" s="1678" t="s">
        <v>636</v>
      </c>
      <c r="H30" s="581"/>
      <c r="I30" s="581"/>
      <c r="J30" s="581"/>
      <c r="K30" s="581"/>
      <c r="L30" s="581"/>
      <c r="M30" s="581"/>
      <c r="N30" s="581"/>
      <c r="O30" s="581"/>
      <c r="P30" s="581"/>
      <c r="Q30" s="581"/>
      <c r="R30" s="581"/>
      <c r="S30" s="581"/>
      <c r="T30" s="581"/>
      <c r="U30" s="581"/>
      <c r="V30" s="581"/>
      <c r="W30" s="581"/>
      <c r="X30" s="313"/>
      <c r="Y30" s="567"/>
      <c r="Z30" s="1660"/>
      <c r="AA30" s="1660"/>
      <c r="AF30" s="1660"/>
      <c r="AI30" s="568"/>
      <c r="AO30" s="1656"/>
      <c r="AP30" s="1656"/>
      <c r="AQ30" s="1656"/>
      <c r="AR30" s="1656"/>
      <c r="AS30" s="1656"/>
      <c r="AT30" s="1184">
        <v>23</v>
      </c>
    </row>
    <row s="1390" customFormat="1" customHeight="1" ht="35.699999999999996">
      <c r="A31" s="1011"/>
      <c r="C31" s="1660"/>
      <c r="D31" s="599"/>
      <c r="E31" s="1688" t="s">
        <v>91</v>
      </c>
      <c r="F31" s="1685" t="s">
        <v>890</v>
      </c>
      <c r="G31" s="1678" t="s">
        <v>636</v>
      </c>
      <c r="H31" s="581"/>
      <c r="I31" s="581"/>
      <c r="J31" s="581"/>
      <c r="K31" s="581"/>
      <c r="L31" s="581"/>
      <c r="M31" s="581"/>
      <c r="N31" s="581"/>
      <c r="O31" s="581"/>
      <c r="P31" s="581"/>
      <c r="Q31" s="581"/>
      <c r="R31" s="581"/>
      <c r="S31" s="581"/>
      <c r="T31" s="581"/>
      <c r="U31" s="581"/>
      <c r="V31" s="581"/>
      <c r="W31" s="581"/>
      <c r="X31" s="313" t="s">
        <v>891</v>
      </c>
      <c r="Y31" s="567"/>
      <c r="Z31" s="1660"/>
      <c r="AA31" s="1660"/>
      <c r="AF31" s="1660"/>
      <c r="AI31" s="568"/>
      <c r="AO31" s="1656"/>
      <c r="AP31" s="1656"/>
      <c r="AQ31" s="1656"/>
      <c r="AR31" s="1656"/>
      <c r="AS31" s="1656"/>
      <c r="AT31" s="1184">
        <v>34</v>
      </c>
    </row>
    <row s="1390" customFormat="1" customHeight="1" ht="24">
      <c r="A32" s="1011"/>
      <c r="C32" s="1660"/>
      <c r="D32" s="1662"/>
      <c r="E32" s="1688" t="s">
        <v>851</v>
      </c>
      <c r="F32" s="714" t="s">
        <v>855</v>
      </c>
      <c r="G32" s="1678" t="s">
        <v>636</v>
      </c>
      <c r="H32" s="581"/>
      <c r="I32" s="581"/>
      <c r="J32" s="581"/>
      <c r="K32" s="581"/>
      <c r="L32" s="581"/>
      <c r="M32" s="581"/>
      <c r="N32" s="581"/>
      <c r="O32" s="581"/>
      <c r="P32" s="581"/>
      <c r="Q32" s="581"/>
      <c r="R32" s="581"/>
      <c r="S32" s="581"/>
      <c r="T32" s="581"/>
      <c r="U32" s="581"/>
      <c r="V32" s="581"/>
      <c r="W32" s="581"/>
      <c r="X32" s="313" t="s">
        <v>892</v>
      </c>
      <c r="Y32" s="567"/>
      <c r="Z32" s="1660"/>
      <c r="AA32" s="1660"/>
      <c r="AF32" s="1660"/>
      <c r="AI32" s="568"/>
      <c r="AO32" s="1656"/>
      <c r="AP32" s="1656"/>
      <c r="AQ32" s="1656"/>
      <c r="AR32" s="1656"/>
      <c r="AS32" s="1656"/>
      <c r="AT32" s="1184">
        <v>23</v>
      </c>
    </row>
    <row s="1390" customFormat="1" customHeight="1" ht="24">
      <c r="A33" s="1011"/>
      <c r="C33" s="1660"/>
      <c r="D33" s="1662"/>
      <c r="E33" s="1688" t="s">
        <v>893</v>
      </c>
      <c r="F33" s="714" t="s">
        <v>894</v>
      </c>
      <c r="G33" s="1678" t="s">
        <v>636</v>
      </c>
      <c r="H33" s="581"/>
      <c r="I33" s="581"/>
      <c r="J33" s="581"/>
      <c r="K33" s="581"/>
      <c r="L33" s="581"/>
      <c r="M33" s="581"/>
      <c r="N33" s="581"/>
      <c r="O33" s="581"/>
      <c r="P33" s="581"/>
      <c r="Q33" s="581"/>
      <c r="R33" s="581"/>
      <c r="S33" s="581"/>
      <c r="T33" s="581"/>
      <c r="U33" s="581"/>
      <c r="V33" s="581"/>
      <c r="W33" s="581"/>
      <c r="X33" s="313" t="s">
        <v>895</v>
      </c>
      <c r="Y33" s="567"/>
      <c r="Z33" s="1660"/>
      <c r="AA33" s="1660"/>
      <c r="AF33" s="1660"/>
      <c r="AI33" s="568"/>
      <c r="AO33" s="1656"/>
      <c r="AP33" s="1656"/>
      <c r="AQ33" s="1656"/>
      <c r="AR33" s="1656"/>
      <c r="AS33" s="1656"/>
      <c r="AT33" s="1184">
        <v>23</v>
      </c>
    </row>
    <row s="1390" customFormat="1" customHeight="1" ht="24">
      <c r="A34" s="1011"/>
      <c r="C34" s="1660"/>
      <c r="D34" s="1662"/>
      <c r="E34" s="1688" t="s">
        <v>896</v>
      </c>
      <c r="F34" s="714" t="s">
        <v>861</v>
      </c>
      <c r="G34" s="1678" t="s">
        <v>636</v>
      </c>
      <c r="H34" s="581"/>
      <c r="I34" s="581"/>
      <c r="J34" s="581"/>
      <c r="K34" s="581"/>
      <c r="L34" s="581"/>
      <c r="M34" s="581"/>
      <c r="N34" s="581"/>
      <c r="O34" s="581"/>
      <c r="P34" s="581"/>
      <c r="Q34" s="581"/>
      <c r="R34" s="581"/>
      <c r="S34" s="581"/>
      <c r="T34" s="581"/>
      <c r="U34" s="581"/>
      <c r="V34" s="581"/>
      <c r="W34" s="581"/>
      <c r="X34" s="313" t="s">
        <v>897</v>
      </c>
      <c r="Y34" s="567"/>
      <c r="Z34" s="1660"/>
      <c r="AA34" s="1660"/>
      <c r="AF34" s="1660"/>
      <c r="AI34" s="568"/>
      <c r="AO34" s="1656"/>
      <c r="AP34" s="1656"/>
      <c r="AQ34" s="1656"/>
      <c r="AR34" s="1656"/>
      <c r="AS34" s="1656"/>
      <c r="AT34" s="1184">
        <v>23</v>
      </c>
    </row>
    <row s="1390" customFormat="1" customHeight="1" ht="35.699999999999996">
      <c r="A35" s="1011"/>
      <c r="C35" s="1660" t="s">
        <v>672</v>
      </c>
      <c r="D35" s="1662"/>
      <c r="E35" s="1688" t="s">
        <v>119</v>
      </c>
      <c r="F35" s="1685" t="s">
        <v>727</v>
      </c>
      <c r="G35" s="1681" t="s">
        <v>390</v>
      </c>
      <c r="H35" s="425"/>
      <c r="I35" s="425"/>
      <c r="J35" s="842"/>
      <c r="K35" s="842"/>
      <c r="L35" s="842"/>
      <c r="M35" s="842"/>
      <c r="N35" s="842"/>
      <c r="O35" s="842"/>
      <c r="P35" s="842"/>
      <c r="Q35" s="842"/>
      <c r="R35" s="842"/>
      <c r="S35" s="842"/>
      <c r="T35" s="842"/>
      <c r="U35" s="842"/>
      <c r="V35" s="842"/>
      <c r="W35" s="842"/>
      <c r="X35" s="313" t="s">
        <v>898</v>
      </c>
      <c r="Y35" s="567"/>
      <c r="Z35" s="1660"/>
      <c r="AA35" s="1660"/>
      <c r="AF35" s="1660"/>
      <c r="AI35" s="568"/>
      <c r="AO35" s="1656"/>
      <c r="AP35" s="1656"/>
      <c r="AQ35" s="1656"/>
      <c r="AR35" s="1656"/>
      <c r="AS35" s="1656"/>
      <c r="AT35" s="1184">
        <v>34</v>
      </c>
    </row>
    <row s="1390" customFormat="1" customHeight="1" ht="35.699999999999996">
      <c r="A36" s="1011"/>
      <c r="C36" s="1660"/>
      <c r="D36" s="1662"/>
      <c r="E36" s="1688" t="s">
        <v>92</v>
      </c>
      <c r="F36" s="1685" t="s">
        <v>899</v>
      </c>
      <c r="G36" s="1678" t="s">
        <v>866</v>
      </c>
      <c r="H36" s="569"/>
      <c r="I36" s="569"/>
      <c r="J36" s="569"/>
      <c r="K36" s="569"/>
      <c r="L36" s="569"/>
      <c r="M36" s="569"/>
      <c r="N36" s="569"/>
      <c r="O36" s="569"/>
      <c r="P36" s="569"/>
      <c r="Q36" s="569"/>
      <c r="R36" s="569"/>
      <c r="S36" s="569"/>
      <c r="T36" s="569"/>
      <c r="U36" s="569"/>
      <c r="V36" s="569"/>
      <c r="W36" s="569"/>
      <c r="X36" s="313" t="s">
        <v>867</v>
      </c>
      <c r="Y36" s="567"/>
      <c r="Z36" s="1660"/>
      <c r="AA36" s="1660"/>
      <c r="AF36" s="1660"/>
      <c r="AI36" s="568"/>
      <c r="AO36" s="1656"/>
      <c r="AP36" s="1656"/>
      <c r="AQ36" s="1656"/>
      <c r="AR36" s="1656"/>
      <c r="AS36" s="1656"/>
      <c r="AT36" s="1184">
        <v>34</v>
      </c>
    </row>
    <row s="1390" customFormat="1" customHeight="1" ht="24">
      <c r="A37" s="1011"/>
      <c r="C37" s="1660"/>
      <c r="D37" s="1662"/>
      <c r="E37" s="1688" t="s">
        <v>93</v>
      </c>
      <c r="F37" s="1685" t="s">
        <v>900</v>
      </c>
      <c r="G37" s="1678" t="s">
        <v>869</v>
      </c>
      <c r="H37" s="569"/>
      <c r="I37" s="569"/>
      <c r="J37" s="569"/>
      <c r="K37" s="569"/>
      <c r="L37" s="569"/>
      <c r="M37" s="569"/>
      <c r="N37" s="569"/>
      <c r="O37" s="569"/>
      <c r="P37" s="569"/>
      <c r="Q37" s="569"/>
      <c r="R37" s="569"/>
      <c r="S37" s="569"/>
      <c r="T37" s="569"/>
      <c r="U37" s="569"/>
      <c r="V37" s="569"/>
      <c r="W37" s="569"/>
      <c r="X37" s="313" t="s">
        <v>870</v>
      </c>
      <c r="Y37" s="567"/>
      <c r="Z37" s="1660"/>
      <c r="AA37" s="1660"/>
      <c r="AF37" s="1660"/>
      <c r="AI37" s="568"/>
      <c r="AO37" s="1656"/>
      <c r="AP37" s="1656"/>
      <c r="AQ37" s="1656"/>
      <c r="AR37" s="1656"/>
      <c r="AS37" s="1656"/>
      <c r="AT37" s="1184">
        <v>23</v>
      </c>
    </row>
    <row customHeight="1" ht="11.549999999999999">
      <c r="D38" s="1662"/>
      <c r="J38" s="1659"/>
      <c r="K38" s="1659"/>
      <c r="L38" s="1659"/>
      <c r="M38" s="1659"/>
      <c r="N38" s="1659"/>
      <c r="O38" s="1659"/>
      <c r="P38" s="1659"/>
      <c r="Q38" s="1659"/>
      <c r="R38" s="1659"/>
      <c r="S38" s="1659"/>
      <c r="T38" s="1659"/>
      <c r="U38" s="1659"/>
      <c r="V38" s="1659"/>
      <c r="W38" s="1659"/>
      <c r="AT38" s="1655">
        <v>11</v>
      </c>
    </row>
    <row customHeight="1" ht="27.299999999999997">
      <c r="D39" s="1662"/>
      <c r="E39" s="1277" t="s">
        <v>901</v>
      </c>
      <c r="F39" s="2309" t="s">
        <v>902</v>
      </c>
      <c r="G39" s="2309"/>
      <c r="H39" s="393"/>
      <c r="I39" s="393"/>
      <c r="J39" s="1711"/>
      <c r="K39" s="1711"/>
      <c r="L39" s="1711"/>
      <c r="M39" s="1711"/>
      <c r="N39" s="1711"/>
      <c r="O39" s="1711"/>
      <c r="P39" s="1711"/>
      <c r="Q39" s="1711"/>
      <c r="R39" s="1711"/>
      <c r="S39" s="1711"/>
      <c r="T39" s="1711"/>
      <c r="U39" s="1711"/>
      <c r="V39" s="1711"/>
      <c r="W39" s="1711"/>
      <c r="X39" s="393"/>
      <c r="AT39" s="1655">
        <v>26</v>
      </c>
    </row>
    <row s="1665" customFormat="1" customHeight="1" ht="39.75">
      <c r="A40" s="1011"/>
      <c r="B40" s="1660"/>
      <c r="C40" s="1660"/>
      <c r="D40" s="375"/>
      <c r="F40" s="2309" t="s">
        <v>903</v>
      </c>
      <c r="G40" s="2309"/>
      <c r="H40" s="393"/>
      <c r="I40" s="393"/>
      <c r="J40" s="1711"/>
      <c r="K40" s="1711"/>
      <c r="L40" s="1711"/>
      <c r="M40" s="1711"/>
      <c r="N40" s="1711"/>
      <c r="O40" s="1711"/>
      <c r="P40" s="1711"/>
      <c r="Q40" s="1711"/>
      <c r="R40" s="1711"/>
      <c r="S40" s="1711"/>
      <c r="T40" s="1711"/>
      <c r="U40" s="1711"/>
      <c r="V40" s="1711"/>
      <c r="W40" s="1711"/>
      <c r="X40" s="393"/>
      <c r="Y40" s="1184"/>
      <c r="Z40" s="1660"/>
      <c r="AA40" s="1660"/>
      <c r="AB40" s="1184"/>
      <c r="AC40" s="1184"/>
      <c r="AD40" s="1184"/>
      <c r="AE40" s="1184"/>
      <c r="AF40" s="1660"/>
      <c r="AG40" s="1184"/>
      <c r="AH40" s="1184"/>
      <c r="AI40" s="568"/>
      <c r="AJ40" s="1184"/>
      <c r="AK40" s="1184"/>
      <c r="AL40" s="1184"/>
      <c r="AM40" s="1184"/>
      <c r="AN40" s="1184"/>
      <c r="AO40" s="1656"/>
      <c r="AP40" s="590"/>
      <c r="AQ40" s="590"/>
      <c r="AR40" s="590"/>
      <c r="AS40" s="590"/>
      <c r="AT40" s="1665">
        <v>38</v>
      </c>
    </row>
    <row s="1665" customFormat="1" customHeight="1" ht="11.549999999999999">
      <c r="A41" s="1011"/>
      <c r="B41" s="1660"/>
      <c r="C41" s="1660"/>
      <c r="D41" s="375"/>
      <c r="J41" s="1665"/>
      <c r="K41" s="1665"/>
      <c r="L41" s="1665"/>
      <c r="M41" s="1665"/>
      <c r="N41" s="1665"/>
      <c r="O41" s="1665"/>
      <c r="P41" s="1665"/>
      <c r="Q41" s="1665"/>
      <c r="R41" s="1665"/>
      <c r="S41" s="1665"/>
      <c r="T41" s="1665"/>
      <c r="U41" s="1665"/>
      <c r="V41" s="1665"/>
      <c r="W41" s="1665"/>
      <c r="Y41" s="1184"/>
      <c r="Z41" s="1660"/>
      <c r="AA41" s="1660"/>
      <c r="AB41" s="1184"/>
      <c r="AC41" s="1184"/>
      <c r="AD41" s="1184"/>
      <c r="AE41" s="1184"/>
      <c r="AF41" s="1660"/>
      <c r="AG41" s="1184"/>
      <c r="AH41" s="1184"/>
      <c r="AI41" s="568"/>
      <c r="AJ41" s="1184"/>
      <c r="AK41" s="1184"/>
      <c r="AL41" s="1184"/>
      <c r="AM41" s="1184"/>
      <c r="AN41" s="1184"/>
      <c r="AO41" s="1656"/>
      <c r="AP41" s="590"/>
      <c r="AQ41" s="590"/>
      <c r="AR41" s="590"/>
      <c r="AS41" s="590"/>
      <c r="AT41" s="1665">
        <v>11</v>
      </c>
    </row>
    <row s="1665" customFormat="1" customHeight="1" ht="11.549999999999999">
      <c r="A42" s="1011"/>
      <c r="B42" s="1660"/>
      <c r="C42" s="1660"/>
      <c r="D42" s="375"/>
      <c r="J42" s="1665"/>
      <c r="K42" s="1665"/>
      <c r="L42" s="1665"/>
      <c r="M42" s="1665"/>
      <c r="N42" s="1665"/>
      <c r="O42" s="1665"/>
      <c r="P42" s="1665"/>
      <c r="Q42" s="1665"/>
      <c r="R42" s="1665"/>
      <c r="S42" s="1665"/>
      <c r="T42" s="1665"/>
      <c r="U42" s="1665"/>
      <c r="V42" s="1665"/>
      <c r="W42" s="1665"/>
      <c r="Y42" s="1184"/>
      <c r="Z42" s="1660"/>
      <c r="AA42" s="1660"/>
      <c r="AB42" s="1184"/>
      <c r="AC42" s="1184"/>
      <c r="AD42" s="1184"/>
      <c r="AE42" s="1184"/>
      <c r="AF42" s="1660"/>
      <c r="AG42" s="1184"/>
      <c r="AH42" s="1184"/>
      <c r="AI42" s="568"/>
      <c r="AJ42" s="1184"/>
      <c r="AK42" s="1184"/>
      <c r="AL42" s="1184"/>
      <c r="AM42" s="1184"/>
      <c r="AN42" s="1184"/>
      <c r="AO42" s="1656"/>
      <c r="AP42" s="590"/>
      <c r="AQ42" s="590"/>
      <c r="AR42" s="590"/>
      <c r="AS42" s="590"/>
      <c r="AT42" s="1665">
        <v>11</v>
      </c>
    </row>
    <row s="1665" customFormat="1" customHeight="1" ht="11.549999999999999">
      <c r="A43" s="1011"/>
      <c r="B43" s="1660"/>
      <c r="C43" s="1660"/>
      <c r="D43" s="375"/>
      <c r="H43" s="590"/>
      <c r="I43" s="590"/>
      <c r="J43" s="646"/>
      <c r="K43" s="646"/>
      <c r="L43" s="646"/>
      <c r="M43" s="646"/>
      <c r="N43" s="646"/>
      <c r="O43" s="646"/>
      <c r="P43" s="646"/>
      <c r="Q43" s="646"/>
      <c r="R43" s="646"/>
      <c r="S43" s="646"/>
      <c r="T43" s="646"/>
      <c r="U43" s="646"/>
      <c r="V43" s="646"/>
      <c r="W43" s="646"/>
      <c r="Y43" s="1184"/>
      <c r="Z43" s="1660"/>
      <c r="AA43" s="1660"/>
      <c r="AB43" s="1184"/>
      <c r="AC43" s="1184"/>
      <c r="AD43" s="1184"/>
      <c r="AE43" s="1184"/>
      <c r="AF43" s="1660"/>
      <c r="AG43" s="1184"/>
      <c r="AH43" s="1184"/>
      <c r="AI43" s="568"/>
      <c r="AJ43" s="1184"/>
      <c r="AK43" s="1184"/>
      <c r="AL43" s="1184"/>
      <c r="AM43" s="1184"/>
      <c r="AN43" s="1184"/>
      <c r="AO43" s="1656"/>
      <c r="AP43" s="590"/>
      <c r="AQ43" s="590"/>
      <c r="AR43" s="590"/>
      <c r="AS43" s="590"/>
      <c r="AT43" s="1665">
        <v>11</v>
      </c>
    </row>
    <row s="1665" customFormat="1" customHeight="1" ht="11.549999999999999">
      <c r="A44" s="1011"/>
      <c r="B44" s="1660"/>
      <c r="C44" s="1660"/>
      <c r="D44" s="375"/>
      <c r="J44" s="1665"/>
      <c r="K44" s="1665"/>
      <c r="L44" s="1665"/>
      <c r="M44" s="1665"/>
      <c r="N44" s="1665"/>
      <c r="O44" s="1665"/>
      <c r="P44" s="1665"/>
      <c r="Q44" s="1665"/>
      <c r="R44" s="1665"/>
      <c r="S44" s="1665"/>
      <c r="T44" s="1665"/>
      <c r="U44" s="1665"/>
      <c r="V44" s="1665"/>
      <c r="W44" s="1665"/>
      <c r="Y44" s="1184"/>
      <c r="Z44" s="1660"/>
      <c r="AA44" s="1660"/>
      <c r="AB44" s="1184"/>
      <c r="AC44" s="1184"/>
      <c r="AD44" s="1184"/>
      <c r="AE44" s="1184"/>
      <c r="AF44" s="1660"/>
      <c r="AG44" s="1184"/>
      <c r="AH44" s="1184"/>
      <c r="AI44" s="568"/>
      <c r="AJ44" s="1184"/>
      <c r="AK44" s="1184"/>
      <c r="AL44" s="1184"/>
      <c r="AM44" s="1184"/>
      <c r="AN44" s="1184"/>
      <c r="AO44" s="1656"/>
      <c r="AP44" s="590"/>
      <c r="AQ44" s="590"/>
      <c r="AR44" s="590"/>
      <c r="AS44" s="590"/>
      <c r="AT44" s="1665">
        <v>11</v>
      </c>
    </row>
    <row s="1665" customFormat="1" customHeight="1" ht="11.549999999999999">
      <c r="A45" s="1011"/>
      <c r="B45" s="1660"/>
      <c r="C45" s="1660"/>
      <c r="D45" s="375"/>
      <c r="J45" s="1665"/>
      <c r="K45" s="1665"/>
      <c r="L45" s="1665"/>
      <c r="M45" s="1665"/>
      <c r="N45" s="1665"/>
      <c r="O45" s="1665"/>
      <c r="P45" s="1665"/>
      <c r="Q45" s="1665"/>
      <c r="R45" s="1665"/>
      <c r="S45" s="1665"/>
      <c r="T45" s="1665"/>
      <c r="U45" s="1665"/>
      <c r="V45" s="1665"/>
      <c r="W45" s="1665"/>
      <c r="Y45" s="1184"/>
      <c r="Z45" s="1660"/>
      <c r="AA45" s="1660"/>
      <c r="AB45" s="1184"/>
      <c r="AC45" s="1184"/>
      <c r="AD45" s="1184"/>
      <c r="AE45" s="1184"/>
      <c r="AF45" s="1660"/>
      <c r="AG45" s="1184"/>
      <c r="AH45" s="1184"/>
      <c r="AI45" s="568"/>
      <c r="AJ45" s="1184"/>
      <c r="AK45" s="1184"/>
      <c r="AL45" s="1184"/>
      <c r="AM45" s="1184"/>
      <c r="AN45" s="1184"/>
      <c r="AO45" s="1656"/>
      <c r="AP45" s="590"/>
      <c r="AQ45" s="590"/>
      <c r="AR45" s="590"/>
      <c r="AS45" s="590"/>
      <c r="AT45" s="1665">
        <v>11</v>
      </c>
    </row>
    <row s="1665" customFormat="1" customHeight="1" ht="11.549999999999999">
      <c r="A46" s="1011"/>
      <c r="B46" s="1660"/>
      <c r="C46" s="1660"/>
      <c r="D46" s="375"/>
      <c r="J46" s="1665"/>
      <c r="K46" s="1665"/>
      <c r="L46" s="1665"/>
      <c r="M46" s="1665"/>
      <c r="N46" s="1665"/>
      <c r="O46" s="1665"/>
      <c r="P46" s="1665"/>
      <c r="Q46" s="1665"/>
      <c r="R46" s="1665"/>
      <c r="S46" s="1665"/>
      <c r="T46" s="1665"/>
      <c r="U46" s="1665"/>
      <c r="V46" s="1665"/>
      <c r="W46" s="1665"/>
      <c r="Y46" s="1184"/>
      <c r="Z46" s="1660"/>
      <c r="AA46" s="1660"/>
      <c r="AB46" s="1184"/>
      <c r="AC46" s="1184"/>
      <c r="AD46" s="1184"/>
      <c r="AE46" s="1184"/>
      <c r="AF46" s="1660"/>
      <c r="AG46" s="1184"/>
      <c r="AH46" s="1184"/>
      <c r="AI46" s="568"/>
      <c r="AJ46" s="1184"/>
      <c r="AK46" s="1184"/>
      <c r="AL46" s="1184"/>
      <c r="AM46" s="1184"/>
      <c r="AN46" s="1184"/>
      <c r="AO46" s="1656"/>
      <c r="AP46" s="590"/>
      <c r="AQ46" s="590"/>
      <c r="AR46" s="590"/>
      <c r="AS46" s="590"/>
      <c r="AT46" s="1665">
        <v>11</v>
      </c>
    </row>
    <row s="1665" customFormat="1" customHeight="1" ht="11.549999999999999">
      <c r="A47" s="1011"/>
      <c r="B47" s="1660"/>
      <c r="C47" s="1660"/>
      <c r="D47" s="375"/>
      <c r="J47" s="1665"/>
      <c r="K47" s="1665"/>
      <c r="L47" s="1665"/>
      <c r="M47" s="1665"/>
      <c r="N47" s="1665"/>
      <c r="O47" s="1665"/>
      <c r="P47" s="1665"/>
      <c r="Q47" s="1665"/>
      <c r="R47" s="1665"/>
      <c r="S47" s="1665"/>
      <c r="T47" s="1665"/>
      <c r="U47" s="1665"/>
      <c r="V47" s="1665"/>
      <c r="W47" s="1665"/>
      <c r="Y47" s="1184"/>
      <c r="Z47" s="1660"/>
      <c r="AA47" s="1660"/>
      <c r="AB47" s="1184"/>
      <c r="AC47" s="1184"/>
      <c r="AD47" s="1184"/>
      <c r="AE47" s="1184"/>
      <c r="AF47" s="1660"/>
      <c r="AG47" s="1184"/>
      <c r="AH47" s="1184"/>
      <c r="AI47" s="568"/>
      <c r="AJ47" s="1184"/>
      <c r="AK47" s="1184"/>
      <c r="AL47" s="1184"/>
      <c r="AM47" s="1184"/>
      <c r="AN47" s="1184"/>
      <c r="AO47" s="1656"/>
      <c r="AP47" s="590"/>
      <c r="AQ47" s="590"/>
      <c r="AR47" s="590"/>
      <c r="AS47" s="590"/>
      <c r="AT47" s="1665">
        <v>11</v>
      </c>
    </row>
    <row s="1665" customFormat="1" customHeight="1" ht="11.549999999999999">
      <c r="A48" s="1011"/>
      <c r="B48" s="1660"/>
      <c r="C48" s="1660"/>
      <c r="D48" s="375"/>
      <c r="J48" s="1665"/>
      <c r="K48" s="1665"/>
      <c r="L48" s="1665"/>
      <c r="M48" s="1665"/>
      <c r="N48" s="1665"/>
      <c r="O48" s="1665"/>
      <c r="P48" s="1665"/>
      <c r="Q48" s="1665"/>
      <c r="R48" s="1665"/>
      <c r="S48" s="1665"/>
      <c r="T48" s="1665"/>
      <c r="U48" s="1665"/>
      <c r="V48" s="1665"/>
      <c r="W48" s="1665"/>
      <c r="Y48" s="1184"/>
      <c r="Z48" s="1660"/>
      <c r="AA48" s="1660"/>
      <c r="AB48" s="1184"/>
      <c r="AC48" s="1184"/>
      <c r="AD48" s="1184"/>
      <c r="AE48" s="1184"/>
      <c r="AF48" s="1660"/>
      <c r="AG48" s="1184"/>
      <c r="AH48" s="1184"/>
      <c r="AI48" s="568"/>
      <c r="AJ48" s="1184"/>
      <c r="AK48" s="1184"/>
      <c r="AL48" s="1184"/>
      <c r="AM48" s="1184"/>
      <c r="AN48" s="1184"/>
      <c r="AO48" s="1656"/>
      <c r="AP48" s="590"/>
      <c r="AQ48" s="590"/>
      <c r="AR48" s="590"/>
      <c r="AS48" s="590"/>
      <c r="AT48" s="1665">
        <v>11</v>
      </c>
    </row>
    <row s="1665" customFormat="1" customHeight="1" ht="11.549999999999999">
      <c r="A49" s="1011"/>
      <c r="B49" s="1660"/>
      <c r="C49" s="1660"/>
      <c r="D49" s="375"/>
      <c r="J49" s="1665"/>
      <c r="K49" s="1665"/>
      <c r="L49" s="1665"/>
      <c r="M49" s="1665"/>
      <c r="N49" s="1665"/>
      <c r="O49" s="1665"/>
      <c r="P49" s="1665"/>
      <c r="Q49" s="1665"/>
      <c r="R49" s="1665"/>
      <c r="S49" s="1665"/>
      <c r="T49" s="1665"/>
      <c r="U49" s="1665"/>
      <c r="V49" s="1665"/>
      <c r="W49" s="1665"/>
      <c r="Y49" s="1184"/>
      <c r="Z49" s="1660"/>
      <c r="AA49" s="1660"/>
      <c r="AB49" s="1184"/>
      <c r="AC49" s="1184"/>
      <c r="AD49" s="1184"/>
      <c r="AE49" s="1184"/>
      <c r="AF49" s="1660"/>
      <c r="AG49" s="1184"/>
      <c r="AH49" s="1184"/>
      <c r="AI49" s="568"/>
      <c r="AJ49" s="1184"/>
      <c r="AK49" s="1184"/>
      <c r="AL49" s="1184"/>
      <c r="AM49" s="1184"/>
      <c r="AN49" s="1184"/>
      <c r="AO49" s="1656"/>
      <c r="AP49" s="590"/>
      <c r="AQ49" s="590"/>
      <c r="AR49" s="590"/>
      <c r="AS49" s="590"/>
      <c r="AT49" s="1665">
        <v>11</v>
      </c>
    </row>
    <row s="1665" customFormat="1" customHeight="1" ht="11.549999999999999">
      <c r="A50" s="1011"/>
      <c r="B50" s="1660"/>
      <c r="C50" s="1660"/>
      <c r="D50" s="375"/>
      <c r="J50" s="1665"/>
      <c r="K50" s="1665"/>
      <c r="L50" s="1665"/>
      <c r="M50" s="1665"/>
      <c r="N50" s="1665"/>
      <c r="O50" s="1665"/>
      <c r="P50" s="1665"/>
      <c r="Q50" s="1665"/>
      <c r="R50" s="1665"/>
      <c r="S50" s="1665"/>
      <c r="T50" s="1665"/>
      <c r="U50" s="1665"/>
      <c r="V50" s="1665"/>
      <c r="W50" s="1665"/>
      <c r="Y50" s="1184"/>
      <c r="Z50" s="1660"/>
      <c r="AA50" s="1660"/>
      <c r="AB50" s="1184"/>
      <c r="AC50" s="1184"/>
      <c r="AD50" s="1184"/>
      <c r="AE50" s="1184"/>
      <c r="AF50" s="1660"/>
      <c r="AG50" s="1184"/>
      <c r="AH50" s="1184"/>
      <c r="AI50" s="568"/>
      <c r="AJ50" s="1184"/>
      <c r="AK50" s="1184"/>
      <c r="AL50" s="1184"/>
      <c r="AM50" s="1184"/>
      <c r="AN50" s="1184"/>
      <c r="AO50" s="1656"/>
      <c r="AP50" s="590"/>
      <c r="AQ50" s="590"/>
      <c r="AR50" s="590"/>
      <c r="AS50" s="590"/>
      <c r="AT50" s="1665">
        <v>11</v>
      </c>
    </row>
    <row s="1665" customFormat="1" customHeight="1" ht="11.549999999999999">
      <c r="A51" s="1011"/>
      <c r="B51" s="1660"/>
      <c r="C51" s="1660"/>
      <c r="D51" s="375"/>
      <c r="J51" s="1665"/>
      <c r="K51" s="1665"/>
      <c r="L51" s="1665"/>
      <c r="M51" s="1665"/>
      <c r="N51" s="1665"/>
      <c r="O51" s="1665"/>
      <c r="P51" s="1665"/>
      <c r="Q51" s="1665"/>
      <c r="R51" s="1665"/>
      <c r="S51" s="1665"/>
      <c r="T51" s="1665"/>
      <c r="U51" s="1665"/>
      <c r="V51" s="1665"/>
      <c r="W51" s="1665"/>
      <c r="Y51" s="1184"/>
      <c r="Z51" s="1660"/>
      <c r="AA51" s="1660"/>
      <c r="AB51" s="1184"/>
      <c r="AC51" s="1184"/>
      <c r="AD51" s="1184"/>
      <c r="AE51" s="1184"/>
      <c r="AF51" s="1660"/>
      <c r="AG51" s="1184"/>
      <c r="AH51" s="1184"/>
      <c r="AI51" s="568"/>
      <c r="AJ51" s="1184"/>
      <c r="AK51" s="1184"/>
      <c r="AL51" s="1184"/>
      <c r="AM51" s="1184"/>
      <c r="AN51" s="1184"/>
      <c r="AO51" s="1656"/>
      <c r="AP51" s="590"/>
      <c r="AQ51" s="590"/>
      <c r="AR51" s="590"/>
      <c r="AS51" s="590"/>
      <c r="AT51" s="1665">
        <v>11</v>
      </c>
    </row>
    <row s="1665" customFormat="1" customHeight="1" ht="11.549999999999999">
      <c r="A52" s="1011"/>
      <c r="B52" s="1660"/>
      <c r="C52" s="1660"/>
      <c r="D52" s="375"/>
      <c r="J52" s="1665"/>
      <c r="K52" s="1665"/>
      <c r="L52" s="1665"/>
      <c r="M52" s="1665"/>
      <c r="N52" s="1665"/>
      <c r="O52" s="1665"/>
      <c r="P52" s="1665"/>
      <c r="Q52" s="1665"/>
      <c r="R52" s="1665"/>
      <c r="S52" s="1665"/>
      <c r="T52" s="1665"/>
      <c r="U52" s="1665"/>
      <c r="V52" s="1665"/>
      <c r="W52" s="1665"/>
      <c r="Y52" s="1184"/>
      <c r="Z52" s="1660"/>
      <c r="AA52" s="1660"/>
      <c r="AB52" s="1184"/>
      <c r="AC52" s="1184"/>
      <c r="AD52" s="1184"/>
      <c r="AE52" s="1184"/>
      <c r="AF52" s="1660"/>
      <c r="AG52" s="1184"/>
      <c r="AH52" s="1184"/>
      <c r="AI52" s="568"/>
      <c r="AJ52" s="1184"/>
      <c r="AK52" s="1184"/>
      <c r="AL52" s="1184"/>
      <c r="AM52" s="1184"/>
      <c r="AN52" s="1184"/>
      <c r="AO52" s="1656"/>
      <c r="AP52" s="590"/>
      <c r="AQ52" s="590"/>
      <c r="AR52" s="590"/>
      <c r="AS52" s="590"/>
      <c r="AT52" s="1665">
        <v>11</v>
      </c>
    </row>
    <row s="1665" customFormat="1" customHeight="1" ht="11.549999999999999">
      <c r="A53" s="1011"/>
      <c r="B53" s="1660"/>
      <c r="C53" s="1660"/>
      <c r="D53" s="375"/>
      <c r="J53" s="1665"/>
      <c r="K53" s="1665"/>
      <c r="L53" s="1665"/>
      <c r="M53" s="1665"/>
      <c r="N53" s="1665"/>
      <c r="O53" s="1665"/>
      <c r="P53" s="1665"/>
      <c r="Q53" s="1665"/>
      <c r="R53" s="1665"/>
      <c r="S53" s="1665"/>
      <c r="T53" s="1665"/>
      <c r="U53" s="1665"/>
      <c r="V53" s="1665"/>
      <c r="W53" s="1665"/>
      <c r="Y53" s="1184"/>
      <c r="Z53" s="1660"/>
      <c r="AA53" s="1660"/>
      <c r="AB53" s="1184"/>
      <c r="AC53" s="1184"/>
      <c r="AD53" s="1184"/>
      <c r="AE53" s="1184"/>
      <c r="AF53" s="1660"/>
      <c r="AG53" s="1184"/>
      <c r="AH53" s="1184"/>
      <c r="AI53" s="568"/>
      <c r="AJ53" s="1184"/>
      <c r="AK53" s="1184"/>
      <c r="AL53" s="1184"/>
      <c r="AM53" s="1184"/>
      <c r="AN53" s="1184"/>
      <c r="AO53" s="1656"/>
      <c r="AP53" s="590"/>
      <c r="AQ53" s="590"/>
      <c r="AR53" s="590"/>
      <c r="AS53" s="590"/>
      <c r="AT53" s="1665">
        <v>11</v>
      </c>
    </row>
    <row s="1665" customFormat="1" customHeight="1" ht="11.549999999999999">
      <c r="A54" s="1011"/>
      <c r="B54" s="1660"/>
      <c r="C54" s="1660"/>
      <c r="D54" s="375"/>
      <c r="J54" s="1665"/>
      <c r="K54" s="1665"/>
      <c r="L54" s="1665"/>
      <c r="M54" s="1665"/>
      <c r="N54" s="1665"/>
      <c r="O54" s="1665"/>
      <c r="P54" s="1665"/>
      <c r="Q54" s="1665"/>
      <c r="R54" s="1665"/>
      <c r="S54" s="1665"/>
      <c r="T54" s="1665"/>
      <c r="U54" s="1665"/>
      <c r="V54" s="1665"/>
      <c r="W54" s="1665"/>
      <c r="Y54" s="1184"/>
      <c r="Z54" s="1660"/>
      <c r="AA54" s="1660"/>
      <c r="AB54" s="1184"/>
      <c r="AC54" s="1184"/>
      <c r="AD54" s="1184"/>
      <c r="AE54" s="1184"/>
      <c r="AF54" s="1660"/>
      <c r="AG54" s="1184"/>
      <c r="AH54" s="1184"/>
      <c r="AI54" s="568"/>
      <c r="AJ54" s="1184"/>
      <c r="AK54" s="1184"/>
      <c r="AL54" s="1184"/>
      <c r="AM54" s="1184"/>
      <c r="AN54" s="1184"/>
      <c r="AO54" s="1656"/>
      <c r="AP54" s="590"/>
      <c r="AQ54" s="590"/>
      <c r="AR54" s="590"/>
      <c r="AS54" s="590"/>
      <c r="AT54" s="1665">
        <v>11</v>
      </c>
    </row>
    <row s="1665" customFormat="1" customHeight="1" ht="11.549999999999999">
      <c r="A55" s="1011"/>
      <c r="B55" s="1660"/>
      <c r="C55" s="1660"/>
      <c r="D55" s="375"/>
      <c r="J55" s="1665"/>
      <c r="K55" s="1665"/>
      <c r="L55" s="1665"/>
      <c r="M55" s="1665"/>
      <c r="N55" s="1665"/>
      <c r="O55" s="1665"/>
      <c r="P55" s="1665"/>
      <c r="Q55" s="1665"/>
      <c r="R55" s="1665"/>
      <c r="S55" s="1665"/>
      <c r="T55" s="1665"/>
      <c r="U55" s="1665"/>
      <c r="V55" s="1665"/>
      <c r="W55" s="1665"/>
      <c r="Y55" s="1184"/>
      <c r="Z55" s="1660"/>
      <c r="AA55" s="1660"/>
      <c r="AB55" s="1184"/>
      <c r="AC55" s="1184"/>
      <c r="AD55" s="1184"/>
      <c r="AE55" s="1184"/>
      <c r="AF55" s="1660"/>
      <c r="AG55" s="1184"/>
      <c r="AH55" s="1184"/>
      <c r="AI55" s="568"/>
      <c r="AJ55" s="1184"/>
      <c r="AK55" s="1184"/>
      <c r="AL55" s="1184"/>
      <c r="AM55" s="1184"/>
      <c r="AN55" s="1184"/>
      <c r="AO55" s="1656"/>
      <c r="AP55" s="590"/>
      <c r="AQ55" s="590"/>
      <c r="AR55" s="590"/>
      <c r="AS55" s="590"/>
      <c r="AT55" s="1665">
        <v>11</v>
      </c>
    </row>
    <row s="1665" customFormat="1" customHeight="1" ht="11.549999999999999">
      <c r="A56" s="1011"/>
      <c r="B56" s="1660"/>
      <c r="C56" s="1660"/>
      <c r="D56" s="375"/>
      <c r="J56" s="1665"/>
      <c r="K56" s="1665"/>
      <c r="L56" s="1665"/>
      <c r="M56" s="1665"/>
      <c r="N56" s="1665"/>
      <c r="O56" s="1665"/>
      <c r="P56" s="1665"/>
      <c r="Q56" s="1665"/>
      <c r="R56" s="1665"/>
      <c r="S56" s="1665"/>
      <c r="T56" s="1665"/>
      <c r="U56" s="1665"/>
      <c r="V56" s="1665"/>
      <c r="W56" s="1665"/>
      <c r="Y56" s="1184"/>
      <c r="Z56" s="1660"/>
      <c r="AA56" s="1660"/>
      <c r="AB56" s="1184"/>
      <c r="AC56" s="1184"/>
      <c r="AD56" s="1184"/>
      <c r="AE56" s="1184"/>
      <c r="AF56" s="1660"/>
      <c r="AG56" s="1184"/>
      <c r="AH56" s="1184"/>
      <c r="AI56" s="568"/>
      <c r="AJ56" s="1184"/>
      <c r="AK56" s="1184"/>
      <c r="AL56" s="1184"/>
      <c r="AM56" s="1184"/>
      <c r="AN56" s="1184"/>
      <c r="AO56" s="1656"/>
      <c r="AP56" s="590"/>
      <c r="AQ56" s="590"/>
      <c r="AR56" s="590"/>
      <c r="AS56" s="590"/>
      <c r="AT56" s="1665">
        <v>11</v>
      </c>
    </row>
    <row s="1665" customFormat="1" customHeight="1" ht="11.549999999999999">
      <c r="A57" s="1011"/>
      <c r="B57" s="1660"/>
      <c r="C57" s="1660"/>
      <c r="D57" s="375"/>
      <c r="J57" s="1665"/>
      <c r="K57" s="1665"/>
      <c r="L57" s="1665"/>
      <c r="M57" s="1665"/>
      <c r="N57" s="1665"/>
      <c r="O57" s="1665"/>
      <c r="P57" s="1665"/>
      <c r="Q57" s="1665"/>
      <c r="R57" s="1665"/>
      <c r="S57" s="1665"/>
      <c r="T57" s="1665"/>
      <c r="U57" s="1665"/>
      <c r="V57" s="1665"/>
      <c r="W57" s="1665"/>
      <c r="Y57" s="1184"/>
      <c r="Z57" s="1660"/>
      <c r="AA57" s="1660"/>
      <c r="AB57" s="1184"/>
      <c r="AC57" s="1184"/>
      <c r="AD57" s="1184"/>
      <c r="AE57" s="1184"/>
      <c r="AF57" s="1660"/>
      <c r="AG57" s="1184"/>
      <c r="AH57" s="1184"/>
      <c r="AI57" s="568"/>
      <c r="AJ57" s="1184"/>
      <c r="AK57" s="1184"/>
      <c r="AL57" s="1184"/>
      <c r="AM57" s="1184"/>
      <c r="AN57" s="1184"/>
      <c r="AO57" s="1656"/>
      <c r="AP57" s="590"/>
      <c r="AQ57" s="590"/>
      <c r="AR57" s="590"/>
      <c r="AS57" s="590"/>
      <c r="AT57" s="1665">
        <v>11</v>
      </c>
    </row>
    <row s="1665" customFormat="1" customHeight="1" ht="11.549999999999999">
      <c r="A58" s="1011"/>
      <c r="B58" s="1660"/>
      <c r="C58" s="1660"/>
      <c r="D58" s="375"/>
      <c r="J58" s="1665"/>
      <c r="K58" s="1665"/>
      <c r="L58" s="1665"/>
      <c r="M58" s="1665"/>
      <c r="N58" s="1665"/>
      <c r="O58" s="1665"/>
      <c r="P58" s="1665"/>
      <c r="Q58" s="1665"/>
      <c r="R58" s="1665"/>
      <c r="S58" s="1665"/>
      <c r="T58" s="1665"/>
      <c r="U58" s="1665"/>
      <c r="V58" s="1665"/>
      <c r="W58" s="1665"/>
      <c r="Y58" s="1184"/>
      <c r="Z58" s="1660"/>
      <c r="AA58" s="1660"/>
      <c r="AB58" s="1184"/>
      <c r="AC58" s="1184"/>
      <c r="AD58" s="1184"/>
      <c r="AE58" s="1184"/>
      <c r="AF58" s="1660"/>
      <c r="AG58" s="1184"/>
      <c r="AH58" s="1184"/>
      <c r="AI58" s="568"/>
      <c r="AJ58" s="1184"/>
      <c r="AK58" s="1184"/>
      <c r="AL58" s="1184"/>
      <c r="AM58" s="1184"/>
      <c r="AN58" s="1184"/>
      <c r="AO58" s="1656"/>
      <c r="AP58" s="590"/>
      <c r="AQ58" s="590"/>
      <c r="AR58" s="590"/>
      <c r="AS58" s="590"/>
      <c r="AT58" s="1665">
        <v>11</v>
      </c>
    </row>
    <row s="1665" customFormat="1" customHeight="1" ht="11.549999999999999">
      <c r="A59" s="1011"/>
      <c r="B59" s="1660"/>
      <c r="C59" s="1660"/>
      <c r="D59" s="375"/>
      <c r="J59" s="1665"/>
      <c r="K59" s="1665"/>
      <c r="L59" s="1665"/>
      <c r="M59" s="1665"/>
      <c r="N59" s="1665"/>
      <c r="O59" s="1665"/>
      <c r="P59" s="1665"/>
      <c r="Q59" s="1665"/>
      <c r="R59" s="1665"/>
      <c r="S59" s="1665"/>
      <c r="T59" s="1665"/>
      <c r="U59" s="1665"/>
      <c r="V59" s="1665"/>
      <c r="W59" s="1665"/>
      <c r="Y59" s="1184"/>
      <c r="Z59" s="1660"/>
      <c r="AA59" s="1660"/>
      <c r="AB59" s="1184"/>
      <c r="AC59" s="1184"/>
      <c r="AD59" s="1184"/>
      <c r="AE59" s="1184"/>
      <c r="AF59" s="1660"/>
      <c r="AG59" s="1184"/>
      <c r="AH59" s="1184"/>
      <c r="AI59" s="568"/>
      <c r="AJ59" s="1184"/>
      <c r="AK59" s="1184"/>
      <c r="AL59" s="1184"/>
      <c r="AM59" s="1184"/>
      <c r="AN59" s="1184"/>
      <c r="AO59" s="1656"/>
      <c r="AP59" s="590"/>
      <c r="AQ59" s="590"/>
      <c r="AR59" s="590"/>
      <c r="AS59" s="590"/>
      <c r="AT59" s="1665">
        <v>11</v>
      </c>
    </row>
    <row s="1665" customFormat="1" customHeight="1" ht="11.549999999999999">
      <c r="A60" s="1011"/>
      <c r="B60" s="1660"/>
      <c r="C60" s="1660"/>
      <c r="D60" s="375"/>
      <c r="J60" s="1665"/>
      <c r="K60" s="1665"/>
      <c r="L60" s="1665"/>
      <c r="M60" s="1665"/>
      <c r="N60" s="1665"/>
      <c r="O60" s="1665"/>
      <c r="P60" s="1665"/>
      <c r="Q60" s="1665"/>
      <c r="R60" s="1665"/>
      <c r="S60" s="1665"/>
      <c r="T60" s="1665"/>
      <c r="U60" s="1665"/>
      <c r="V60" s="1665"/>
      <c r="W60" s="1665"/>
      <c r="Y60" s="1184"/>
      <c r="Z60" s="1660"/>
      <c r="AA60" s="1660"/>
      <c r="AB60" s="1184"/>
      <c r="AC60" s="1184"/>
      <c r="AD60" s="1184"/>
      <c r="AE60" s="1184"/>
      <c r="AF60" s="1660"/>
      <c r="AG60" s="1184"/>
      <c r="AH60" s="1184"/>
      <c r="AI60" s="568"/>
      <c r="AJ60" s="1184"/>
      <c r="AK60" s="1184"/>
      <c r="AL60" s="1184"/>
      <c r="AM60" s="1184"/>
      <c r="AN60" s="1184"/>
      <c r="AO60" s="1656"/>
      <c r="AP60" s="590"/>
      <c r="AQ60" s="590"/>
      <c r="AR60" s="590"/>
      <c r="AS60" s="590"/>
      <c r="AT60" s="1665">
        <v>11</v>
      </c>
    </row>
    <row s="1665" customFormat="1" customHeight="1" ht="11.549999999999999">
      <c r="A61" s="1011"/>
      <c r="B61" s="1660"/>
      <c r="C61" s="1660"/>
      <c r="D61" s="375"/>
      <c r="J61" s="1665"/>
      <c r="K61" s="1665"/>
      <c r="L61" s="1665"/>
      <c r="M61" s="1665"/>
      <c r="N61" s="1665"/>
      <c r="O61" s="1665"/>
      <c r="P61" s="1665"/>
      <c r="Q61" s="1665"/>
      <c r="R61" s="1665"/>
      <c r="S61" s="1665"/>
      <c r="T61" s="1665"/>
      <c r="U61" s="1665"/>
      <c r="V61" s="1665"/>
      <c r="W61" s="1665"/>
      <c r="Y61" s="1184"/>
      <c r="Z61" s="1660"/>
      <c r="AA61" s="1660"/>
      <c r="AB61" s="1184"/>
      <c r="AC61" s="1184"/>
      <c r="AD61" s="1184"/>
      <c r="AE61" s="1184"/>
      <c r="AF61" s="1660"/>
      <c r="AG61" s="1184"/>
      <c r="AH61" s="1184"/>
      <c r="AI61" s="568"/>
      <c r="AJ61" s="1184"/>
      <c r="AK61" s="1184"/>
      <c r="AL61" s="1184"/>
      <c r="AM61" s="1184"/>
      <c r="AN61" s="1184"/>
      <c r="AO61" s="1656"/>
      <c r="AP61" s="590"/>
      <c r="AQ61" s="590"/>
      <c r="AR61" s="590"/>
      <c r="AS61" s="590"/>
      <c r="AT61" s="1665">
        <v>11</v>
      </c>
    </row>
    <row s="1665" customFormat="1" customHeight="1" ht="11.549999999999999">
      <c r="A62" s="1011"/>
      <c r="B62" s="1660"/>
      <c r="C62" s="1660"/>
      <c r="D62" s="375"/>
      <c r="J62" s="1665"/>
      <c r="K62" s="1665"/>
      <c r="L62" s="1665"/>
      <c r="M62" s="1665"/>
      <c r="N62" s="1665"/>
      <c r="O62" s="1665"/>
      <c r="P62" s="1665"/>
      <c r="Q62" s="1665"/>
      <c r="R62" s="1665"/>
      <c r="S62" s="1665"/>
      <c r="T62" s="1665"/>
      <c r="U62" s="1665"/>
      <c r="V62" s="1665"/>
      <c r="W62" s="1665"/>
      <c r="Y62" s="1184"/>
      <c r="Z62" s="1660"/>
      <c r="AA62" s="1660"/>
      <c r="AB62" s="1184"/>
      <c r="AC62" s="1184"/>
      <c r="AD62" s="1184"/>
      <c r="AE62" s="1184"/>
      <c r="AF62" s="1660"/>
      <c r="AG62" s="1184"/>
      <c r="AH62" s="1184"/>
      <c r="AI62" s="568"/>
      <c r="AJ62" s="1184"/>
      <c r="AK62" s="1184"/>
      <c r="AL62" s="1184"/>
      <c r="AM62" s="1184"/>
      <c r="AN62" s="1184"/>
      <c r="AO62" s="1656"/>
      <c r="AP62" s="590"/>
      <c r="AQ62" s="590"/>
      <c r="AR62" s="590"/>
      <c r="AS62" s="590"/>
      <c r="AT62" s="1665">
        <v>11</v>
      </c>
    </row>
    <row s="1665" customFormat="1" customHeight="1" ht="11.549999999999999">
      <c r="A63" s="1011"/>
      <c r="B63" s="1660"/>
      <c r="C63" s="1660"/>
      <c r="D63" s="375"/>
      <c r="J63" s="1665"/>
      <c r="K63" s="1665"/>
      <c r="L63" s="1665"/>
      <c r="M63" s="1665"/>
      <c r="N63" s="1665"/>
      <c r="O63" s="1665"/>
      <c r="P63" s="1665"/>
      <c r="Q63" s="1665"/>
      <c r="R63" s="1665"/>
      <c r="S63" s="1665"/>
      <c r="T63" s="1665"/>
      <c r="U63" s="1665"/>
      <c r="V63" s="1665"/>
      <c r="W63" s="1665"/>
      <c r="Y63" s="1184"/>
      <c r="Z63" s="1660"/>
      <c r="AA63" s="1660"/>
      <c r="AB63" s="1184"/>
      <c r="AC63" s="1184"/>
      <c r="AD63" s="1184"/>
      <c r="AE63" s="1184"/>
      <c r="AF63" s="1660"/>
      <c r="AG63" s="1184"/>
      <c r="AH63" s="1184"/>
      <c r="AI63" s="568"/>
      <c r="AJ63" s="1184"/>
      <c r="AK63" s="1184"/>
      <c r="AL63" s="1184"/>
      <c r="AM63" s="1184"/>
      <c r="AN63" s="1184"/>
      <c r="AO63" s="1656"/>
      <c r="AP63" s="590"/>
      <c r="AQ63" s="590"/>
      <c r="AR63" s="590"/>
      <c r="AS63" s="590"/>
      <c r="AT63" s="1665">
        <v>11</v>
      </c>
    </row>
    <row s="1665" customFormat="1" customHeight="1" ht="11.549999999999999">
      <c r="A64" s="1011"/>
      <c r="B64" s="1660"/>
      <c r="C64" s="1660"/>
      <c r="D64" s="375"/>
      <c r="J64" s="1665"/>
      <c r="K64" s="1665"/>
      <c r="L64" s="1665"/>
      <c r="M64" s="1665"/>
      <c r="N64" s="1665"/>
      <c r="O64" s="1665"/>
      <c r="P64" s="1665"/>
      <c r="Q64" s="1665"/>
      <c r="R64" s="1665"/>
      <c r="S64" s="1665"/>
      <c r="T64" s="1665"/>
      <c r="U64" s="1665"/>
      <c r="V64" s="1665"/>
      <c r="W64" s="1665"/>
      <c r="Y64" s="1184"/>
      <c r="Z64" s="1660"/>
      <c r="AA64" s="1660"/>
      <c r="AB64" s="1184"/>
      <c r="AC64" s="1184"/>
      <c r="AD64" s="1184"/>
      <c r="AE64" s="1184"/>
      <c r="AF64" s="1660"/>
      <c r="AG64" s="1184"/>
      <c r="AH64" s="1184"/>
      <c r="AI64" s="568"/>
      <c r="AJ64" s="1184"/>
      <c r="AK64" s="1184"/>
      <c r="AL64" s="1184"/>
      <c r="AM64" s="1184"/>
      <c r="AN64" s="1184"/>
      <c r="AO64" s="1656"/>
      <c r="AP64" s="590"/>
      <c r="AQ64" s="590"/>
      <c r="AR64" s="590"/>
      <c r="AS64" s="590"/>
      <c r="AT64" s="1665">
        <v>11</v>
      </c>
    </row>
    <row s="1665" customFormat="1" customHeight="1" ht="11.549999999999999">
      <c r="A65" s="1011"/>
      <c r="B65" s="1660"/>
      <c r="C65" s="1660"/>
      <c r="D65" s="375"/>
      <c r="J65" s="1665"/>
      <c r="K65" s="1665"/>
      <c r="L65" s="1665"/>
      <c r="M65" s="1665"/>
      <c r="N65" s="1665"/>
      <c r="O65" s="1665"/>
      <c r="P65" s="1665"/>
      <c r="Q65" s="1665"/>
      <c r="R65" s="1665"/>
      <c r="S65" s="1665"/>
      <c r="T65" s="1665"/>
      <c r="U65" s="1665"/>
      <c r="V65" s="1665"/>
      <c r="W65" s="1665"/>
      <c r="Y65" s="1184"/>
      <c r="Z65" s="1660"/>
      <c r="AA65" s="1660"/>
      <c r="AB65" s="1184"/>
      <c r="AC65" s="1184"/>
      <c r="AD65" s="1184"/>
      <c r="AE65" s="1184"/>
      <c r="AF65" s="1660"/>
      <c r="AG65" s="1184"/>
      <c r="AH65" s="1184"/>
      <c r="AI65" s="568"/>
      <c r="AJ65" s="1184"/>
      <c r="AK65" s="1184"/>
      <c r="AL65" s="1184"/>
      <c r="AM65" s="1184"/>
      <c r="AN65" s="1184"/>
      <c r="AO65" s="1656"/>
      <c r="AP65" s="590"/>
      <c r="AQ65" s="590"/>
      <c r="AR65" s="590"/>
      <c r="AS65" s="590"/>
      <c r="AT65" s="1665">
        <v>11</v>
      </c>
    </row>
    <row s="1665" customFormat="1" customHeight="1" ht="11.549999999999999">
      <c r="A66" s="1011"/>
      <c r="B66" s="1660"/>
      <c r="C66" s="1660"/>
      <c r="D66" s="375"/>
      <c r="J66" s="1665"/>
      <c r="K66" s="1665"/>
      <c r="L66" s="1665"/>
      <c r="M66" s="1665"/>
      <c r="N66" s="1665"/>
      <c r="O66" s="1665"/>
      <c r="P66" s="1665"/>
      <c r="Q66" s="1665"/>
      <c r="R66" s="1665"/>
      <c r="S66" s="1665"/>
      <c r="T66" s="1665"/>
      <c r="U66" s="1665"/>
      <c r="V66" s="1665"/>
      <c r="W66" s="1665"/>
      <c r="Y66" s="1184"/>
      <c r="Z66" s="1660"/>
      <c r="AA66" s="1660"/>
      <c r="AB66" s="1184"/>
      <c r="AC66" s="1184"/>
      <c r="AD66" s="1184"/>
      <c r="AE66" s="1184"/>
      <c r="AF66" s="1660"/>
      <c r="AG66" s="1184"/>
      <c r="AH66" s="1184"/>
      <c r="AI66" s="568"/>
      <c r="AJ66" s="1184"/>
      <c r="AK66" s="1184"/>
      <c r="AL66" s="1184"/>
      <c r="AM66" s="1184"/>
      <c r="AN66" s="1184"/>
      <c r="AO66" s="1656"/>
      <c r="AP66" s="590"/>
      <c r="AQ66" s="590"/>
      <c r="AR66" s="590"/>
      <c r="AS66" s="590"/>
      <c r="AT66" s="1665">
        <v>11</v>
      </c>
    </row>
    <row s="1665" customFormat="1" customHeight="1" ht="11.549999999999999">
      <c r="A67" s="1011"/>
      <c r="B67" s="1660"/>
      <c r="C67" s="1660"/>
      <c r="D67" s="375"/>
      <c r="J67" s="1665"/>
      <c r="K67" s="1665"/>
      <c r="L67" s="1665"/>
      <c r="M67" s="1665"/>
      <c r="N67" s="1665"/>
      <c r="O67" s="1665"/>
      <c r="P67" s="1665"/>
      <c r="Q67" s="1665"/>
      <c r="R67" s="1665"/>
      <c r="S67" s="1665"/>
      <c r="T67" s="1665"/>
      <c r="U67" s="1665"/>
      <c r="V67" s="1665"/>
      <c r="W67" s="1665"/>
      <c r="Y67" s="1184"/>
      <c r="Z67" s="1660"/>
      <c r="AA67" s="1660"/>
      <c r="AB67" s="1184"/>
      <c r="AC67" s="1184"/>
      <c r="AD67" s="1184"/>
      <c r="AE67" s="1184"/>
      <c r="AF67" s="1660"/>
      <c r="AG67" s="1184"/>
      <c r="AH67" s="1184"/>
      <c r="AI67" s="568"/>
      <c r="AJ67" s="1184"/>
      <c r="AK67" s="1184"/>
      <c r="AL67" s="1184"/>
      <c r="AM67" s="1184"/>
      <c r="AN67" s="1184"/>
      <c r="AO67" s="1656"/>
      <c r="AP67" s="590"/>
      <c r="AQ67" s="590"/>
      <c r="AR67" s="590"/>
      <c r="AS67" s="590"/>
      <c r="AT67" s="1665">
        <v>11</v>
      </c>
    </row>
    <row s="1665" customFormat="1" customHeight="1" ht="11.549999999999999">
      <c r="A68" s="1011"/>
      <c r="B68" s="1660"/>
      <c r="C68" s="1660"/>
      <c r="D68" s="375"/>
      <c r="J68" s="1665"/>
      <c r="K68" s="1665"/>
      <c r="L68" s="1665"/>
      <c r="M68" s="1665"/>
      <c r="N68" s="1665"/>
      <c r="O68" s="1665"/>
      <c r="P68" s="1665"/>
      <c r="Q68" s="1665"/>
      <c r="R68" s="1665"/>
      <c r="S68" s="1665"/>
      <c r="T68" s="1665"/>
      <c r="U68" s="1665"/>
      <c r="V68" s="1665"/>
      <c r="W68" s="1665"/>
      <c r="Y68" s="1184"/>
      <c r="Z68" s="1660"/>
      <c r="AA68" s="1660"/>
      <c r="AB68" s="1184"/>
      <c r="AC68" s="1184"/>
      <c r="AD68" s="1184"/>
      <c r="AE68" s="1184"/>
      <c r="AF68" s="1660"/>
      <c r="AG68" s="1184"/>
      <c r="AH68" s="1184"/>
      <c r="AI68" s="568"/>
      <c r="AJ68" s="1184"/>
      <c r="AK68" s="1184"/>
      <c r="AL68" s="1184"/>
      <c r="AM68" s="1184"/>
      <c r="AN68" s="1184"/>
      <c r="AO68" s="1656"/>
      <c r="AP68" s="590"/>
      <c r="AQ68" s="590"/>
      <c r="AR68" s="590"/>
      <c r="AS68" s="590"/>
      <c r="AT68" s="1665">
        <v>11</v>
      </c>
    </row>
    <row s="1665" customFormat="1" customHeight="1" ht="11.549999999999999">
      <c r="A69" s="1011"/>
      <c r="B69" s="1660"/>
      <c r="C69" s="1660"/>
      <c r="D69" s="375"/>
      <c r="J69" s="1665"/>
      <c r="K69" s="1665"/>
      <c r="L69" s="1665"/>
      <c r="M69" s="1665"/>
      <c r="N69" s="1665"/>
      <c r="O69" s="1665"/>
      <c r="P69" s="1665"/>
      <c r="Q69" s="1665"/>
      <c r="R69" s="1665"/>
      <c r="S69" s="1665"/>
      <c r="T69" s="1665"/>
      <c r="U69" s="1665"/>
      <c r="V69" s="1665"/>
      <c r="W69" s="1665"/>
      <c r="Y69" s="1184"/>
      <c r="Z69" s="1660"/>
      <c r="AA69" s="1660"/>
      <c r="AB69" s="1184"/>
      <c r="AC69" s="1184"/>
      <c r="AD69" s="1184"/>
      <c r="AE69" s="1184"/>
      <c r="AF69" s="1660"/>
      <c r="AG69" s="1184"/>
      <c r="AH69" s="1184"/>
      <c r="AI69" s="568"/>
      <c r="AJ69" s="1184"/>
      <c r="AK69" s="1184"/>
      <c r="AL69" s="1184"/>
      <c r="AM69" s="1184"/>
      <c r="AN69" s="1184"/>
      <c r="AO69" s="1656"/>
      <c r="AP69" s="590"/>
      <c r="AQ69" s="590"/>
      <c r="AR69" s="590"/>
      <c r="AS69" s="590"/>
      <c r="AT69" s="1665">
        <v>11</v>
      </c>
    </row>
    <row s="1665" customFormat="1" customHeight="1" ht="11.549999999999999">
      <c r="A70" s="1011"/>
      <c r="B70" s="1660"/>
      <c r="C70" s="1660"/>
      <c r="D70" s="375"/>
      <c r="J70" s="1665"/>
      <c r="K70" s="1665"/>
      <c r="L70" s="1665"/>
      <c r="M70" s="1665"/>
      <c r="N70" s="1665"/>
      <c r="O70" s="1665"/>
      <c r="P70" s="1665"/>
      <c r="Q70" s="1665"/>
      <c r="R70" s="1665"/>
      <c r="S70" s="1665"/>
      <c r="T70" s="1665"/>
      <c r="U70" s="1665"/>
      <c r="V70" s="1665"/>
      <c r="W70" s="1665"/>
      <c r="Y70" s="1184"/>
      <c r="Z70" s="1660"/>
      <c r="AA70" s="1660"/>
      <c r="AB70" s="1184"/>
      <c r="AC70" s="1184"/>
      <c r="AD70" s="1184"/>
      <c r="AE70" s="1184"/>
      <c r="AF70" s="1660"/>
      <c r="AG70" s="1184"/>
      <c r="AH70" s="1184"/>
      <c r="AI70" s="568"/>
      <c r="AJ70" s="1184"/>
      <c r="AK70" s="1184"/>
      <c r="AL70" s="1184"/>
      <c r="AM70" s="1184"/>
      <c r="AN70" s="1184"/>
      <c r="AO70" s="1656"/>
      <c r="AP70" s="590"/>
      <c r="AQ70" s="590"/>
      <c r="AR70" s="590"/>
      <c r="AS70" s="590"/>
      <c r="AT70" s="1665">
        <v>11</v>
      </c>
    </row>
    <row s="1665" customFormat="1" customHeight="1" ht="11.549999999999999">
      <c r="A71" s="1011"/>
      <c r="B71" s="1660"/>
      <c r="C71" s="1660"/>
      <c r="D71" s="375"/>
      <c r="J71" s="1665"/>
      <c r="K71" s="1665"/>
      <c r="L71" s="1665"/>
      <c r="M71" s="1665"/>
      <c r="N71" s="1665"/>
      <c r="O71" s="1665"/>
      <c r="P71" s="1665"/>
      <c r="Q71" s="1665"/>
      <c r="R71" s="1665"/>
      <c r="S71" s="1665"/>
      <c r="T71" s="1665"/>
      <c r="U71" s="1665"/>
      <c r="V71" s="1665"/>
      <c r="W71" s="1665"/>
      <c r="Y71" s="1184"/>
      <c r="Z71" s="1660"/>
      <c r="AA71" s="1660"/>
      <c r="AB71" s="1184"/>
      <c r="AC71" s="1184"/>
      <c r="AD71" s="1184"/>
      <c r="AE71" s="1184"/>
      <c r="AF71" s="1660"/>
      <c r="AG71" s="1184"/>
      <c r="AH71" s="1184"/>
      <c r="AI71" s="568"/>
      <c r="AJ71" s="1184"/>
      <c r="AK71" s="1184"/>
      <c r="AL71" s="1184"/>
      <c r="AM71" s="1184"/>
      <c r="AN71" s="1184"/>
      <c r="AO71" s="1656"/>
      <c r="AP71" s="590"/>
      <c r="AQ71" s="590"/>
      <c r="AR71" s="590"/>
      <c r="AS71" s="590"/>
      <c r="AT71" s="1665">
        <v>11</v>
      </c>
    </row>
    <row s="1665" customFormat="1" customHeight="1" ht="11.549999999999999">
      <c r="A72" s="1011"/>
      <c r="B72" s="1660"/>
      <c r="C72" s="1660"/>
      <c r="D72" s="375"/>
      <c r="J72" s="1665"/>
      <c r="K72" s="1665"/>
      <c r="L72" s="1665"/>
      <c r="M72" s="1665"/>
      <c r="N72" s="1665"/>
      <c r="O72" s="1665"/>
      <c r="P72" s="1665"/>
      <c r="Q72" s="1665"/>
      <c r="R72" s="1665"/>
      <c r="S72" s="1665"/>
      <c r="T72" s="1665"/>
      <c r="U72" s="1665"/>
      <c r="V72" s="1665"/>
      <c r="W72" s="1665"/>
      <c r="Y72" s="1184"/>
      <c r="Z72" s="1660"/>
      <c r="AA72" s="1660"/>
      <c r="AB72" s="1184"/>
      <c r="AC72" s="1184"/>
      <c r="AD72" s="1184"/>
      <c r="AE72" s="1184"/>
      <c r="AF72" s="1660"/>
      <c r="AG72" s="1184"/>
      <c r="AH72" s="1184"/>
      <c r="AI72" s="568"/>
      <c r="AJ72" s="1184"/>
      <c r="AK72" s="1184"/>
      <c r="AL72" s="1184"/>
      <c r="AM72" s="1184"/>
      <c r="AN72" s="1184"/>
      <c r="AO72" s="1656"/>
      <c r="AP72" s="590"/>
      <c r="AQ72" s="590"/>
      <c r="AR72" s="590"/>
      <c r="AS72" s="590"/>
      <c r="AT72" s="1665">
        <v>11</v>
      </c>
    </row>
    <row s="1665" customFormat="1" customHeight="1" ht="11.549999999999999">
      <c r="A73" s="1011"/>
      <c r="B73" s="1660"/>
      <c r="C73" s="1660"/>
      <c r="D73" s="375"/>
      <c r="J73" s="1665"/>
      <c r="K73" s="1665"/>
      <c r="L73" s="1665"/>
      <c r="M73" s="1665"/>
      <c r="N73" s="1665"/>
      <c r="O73" s="1665"/>
      <c r="P73" s="1665"/>
      <c r="Q73" s="1665"/>
      <c r="R73" s="1665"/>
      <c r="S73" s="1665"/>
      <c r="T73" s="1665"/>
      <c r="U73" s="1665"/>
      <c r="V73" s="1665"/>
      <c r="W73" s="1665"/>
      <c r="Y73" s="1184"/>
      <c r="Z73" s="1660"/>
      <c r="AA73" s="1660"/>
      <c r="AB73" s="1184"/>
      <c r="AC73" s="1184"/>
      <c r="AD73" s="1184"/>
      <c r="AE73" s="1184"/>
      <c r="AF73" s="1660"/>
      <c r="AG73" s="1184"/>
      <c r="AH73" s="1184"/>
      <c r="AI73" s="568"/>
      <c r="AJ73" s="1184"/>
      <c r="AK73" s="1184"/>
      <c r="AL73" s="1184"/>
      <c r="AM73" s="1184"/>
      <c r="AN73" s="1184"/>
      <c r="AO73" s="1656"/>
      <c r="AP73" s="590"/>
      <c r="AQ73" s="590"/>
      <c r="AR73" s="590"/>
      <c r="AS73" s="590"/>
      <c r="AT73" s="1665">
        <v>11</v>
      </c>
    </row>
    <row s="1665" customFormat="1" customHeight="1" ht="11.549999999999999">
      <c r="A74" s="1011"/>
      <c r="B74" s="1660"/>
      <c r="C74" s="1660"/>
      <c r="D74" s="375"/>
      <c r="J74" s="1665"/>
      <c r="K74" s="1665"/>
      <c r="L74" s="1665"/>
      <c r="M74" s="1665"/>
      <c r="N74" s="1665"/>
      <c r="O74" s="1665"/>
      <c r="P74" s="1665"/>
      <c r="Q74" s="1665"/>
      <c r="R74" s="1665"/>
      <c r="S74" s="1665"/>
      <c r="T74" s="1665"/>
      <c r="U74" s="1665"/>
      <c r="V74" s="1665"/>
      <c r="W74" s="1665"/>
      <c r="Y74" s="1184"/>
      <c r="Z74" s="1660"/>
      <c r="AA74" s="1660"/>
      <c r="AB74" s="1184"/>
      <c r="AC74" s="1184"/>
      <c r="AD74" s="1184"/>
      <c r="AE74" s="1184"/>
      <c r="AF74" s="1660"/>
      <c r="AG74" s="1184"/>
      <c r="AH74" s="1184"/>
      <c r="AI74" s="568"/>
      <c r="AJ74" s="1184"/>
      <c r="AK74" s="1184"/>
      <c r="AL74" s="1184"/>
      <c r="AM74" s="1184"/>
      <c r="AN74" s="1184"/>
      <c r="AO74" s="1656"/>
      <c r="AP74" s="590"/>
      <c r="AQ74" s="590"/>
      <c r="AR74" s="590"/>
      <c r="AS74" s="590"/>
      <c r="AT74" s="1665">
        <v>11</v>
      </c>
    </row>
    <row s="1665" customFormat="1" customHeight="1" ht="11.549999999999999">
      <c r="A75" s="1011"/>
      <c r="B75" s="1660"/>
      <c r="C75" s="1660"/>
      <c r="D75" s="375"/>
      <c r="J75" s="1665"/>
      <c r="K75" s="1665"/>
      <c r="L75" s="1665"/>
      <c r="M75" s="1665"/>
      <c r="N75" s="1665"/>
      <c r="O75" s="1665"/>
      <c r="P75" s="1665"/>
      <c r="Q75" s="1665"/>
      <c r="R75" s="1665"/>
      <c r="S75" s="1665"/>
      <c r="T75" s="1665"/>
      <c r="U75" s="1665"/>
      <c r="V75" s="1665"/>
      <c r="W75" s="1665"/>
      <c r="Y75" s="1184"/>
      <c r="Z75" s="1660"/>
      <c r="AA75" s="1660"/>
      <c r="AB75" s="1184"/>
      <c r="AC75" s="1184"/>
      <c r="AD75" s="1184"/>
      <c r="AE75" s="1184"/>
      <c r="AF75" s="1660"/>
      <c r="AG75" s="1184"/>
      <c r="AH75" s="1184"/>
      <c r="AI75" s="568"/>
      <c r="AJ75" s="1184"/>
      <c r="AK75" s="1184"/>
      <c r="AL75" s="1184"/>
      <c r="AM75" s="1184"/>
      <c r="AN75" s="1184"/>
      <c r="AO75" s="1656"/>
      <c r="AP75" s="590"/>
      <c r="AQ75" s="590"/>
      <c r="AR75" s="590"/>
      <c r="AS75" s="590"/>
      <c r="AT75" s="1665">
        <v>11</v>
      </c>
    </row>
    <row s="1665" customFormat="1" customHeight="1" ht="11.549999999999999">
      <c r="A76" s="1011"/>
      <c r="B76" s="1660"/>
      <c r="C76" s="1660"/>
      <c r="D76" s="375"/>
      <c r="J76" s="1665"/>
      <c r="K76" s="1665"/>
      <c r="L76" s="1665"/>
      <c r="M76" s="1665"/>
      <c r="N76" s="1665"/>
      <c r="O76" s="1665"/>
      <c r="P76" s="1665"/>
      <c r="Q76" s="1665"/>
      <c r="R76" s="1665"/>
      <c r="S76" s="1665"/>
      <c r="T76" s="1665"/>
      <c r="U76" s="1665"/>
      <c r="V76" s="1665"/>
      <c r="W76" s="1665"/>
      <c r="Y76" s="1184"/>
      <c r="Z76" s="1660"/>
      <c r="AA76" s="1660"/>
      <c r="AB76" s="1184"/>
      <c r="AC76" s="1184"/>
      <c r="AD76" s="1184"/>
      <c r="AE76" s="1184"/>
      <c r="AF76" s="1660"/>
      <c r="AG76" s="1184"/>
      <c r="AH76" s="1184"/>
      <c r="AI76" s="568"/>
      <c r="AJ76" s="1184"/>
      <c r="AK76" s="1184"/>
      <c r="AL76" s="1184"/>
      <c r="AM76" s="1184"/>
      <c r="AN76" s="1184"/>
      <c r="AO76" s="1656"/>
      <c r="AP76" s="590"/>
      <c r="AQ76" s="590"/>
      <c r="AR76" s="590"/>
      <c r="AS76" s="590"/>
      <c r="AT76" s="1665">
        <v>11</v>
      </c>
    </row>
    <row s="1665" customFormat="1" customHeight="1" ht="11.549999999999999">
      <c r="A77" s="1011"/>
      <c r="B77" s="1660"/>
      <c r="C77" s="1660"/>
      <c r="D77" s="375"/>
      <c r="J77" s="1665"/>
      <c r="K77" s="1665"/>
      <c r="L77" s="1665"/>
      <c r="M77" s="1665"/>
      <c r="N77" s="1665"/>
      <c r="O77" s="1665"/>
      <c r="P77" s="1665"/>
      <c r="Q77" s="1665"/>
      <c r="R77" s="1665"/>
      <c r="S77" s="1665"/>
      <c r="T77" s="1665"/>
      <c r="U77" s="1665"/>
      <c r="V77" s="1665"/>
      <c r="W77" s="1665"/>
      <c r="Y77" s="1184"/>
      <c r="Z77" s="1660"/>
      <c r="AA77" s="1660"/>
      <c r="AB77" s="1184"/>
      <c r="AC77" s="1184"/>
      <c r="AD77" s="1184"/>
      <c r="AE77" s="1184"/>
      <c r="AF77" s="1660"/>
      <c r="AG77" s="1184"/>
      <c r="AH77" s="1184"/>
      <c r="AI77" s="568"/>
      <c r="AJ77" s="1184"/>
      <c r="AK77" s="1184"/>
      <c r="AL77" s="1184"/>
      <c r="AM77" s="1184"/>
      <c r="AN77" s="1184"/>
      <c r="AO77" s="1656"/>
      <c r="AP77" s="590"/>
      <c r="AQ77" s="590"/>
      <c r="AR77" s="590"/>
      <c r="AS77" s="590"/>
      <c r="AT77" s="1665">
        <v>11</v>
      </c>
    </row>
    <row s="1665" customFormat="1" customHeight="1" ht="11.549999999999999">
      <c r="A78" s="1011"/>
      <c r="B78" s="1660"/>
      <c r="C78" s="1660"/>
      <c r="D78" s="375"/>
      <c r="J78" s="1665"/>
      <c r="K78" s="1665"/>
      <c r="L78" s="1665"/>
      <c r="M78" s="1665"/>
      <c r="N78" s="1665"/>
      <c r="O78" s="1665"/>
      <c r="P78" s="1665"/>
      <c r="Q78" s="1665"/>
      <c r="R78" s="1665"/>
      <c r="S78" s="1665"/>
      <c r="T78" s="1665"/>
      <c r="U78" s="1665"/>
      <c r="V78" s="1665"/>
      <c r="W78" s="1665"/>
      <c r="Y78" s="1184"/>
      <c r="Z78" s="1660"/>
      <c r="AA78" s="1660"/>
      <c r="AB78" s="1184"/>
      <c r="AC78" s="1184"/>
      <c r="AD78" s="1184"/>
      <c r="AE78" s="1184"/>
      <c r="AF78" s="1660"/>
      <c r="AG78" s="1184"/>
      <c r="AH78" s="1184"/>
      <c r="AI78" s="568"/>
      <c r="AJ78" s="1184"/>
      <c r="AK78" s="1184"/>
      <c r="AL78" s="1184"/>
      <c r="AM78" s="1184"/>
      <c r="AN78" s="1184"/>
      <c r="AO78" s="1656"/>
      <c r="AP78" s="590"/>
      <c r="AQ78" s="590"/>
      <c r="AR78" s="590"/>
      <c r="AS78" s="590"/>
      <c r="AT78" s="1665">
        <v>11</v>
      </c>
    </row>
    <row s="1665" customFormat="1" customHeight="1" ht="11.549999999999999">
      <c r="A79" s="1011"/>
      <c r="B79" s="1660"/>
      <c r="C79" s="1660"/>
      <c r="D79" s="375"/>
      <c r="J79" s="1665"/>
      <c r="K79" s="1665"/>
      <c r="L79" s="1665"/>
      <c r="M79" s="1665"/>
      <c r="N79" s="1665"/>
      <c r="O79" s="1665"/>
      <c r="P79" s="1665"/>
      <c r="Q79" s="1665"/>
      <c r="R79" s="1665"/>
      <c r="S79" s="1665"/>
      <c r="T79" s="1665"/>
      <c r="U79" s="1665"/>
      <c r="V79" s="1665"/>
      <c r="W79" s="1665"/>
      <c r="Y79" s="1184"/>
      <c r="Z79" s="1660"/>
      <c r="AA79" s="1660"/>
      <c r="AB79" s="1184"/>
      <c r="AC79" s="1184"/>
      <c r="AD79" s="1184"/>
      <c r="AE79" s="1184"/>
      <c r="AF79" s="1660"/>
      <c r="AG79" s="1184"/>
      <c r="AH79" s="1184"/>
      <c r="AI79" s="568"/>
      <c r="AJ79" s="1184"/>
      <c r="AK79" s="1184"/>
      <c r="AL79" s="1184"/>
      <c r="AM79" s="1184"/>
      <c r="AN79" s="1184"/>
      <c r="AO79" s="1656"/>
      <c r="AP79" s="590"/>
      <c r="AQ79" s="590"/>
      <c r="AR79" s="590"/>
      <c r="AS79" s="590"/>
      <c r="AT79" s="1665">
        <v>11</v>
      </c>
    </row>
    <row s="1665" customFormat="1" customHeight="1" ht="11.549999999999999">
      <c r="A80" s="1011"/>
      <c r="B80" s="1660"/>
      <c r="C80" s="1660"/>
      <c r="D80" s="375"/>
      <c r="J80" s="1665"/>
      <c r="K80" s="1665"/>
      <c r="L80" s="1665"/>
      <c r="M80" s="1665"/>
      <c r="N80" s="1665"/>
      <c r="O80" s="1665"/>
      <c r="P80" s="1665"/>
      <c r="Q80" s="1665"/>
      <c r="R80" s="1665"/>
      <c r="S80" s="1665"/>
      <c r="T80" s="1665"/>
      <c r="U80" s="1665"/>
      <c r="V80" s="1665"/>
      <c r="W80" s="1665"/>
      <c r="Y80" s="1184"/>
      <c r="Z80" s="1660"/>
      <c r="AA80" s="1660"/>
      <c r="AB80" s="1184"/>
      <c r="AC80" s="1184"/>
      <c r="AD80" s="1184"/>
      <c r="AE80" s="1184"/>
      <c r="AF80" s="1660"/>
      <c r="AG80" s="1184"/>
      <c r="AH80" s="1184"/>
      <c r="AI80" s="568"/>
      <c r="AJ80" s="1184"/>
      <c r="AK80" s="1184"/>
      <c r="AL80" s="1184"/>
      <c r="AM80" s="1184"/>
      <c r="AN80" s="1184"/>
      <c r="AO80" s="1656"/>
      <c r="AP80" s="590"/>
      <c r="AQ80" s="590"/>
      <c r="AR80" s="590"/>
      <c r="AS80" s="590"/>
      <c r="AT80" s="1665">
        <v>11</v>
      </c>
    </row>
    <row s="1665" customFormat="1" customHeight="1" ht="11.549999999999999">
      <c r="A81" s="1011"/>
      <c r="B81" s="1660"/>
      <c r="C81" s="1660"/>
      <c r="D81" s="375"/>
      <c r="J81" s="1665"/>
      <c r="K81" s="1665"/>
      <c r="L81" s="1665"/>
      <c r="M81" s="1665"/>
      <c r="N81" s="1665"/>
      <c r="O81" s="1665"/>
      <c r="P81" s="1665"/>
      <c r="Q81" s="1665"/>
      <c r="R81" s="1665"/>
      <c r="S81" s="1665"/>
      <c r="T81" s="1665"/>
      <c r="U81" s="1665"/>
      <c r="V81" s="1665"/>
      <c r="W81" s="1665"/>
      <c r="Y81" s="1184"/>
      <c r="Z81" s="1660"/>
      <c r="AA81" s="1660"/>
      <c r="AB81" s="1184"/>
      <c r="AC81" s="1184"/>
      <c r="AD81" s="1184"/>
      <c r="AE81" s="1184"/>
      <c r="AF81" s="1660"/>
      <c r="AG81" s="1184"/>
      <c r="AH81" s="1184"/>
      <c r="AI81" s="568"/>
      <c r="AJ81" s="1184"/>
      <c r="AK81" s="1184"/>
      <c r="AL81" s="1184"/>
      <c r="AM81" s="1184"/>
      <c r="AN81" s="1184"/>
      <c r="AO81" s="1656"/>
      <c r="AP81" s="590"/>
      <c r="AQ81" s="590"/>
      <c r="AR81" s="590"/>
      <c r="AS81" s="590"/>
      <c r="AT81" s="1665">
        <v>11</v>
      </c>
    </row>
    <row s="1665" customFormat="1" customHeight="1" ht="11.549999999999999">
      <c r="A82" s="1011"/>
      <c r="B82" s="1660"/>
      <c r="C82" s="1660"/>
      <c r="D82" s="375"/>
      <c r="J82" s="1665"/>
      <c r="K82" s="1665"/>
      <c r="L82" s="1665"/>
      <c r="M82" s="1665"/>
      <c r="N82" s="1665"/>
      <c r="O82" s="1665"/>
      <c r="P82" s="1665"/>
      <c r="Q82" s="1665"/>
      <c r="R82" s="1665"/>
      <c r="S82" s="1665"/>
      <c r="T82" s="1665"/>
      <c r="U82" s="1665"/>
      <c r="V82" s="1665"/>
      <c r="W82" s="1665"/>
      <c r="Y82" s="1184"/>
      <c r="Z82" s="1660"/>
      <c r="AA82" s="1660"/>
      <c r="AB82" s="1184"/>
      <c r="AC82" s="1184"/>
      <c r="AD82" s="1184"/>
      <c r="AE82" s="1184"/>
      <c r="AF82" s="1660"/>
      <c r="AG82" s="1184"/>
      <c r="AH82" s="1184"/>
      <c r="AI82" s="568"/>
      <c r="AJ82" s="1184"/>
      <c r="AK82" s="1184"/>
      <c r="AL82" s="1184"/>
      <c r="AM82" s="1184"/>
      <c r="AN82" s="1184"/>
      <c r="AO82" s="1656"/>
      <c r="AP82" s="590"/>
      <c r="AQ82" s="590"/>
      <c r="AR82" s="590"/>
      <c r="AS82" s="590"/>
      <c r="AT82" s="1665">
        <v>11</v>
      </c>
    </row>
    <row s="1665" customFormat="1" customHeight="1" ht="11.549999999999999">
      <c r="A83" s="1011"/>
      <c r="B83" s="1660"/>
      <c r="C83" s="1660"/>
      <c r="D83" s="375"/>
      <c r="J83" s="1665"/>
      <c r="K83" s="1665"/>
      <c r="L83" s="1665"/>
      <c r="M83" s="1665"/>
      <c r="N83" s="1665"/>
      <c r="O83" s="1665"/>
      <c r="P83" s="1665"/>
      <c r="Q83" s="1665"/>
      <c r="R83" s="1665"/>
      <c r="S83" s="1665"/>
      <c r="T83" s="1665"/>
      <c r="U83" s="1665"/>
      <c r="V83" s="1665"/>
      <c r="W83" s="1665"/>
      <c r="Y83" s="1184"/>
      <c r="Z83" s="1660"/>
      <c r="AA83" s="1660"/>
      <c r="AB83" s="1184"/>
      <c r="AC83" s="1184"/>
      <c r="AD83" s="1184"/>
      <c r="AE83" s="1184"/>
      <c r="AF83" s="1660"/>
      <c r="AG83" s="1184"/>
      <c r="AH83" s="1184"/>
      <c r="AI83" s="568"/>
      <c r="AJ83" s="1184"/>
      <c r="AK83" s="1184"/>
      <c r="AL83" s="1184"/>
      <c r="AM83" s="1184"/>
      <c r="AN83" s="1184"/>
      <c r="AO83" s="1656"/>
      <c r="AP83" s="590"/>
      <c r="AQ83" s="590"/>
      <c r="AR83" s="590"/>
      <c r="AS83" s="590"/>
      <c r="AT83" s="1665">
        <v>11</v>
      </c>
    </row>
    <row s="1665" customFormat="1" customHeight="1" ht="11.549999999999999">
      <c r="A84" s="1011"/>
      <c r="B84" s="1660"/>
      <c r="C84" s="1660"/>
      <c r="D84" s="375"/>
      <c r="J84" s="1665"/>
      <c r="K84" s="1665"/>
      <c r="L84" s="1665"/>
      <c r="M84" s="1665"/>
      <c r="N84" s="1665"/>
      <c r="O84" s="1665"/>
      <c r="P84" s="1665"/>
      <c r="Q84" s="1665"/>
      <c r="R84" s="1665"/>
      <c r="S84" s="1665"/>
      <c r="T84" s="1665"/>
      <c r="U84" s="1665"/>
      <c r="V84" s="1665"/>
      <c r="W84" s="1665"/>
      <c r="Y84" s="1184"/>
      <c r="Z84" s="1660"/>
      <c r="AA84" s="1660"/>
      <c r="AB84" s="1184"/>
      <c r="AC84" s="1184"/>
      <c r="AD84" s="1184"/>
      <c r="AE84" s="1184"/>
      <c r="AF84" s="1660"/>
      <c r="AG84" s="1184"/>
      <c r="AH84" s="1184"/>
      <c r="AI84" s="568"/>
      <c r="AJ84" s="1184"/>
      <c r="AK84" s="1184"/>
      <c r="AL84" s="1184"/>
      <c r="AM84" s="1184"/>
      <c r="AN84" s="1184"/>
      <c r="AO84" s="1656"/>
      <c r="AP84" s="590"/>
      <c r="AQ84" s="590"/>
      <c r="AR84" s="590"/>
      <c r="AS84" s="590"/>
      <c r="AT84" s="1665">
        <v>11</v>
      </c>
    </row>
    <row s="1665" customFormat="1" customHeight="1" ht="11.549999999999999">
      <c r="A85" s="1011"/>
      <c r="B85" s="1660"/>
      <c r="C85" s="1660"/>
      <c r="D85" s="375"/>
      <c r="J85" s="1665"/>
      <c r="K85" s="1665"/>
      <c r="L85" s="1665"/>
      <c r="M85" s="1665"/>
      <c r="N85" s="1665"/>
      <c r="O85" s="1665"/>
      <c r="P85" s="1665"/>
      <c r="Q85" s="1665"/>
      <c r="R85" s="1665"/>
      <c r="S85" s="1665"/>
      <c r="T85" s="1665"/>
      <c r="U85" s="1665"/>
      <c r="V85" s="1665"/>
      <c r="W85" s="1665"/>
      <c r="Y85" s="1184"/>
      <c r="Z85" s="1660"/>
      <c r="AA85" s="1660"/>
      <c r="AB85" s="1184"/>
      <c r="AC85" s="1184"/>
      <c r="AD85" s="1184"/>
      <c r="AE85" s="1184"/>
      <c r="AF85" s="1660"/>
      <c r="AG85" s="1184"/>
      <c r="AH85" s="1184"/>
      <c r="AI85" s="568"/>
      <c r="AJ85" s="1184"/>
      <c r="AK85" s="1184"/>
      <c r="AL85" s="1184"/>
      <c r="AM85" s="1184"/>
      <c r="AN85" s="1184"/>
      <c r="AO85" s="1656"/>
      <c r="AP85" s="590"/>
      <c r="AQ85" s="590"/>
      <c r="AR85" s="590"/>
      <c r="AS85" s="590"/>
      <c r="AT85" s="1665">
        <v>11</v>
      </c>
    </row>
    <row s="1665" customFormat="1" customHeight="1" ht="11.549999999999999">
      <c r="A86" s="1011"/>
      <c r="B86" s="1660"/>
      <c r="C86" s="1660"/>
      <c r="D86" s="375"/>
      <c r="J86" s="1665"/>
      <c r="K86" s="1665"/>
      <c r="L86" s="1665"/>
      <c r="M86" s="1665"/>
      <c r="N86" s="1665"/>
      <c r="O86" s="1665"/>
      <c r="P86" s="1665"/>
      <c r="Q86" s="1665"/>
      <c r="R86" s="1665"/>
      <c r="S86" s="1665"/>
      <c r="T86" s="1665"/>
      <c r="U86" s="1665"/>
      <c r="V86" s="1665"/>
      <c r="W86" s="1665"/>
      <c r="Y86" s="1184"/>
      <c r="Z86" s="1660"/>
      <c r="AA86" s="1660"/>
      <c r="AB86" s="1184"/>
      <c r="AC86" s="1184"/>
      <c r="AD86" s="1184"/>
      <c r="AE86" s="1184"/>
      <c r="AF86" s="1660"/>
      <c r="AG86" s="1184"/>
      <c r="AH86" s="1184"/>
      <c r="AI86" s="568"/>
      <c r="AJ86" s="1184"/>
      <c r="AK86" s="1184"/>
      <c r="AL86" s="1184"/>
      <c r="AM86" s="1184"/>
      <c r="AN86" s="1184"/>
      <c r="AO86" s="1656"/>
      <c r="AP86" s="590"/>
      <c r="AQ86" s="590"/>
      <c r="AR86" s="590"/>
      <c r="AS86" s="590"/>
      <c r="AT86" s="1665">
        <v>11</v>
      </c>
    </row>
    <row s="1665" customFormat="1" customHeight="1" ht="11.549999999999999">
      <c r="A87" s="1011"/>
      <c r="B87" s="1660"/>
      <c r="C87" s="1660"/>
      <c r="D87" s="375"/>
      <c r="J87" s="1665"/>
      <c r="K87" s="1665"/>
      <c r="L87" s="1665"/>
      <c r="M87" s="1665"/>
      <c r="N87" s="1665"/>
      <c r="O87" s="1665"/>
      <c r="P87" s="1665"/>
      <c r="Q87" s="1665"/>
      <c r="R87" s="1665"/>
      <c r="S87" s="1665"/>
      <c r="T87" s="1665"/>
      <c r="U87" s="1665"/>
      <c r="V87" s="1665"/>
      <c r="W87" s="1665"/>
      <c r="Y87" s="1184"/>
      <c r="Z87" s="1660"/>
      <c r="AA87" s="1660"/>
      <c r="AB87" s="1184"/>
      <c r="AC87" s="1184"/>
      <c r="AD87" s="1184"/>
      <c r="AE87" s="1184"/>
      <c r="AF87" s="1660"/>
      <c r="AG87" s="1184"/>
      <c r="AH87" s="1184"/>
      <c r="AI87" s="568"/>
      <c r="AJ87" s="1184"/>
      <c r="AK87" s="1184"/>
      <c r="AL87" s="1184"/>
      <c r="AM87" s="1184"/>
      <c r="AN87" s="1184"/>
      <c r="AO87" s="1656"/>
      <c r="AP87" s="590"/>
      <c r="AQ87" s="590"/>
      <c r="AR87" s="590"/>
      <c r="AS87" s="590"/>
      <c r="AT87" s="1665">
        <v>11</v>
      </c>
    </row>
    <row s="1665" customFormat="1" customHeight="1" ht="11.549999999999999">
      <c r="A88" s="1011"/>
      <c r="B88" s="1660"/>
      <c r="C88" s="1660"/>
      <c r="D88" s="375"/>
      <c r="J88" s="1665"/>
      <c r="K88" s="1665"/>
      <c r="L88" s="1665"/>
      <c r="M88" s="1665"/>
      <c r="N88" s="1665"/>
      <c r="O88" s="1665"/>
      <c r="P88" s="1665"/>
      <c r="Q88" s="1665"/>
      <c r="R88" s="1665"/>
      <c r="S88" s="1665"/>
      <c r="T88" s="1665"/>
      <c r="U88" s="1665"/>
      <c r="V88" s="1665"/>
      <c r="W88" s="1665"/>
      <c r="Y88" s="1184"/>
      <c r="Z88" s="1660"/>
      <c r="AA88" s="1660"/>
      <c r="AB88" s="1184"/>
      <c r="AC88" s="1184"/>
      <c r="AD88" s="1184"/>
      <c r="AE88" s="1184"/>
      <c r="AF88" s="1660"/>
      <c r="AG88" s="1184"/>
      <c r="AH88" s="1184"/>
      <c r="AI88" s="568"/>
      <c r="AJ88" s="1184"/>
      <c r="AK88" s="1184"/>
      <c r="AL88" s="1184"/>
      <c r="AM88" s="1184"/>
      <c r="AN88" s="1184"/>
      <c r="AO88" s="1656"/>
      <c r="AP88" s="590"/>
      <c r="AQ88" s="590"/>
      <c r="AR88" s="590"/>
      <c r="AS88" s="590"/>
      <c r="AT88" s="1665">
        <v>11</v>
      </c>
    </row>
    <row s="1665" customFormat="1" customHeight="1" ht="11.549999999999999">
      <c r="A89" s="1011"/>
      <c r="B89" s="1660"/>
      <c r="C89" s="1660"/>
      <c r="D89" s="375"/>
      <c r="J89" s="1665"/>
      <c r="K89" s="1665"/>
      <c r="L89" s="1665"/>
      <c r="M89" s="1665"/>
      <c r="N89" s="1665"/>
      <c r="O89" s="1665"/>
      <c r="P89" s="1665"/>
      <c r="Q89" s="1665"/>
      <c r="R89" s="1665"/>
      <c r="S89" s="1665"/>
      <c r="T89" s="1665"/>
      <c r="U89" s="1665"/>
      <c r="V89" s="1665"/>
      <c r="W89" s="1665"/>
      <c r="Y89" s="1184"/>
      <c r="Z89" s="1660"/>
      <c r="AA89" s="1660"/>
      <c r="AB89" s="1184"/>
      <c r="AC89" s="1184"/>
      <c r="AD89" s="1184"/>
      <c r="AE89" s="1184"/>
      <c r="AF89" s="1660"/>
      <c r="AG89" s="1184"/>
      <c r="AH89" s="1184"/>
      <c r="AI89" s="568"/>
      <c r="AJ89" s="1184"/>
      <c r="AK89" s="1184"/>
      <c r="AL89" s="1184"/>
      <c r="AM89" s="1184"/>
      <c r="AN89" s="1184"/>
      <c r="AO89" s="1656"/>
      <c r="AP89" s="590"/>
      <c r="AQ89" s="590"/>
      <c r="AR89" s="590"/>
      <c r="AS89" s="590"/>
      <c r="AT89" s="1665">
        <v>11</v>
      </c>
    </row>
    <row s="1665" customFormat="1" customHeight="1" ht="11.549999999999999">
      <c r="A90" s="1011"/>
      <c r="B90" s="1660"/>
      <c r="C90" s="1660"/>
      <c r="D90" s="375"/>
      <c r="J90" s="1665"/>
      <c r="K90" s="1665"/>
      <c r="L90" s="1665"/>
      <c r="M90" s="1665"/>
      <c r="N90" s="1665"/>
      <c r="O90" s="1665"/>
      <c r="P90" s="1665"/>
      <c r="Q90" s="1665"/>
      <c r="R90" s="1665"/>
      <c r="S90" s="1665"/>
      <c r="T90" s="1665"/>
      <c r="U90" s="1665"/>
      <c r="V90" s="1665"/>
      <c r="W90" s="1665"/>
      <c r="Y90" s="1184"/>
      <c r="Z90" s="1660"/>
      <c r="AA90" s="1660"/>
      <c r="AB90" s="1184"/>
      <c r="AC90" s="1184"/>
      <c r="AD90" s="1184"/>
      <c r="AE90" s="1184"/>
      <c r="AF90" s="1660"/>
      <c r="AG90" s="1184"/>
      <c r="AH90" s="1184"/>
      <c r="AI90" s="568"/>
      <c r="AJ90" s="1184"/>
      <c r="AK90" s="1184"/>
      <c r="AL90" s="1184"/>
      <c r="AM90" s="1184"/>
      <c r="AN90" s="1184"/>
      <c r="AO90" s="1656"/>
      <c r="AP90" s="590"/>
      <c r="AQ90" s="590"/>
      <c r="AR90" s="590"/>
      <c r="AS90" s="590"/>
      <c r="AT90" s="1665">
        <v>11</v>
      </c>
    </row>
    <row s="1665" customFormat="1" customHeight="1" ht="11.549999999999999">
      <c r="A91" s="1011"/>
      <c r="B91" s="1660"/>
      <c r="C91" s="1660"/>
      <c r="D91" s="375"/>
      <c r="J91" s="1665"/>
      <c r="K91" s="1665"/>
      <c r="L91" s="1665"/>
      <c r="M91" s="1665"/>
      <c r="N91" s="1665"/>
      <c r="O91" s="1665"/>
      <c r="P91" s="1665"/>
      <c r="Q91" s="1665"/>
      <c r="R91" s="1665"/>
      <c r="S91" s="1665"/>
      <c r="T91" s="1665"/>
      <c r="U91" s="1665"/>
      <c r="V91" s="1665"/>
      <c r="W91" s="1665"/>
      <c r="Y91" s="1184"/>
      <c r="Z91" s="1660"/>
      <c r="AA91" s="1660"/>
      <c r="AB91" s="1184"/>
      <c r="AC91" s="1184"/>
      <c r="AD91" s="1184"/>
      <c r="AE91" s="1184"/>
      <c r="AF91" s="1660"/>
      <c r="AG91" s="1184"/>
      <c r="AH91" s="1184"/>
      <c r="AI91" s="568"/>
      <c r="AJ91" s="1184"/>
      <c r="AK91" s="1184"/>
      <c r="AL91" s="1184"/>
      <c r="AM91" s="1184"/>
      <c r="AN91" s="1184"/>
      <c r="AO91" s="1656"/>
      <c r="AP91" s="590"/>
      <c r="AQ91" s="590"/>
      <c r="AR91" s="590"/>
      <c r="AS91" s="590"/>
      <c r="AT91" s="1665">
        <v>11</v>
      </c>
    </row>
    <row s="1665" customFormat="1" customHeight="1" ht="11.549999999999999">
      <c r="A92" s="1011"/>
      <c r="B92" s="1660"/>
      <c r="C92" s="1660"/>
      <c r="D92" s="375"/>
      <c r="J92" s="1665"/>
      <c r="K92" s="1665"/>
      <c r="L92" s="1665"/>
      <c r="M92" s="1665"/>
      <c r="N92" s="1665"/>
      <c r="O92" s="1665"/>
      <c r="P92" s="1665"/>
      <c r="Q92" s="1665"/>
      <c r="R92" s="1665"/>
      <c r="S92" s="1665"/>
      <c r="T92" s="1665"/>
      <c r="U92" s="1665"/>
      <c r="V92" s="1665"/>
      <c r="W92" s="1665"/>
      <c r="Y92" s="1184"/>
      <c r="Z92" s="1660"/>
      <c r="AA92" s="1660"/>
      <c r="AB92" s="1184"/>
      <c r="AC92" s="1184"/>
      <c r="AD92" s="1184"/>
      <c r="AE92" s="1184"/>
      <c r="AF92" s="1660"/>
      <c r="AG92" s="1184"/>
      <c r="AH92" s="1184"/>
      <c r="AI92" s="568"/>
      <c r="AJ92" s="1184"/>
      <c r="AK92" s="1184"/>
      <c r="AL92" s="1184"/>
      <c r="AM92" s="1184"/>
      <c r="AN92" s="1184"/>
      <c r="AO92" s="1656"/>
      <c r="AP92" s="590"/>
      <c r="AQ92" s="590"/>
      <c r="AR92" s="590"/>
      <c r="AS92" s="590"/>
      <c r="AT92" s="1665">
        <v>11</v>
      </c>
    </row>
    <row s="1665" customFormat="1" customHeight="1" ht="11.549999999999999">
      <c r="A93" s="1011"/>
      <c r="B93" s="1660"/>
      <c r="C93" s="1660"/>
      <c r="D93" s="375"/>
      <c r="J93" s="1665"/>
      <c r="K93" s="1665"/>
      <c r="L93" s="1665"/>
      <c r="M93" s="1665"/>
      <c r="N93" s="1665"/>
      <c r="O93" s="1665"/>
      <c r="P93" s="1665"/>
      <c r="Q93" s="1665"/>
      <c r="R93" s="1665"/>
      <c r="S93" s="1665"/>
      <c r="T93" s="1665"/>
      <c r="U93" s="1665"/>
      <c r="V93" s="1665"/>
      <c r="W93" s="1665"/>
      <c r="Y93" s="1184"/>
      <c r="Z93" s="1660"/>
      <c r="AA93" s="1660"/>
      <c r="AB93" s="1184"/>
      <c r="AC93" s="1184"/>
      <c r="AD93" s="1184"/>
      <c r="AE93" s="1184"/>
      <c r="AF93" s="1660"/>
      <c r="AG93" s="1184"/>
      <c r="AH93" s="1184"/>
      <c r="AI93" s="568"/>
      <c r="AJ93" s="1184"/>
      <c r="AK93" s="1184"/>
      <c r="AL93" s="1184"/>
      <c r="AM93" s="1184"/>
      <c r="AN93" s="1184"/>
      <c r="AO93" s="1656"/>
      <c r="AP93" s="590"/>
      <c r="AQ93" s="590"/>
      <c r="AR93" s="590"/>
      <c r="AS93" s="590"/>
      <c r="AT93" s="1665">
        <v>11</v>
      </c>
    </row>
    <row s="1665" customFormat="1" customHeight="1" ht="11.549999999999999">
      <c r="A94" s="1011"/>
      <c r="B94" s="1660"/>
      <c r="C94" s="1660"/>
      <c r="D94" s="375"/>
      <c r="J94" s="1665"/>
      <c r="K94" s="1665"/>
      <c r="L94" s="1665"/>
      <c r="M94" s="1665"/>
      <c r="N94" s="1665"/>
      <c r="O94" s="1665"/>
      <c r="P94" s="1665"/>
      <c r="Q94" s="1665"/>
      <c r="R94" s="1665"/>
      <c r="S94" s="1665"/>
      <c r="T94" s="1665"/>
      <c r="U94" s="1665"/>
      <c r="V94" s="1665"/>
      <c r="W94" s="1665"/>
      <c r="Y94" s="1184"/>
      <c r="Z94" s="1660"/>
      <c r="AA94" s="1660"/>
      <c r="AB94" s="1184"/>
      <c r="AC94" s="1184"/>
      <c r="AD94" s="1184"/>
      <c r="AE94" s="1184"/>
      <c r="AF94" s="1660"/>
      <c r="AG94" s="1184"/>
      <c r="AH94" s="1184"/>
      <c r="AI94" s="568"/>
      <c r="AJ94" s="1184"/>
      <c r="AK94" s="1184"/>
      <c r="AL94" s="1184"/>
      <c r="AM94" s="1184"/>
      <c r="AN94" s="1184"/>
      <c r="AO94" s="1656"/>
      <c r="AP94" s="590"/>
      <c r="AQ94" s="590"/>
      <c r="AR94" s="590"/>
      <c r="AS94" s="590"/>
      <c r="AT94" s="1665">
        <v>11</v>
      </c>
    </row>
    <row s="1665" customFormat="1" customHeight="1" ht="11.549999999999999">
      <c r="A95" s="1011"/>
      <c r="B95" s="1660"/>
      <c r="C95" s="1660"/>
      <c r="D95" s="375"/>
      <c r="J95" s="1665"/>
      <c r="K95" s="1665"/>
      <c r="L95" s="1665"/>
      <c r="M95" s="1665"/>
      <c r="N95" s="1665"/>
      <c r="O95" s="1665"/>
      <c r="P95" s="1665"/>
      <c r="Q95" s="1665"/>
      <c r="R95" s="1665"/>
      <c r="S95" s="1665"/>
      <c r="T95" s="1665"/>
      <c r="U95" s="1665"/>
      <c r="V95" s="1665"/>
      <c r="W95" s="1665"/>
      <c r="Y95" s="1184"/>
      <c r="Z95" s="1660"/>
      <c r="AA95" s="1660"/>
      <c r="AB95" s="1184"/>
      <c r="AC95" s="1184"/>
      <c r="AD95" s="1184"/>
      <c r="AE95" s="1184"/>
      <c r="AF95" s="1660"/>
      <c r="AG95" s="1184"/>
      <c r="AH95" s="1184"/>
      <c r="AI95" s="568"/>
      <c r="AJ95" s="1184"/>
      <c r="AK95" s="1184"/>
      <c r="AL95" s="1184"/>
      <c r="AM95" s="1184"/>
      <c r="AN95" s="1184"/>
      <c r="AO95" s="1656"/>
      <c r="AP95" s="590"/>
      <c r="AQ95" s="590"/>
      <c r="AR95" s="590"/>
      <c r="AS95" s="590"/>
      <c r="AT95" s="1665">
        <v>11</v>
      </c>
    </row>
    <row s="1665" customFormat="1" customHeight="1" ht="11.549999999999999">
      <c r="A96" s="1011"/>
      <c r="B96" s="1660"/>
      <c r="C96" s="1660"/>
      <c r="D96" s="375"/>
      <c r="J96" s="1665"/>
      <c r="K96" s="1665"/>
      <c r="L96" s="1665"/>
      <c r="M96" s="1665"/>
      <c r="N96" s="1665"/>
      <c r="O96" s="1665"/>
      <c r="P96" s="1665"/>
      <c r="Q96" s="1665"/>
      <c r="R96" s="1665"/>
      <c r="S96" s="1665"/>
      <c r="T96" s="1665"/>
      <c r="U96" s="1665"/>
      <c r="V96" s="1665"/>
      <c r="W96" s="1665"/>
      <c r="Y96" s="1184"/>
      <c r="Z96" s="1660"/>
      <c r="AA96" s="1660"/>
      <c r="AB96" s="1184"/>
      <c r="AC96" s="1184"/>
      <c r="AD96" s="1184"/>
      <c r="AE96" s="1184"/>
      <c r="AF96" s="1660"/>
      <c r="AG96" s="1184"/>
      <c r="AH96" s="1184"/>
      <c r="AI96" s="568"/>
      <c r="AJ96" s="1184"/>
      <c r="AK96" s="1184"/>
      <c r="AL96" s="1184"/>
      <c r="AM96" s="1184"/>
      <c r="AN96" s="1184"/>
      <c r="AO96" s="1656"/>
      <c r="AP96" s="590"/>
      <c r="AQ96" s="590"/>
      <c r="AR96" s="590"/>
      <c r="AS96" s="590"/>
      <c r="AT96" s="1665">
        <v>11</v>
      </c>
    </row>
    <row s="1665" customFormat="1" customHeight="1" ht="11.549999999999999">
      <c r="A97" s="1011"/>
      <c r="B97" s="1660"/>
      <c r="C97" s="1660"/>
      <c r="D97" s="375"/>
      <c r="J97" s="1665"/>
      <c r="K97" s="1665"/>
      <c r="L97" s="1665"/>
      <c r="M97" s="1665"/>
      <c r="N97" s="1665"/>
      <c r="O97" s="1665"/>
      <c r="P97" s="1665"/>
      <c r="Q97" s="1665"/>
      <c r="R97" s="1665"/>
      <c r="S97" s="1665"/>
      <c r="T97" s="1665"/>
      <c r="U97" s="1665"/>
      <c r="V97" s="1665"/>
      <c r="W97" s="1665"/>
      <c r="Y97" s="1184"/>
      <c r="Z97" s="1660"/>
      <c r="AA97" s="1660"/>
      <c r="AB97" s="1184"/>
      <c r="AC97" s="1184"/>
      <c r="AD97" s="1184"/>
      <c r="AE97" s="1184"/>
      <c r="AF97" s="1660"/>
      <c r="AG97" s="1184"/>
      <c r="AH97" s="1184"/>
      <c r="AI97" s="568"/>
      <c r="AJ97" s="1184"/>
      <c r="AK97" s="1184"/>
      <c r="AL97" s="1184"/>
      <c r="AM97" s="1184"/>
      <c r="AN97" s="1184"/>
      <c r="AO97" s="1656"/>
      <c r="AP97" s="590"/>
      <c r="AQ97" s="590"/>
      <c r="AR97" s="590"/>
      <c r="AS97" s="590"/>
      <c r="AT97" s="1665">
        <v>11</v>
      </c>
    </row>
    <row s="1665" customFormat="1" customHeight="1" ht="11.549999999999999">
      <c r="A98" s="1011"/>
      <c r="B98" s="1660"/>
      <c r="C98" s="1660"/>
      <c r="D98" s="375"/>
      <c r="J98" s="1665"/>
      <c r="K98" s="1665"/>
      <c r="L98" s="1665"/>
      <c r="M98" s="1665"/>
      <c r="N98" s="1665"/>
      <c r="O98" s="1665"/>
      <c r="P98" s="1665"/>
      <c r="Q98" s="1665"/>
      <c r="R98" s="1665"/>
      <c r="S98" s="1665"/>
      <c r="T98" s="1665"/>
      <c r="U98" s="1665"/>
      <c r="V98" s="1665"/>
      <c r="W98" s="1665"/>
      <c r="Y98" s="1184"/>
      <c r="Z98" s="1660"/>
      <c r="AA98" s="1660"/>
      <c r="AB98" s="1184"/>
      <c r="AC98" s="1184"/>
      <c r="AD98" s="1184"/>
      <c r="AE98" s="1184"/>
      <c r="AF98" s="1660"/>
      <c r="AG98" s="1184"/>
      <c r="AH98" s="1184"/>
      <c r="AI98" s="568"/>
      <c r="AJ98" s="1184"/>
      <c r="AK98" s="1184"/>
      <c r="AL98" s="1184"/>
      <c r="AM98" s="1184"/>
      <c r="AN98" s="1184"/>
      <c r="AO98" s="1656"/>
      <c r="AP98" s="590"/>
      <c r="AQ98" s="590"/>
      <c r="AR98" s="590"/>
      <c r="AS98" s="590"/>
      <c r="AT98" s="1665">
        <v>11</v>
      </c>
    </row>
    <row s="1665" customFormat="1" customHeight="1" ht="11.549999999999999">
      <c r="A99" s="1011"/>
      <c r="B99" s="1660"/>
      <c r="C99" s="1660"/>
      <c r="D99" s="375"/>
      <c r="J99" s="1665"/>
      <c r="K99" s="1665"/>
      <c r="L99" s="1665"/>
      <c r="M99" s="1665"/>
      <c r="N99" s="1665"/>
      <c r="O99" s="1665"/>
      <c r="P99" s="1665"/>
      <c r="Q99" s="1665"/>
      <c r="R99" s="1665"/>
      <c r="S99" s="1665"/>
      <c r="T99" s="1665"/>
      <c r="U99" s="1665"/>
      <c r="V99" s="1665"/>
      <c r="W99" s="1665"/>
      <c r="Y99" s="1184"/>
      <c r="Z99" s="1660"/>
      <c r="AA99" s="1660"/>
      <c r="AB99" s="1184"/>
      <c r="AC99" s="1184"/>
      <c r="AD99" s="1184"/>
      <c r="AE99" s="1184"/>
      <c r="AF99" s="1660"/>
      <c r="AG99" s="1184"/>
      <c r="AH99" s="1184"/>
      <c r="AI99" s="568"/>
      <c r="AJ99" s="1184"/>
      <c r="AK99" s="1184"/>
      <c r="AL99" s="1184"/>
      <c r="AM99" s="1184"/>
      <c r="AN99" s="1184"/>
      <c r="AO99" s="1656"/>
      <c r="AP99" s="590"/>
      <c r="AQ99" s="590"/>
      <c r="AR99" s="590"/>
      <c r="AS99" s="590"/>
      <c r="AT99" s="1665">
        <v>11</v>
      </c>
    </row>
    <row s="1665" customFormat="1" customHeight="1" ht="11.549999999999999">
      <c r="A100" s="1011"/>
      <c r="B100" s="1660"/>
      <c r="C100" s="1660"/>
      <c r="D100" s="375"/>
      <c r="J100" s="1665"/>
      <c r="K100" s="1665"/>
      <c r="L100" s="1665"/>
      <c r="M100" s="1665"/>
      <c r="N100" s="1665"/>
      <c r="O100" s="1665"/>
      <c r="P100" s="1665"/>
      <c r="Q100" s="1665"/>
      <c r="R100" s="1665"/>
      <c r="S100" s="1665"/>
      <c r="T100" s="1665"/>
      <c r="U100" s="1665"/>
      <c r="V100" s="1665"/>
      <c r="W100" s="1665"/>
      <c r="Y100" s="1184"/>
      <c r="Z100" s="1660"/>
      <c r="AA100" s="1660"/>
      <c r="AB100" s="1184"/>
      <c r="AC100" s="1184"/>
      <c r="AD100" s="1184"/>
      <c r="AE100" s="1184"/>
      <c r="AF100" s="1660"/>
      <c r="AG100" s="1184"/>
      <c r="AH100" s="1184"/>
      <c r="AI100" s="568"/>
      <c r="AJ100" s="1184"/>
      <c r="AK100" s="1184"/>
      <c r="AL100" s="1184"/>
      <c r="AM100" s="1184"/>
      <c r="AN100" s="1184"/>
      <c r="AO100" s="1656"/>
      <c r="AP100" s="590"/>
      <c r="AQ100" s="590"/>
      <c r="AR100" s="590"/>
      <c r="AS100" s="590"/>
      <c r="AT100" s="1665">
        <v>11</v>
      </c>
    </row>
    <row s="1665" customFormat="1" customHeight="1" ht="11.549999999999999">
      <c r="A101" s="1011"/>
      <c r="B101" s="1660"/>
      <c r="C101" s="1660"/>
      <c r="D101" s="375"/>
      <c r="J101" s="1665"/>
      <c r="K101" s="1665"/>
      <c r="L101" s="1665"/>
      <c r="M101" s="1665"/>
      <c r="N101" s="1665"/>
      <c r="O101" s="1665"/>
      <c r="P101" s="1665"/>
      <c r="Q101" s="1665"/>
      <c r="R101" s="1665"/>
      <c r="S101" s="1665"/>
      <c r="T101" s="1665"/>
      <c r="U101" s="1665"/>
      <c r="V101" s="1665"/>
      <c r="W101" s="1665"/>
      <c r="Y101" s="1184"/>
      <c r="Z101" s="1660"/>
      <c r="AA101" s="1660"/>
      <c r="AB101" s="1184"/>
      <c r="AC101" s="1184"/>
      <c r="AD101" s="1184"/>
      <c r="AE101" s="1184"/>
      <c r="AF101" s="1660"/>
      <c r="AG101" s="1184"/>
      <c r="AH101" s="1184"/>
      <c r="AI101" s="568"/>
      <c r="AJ101" s="1184"/>
      <c r="AK101" s="1184"/>
      <c r="AL101" s="1184"/>
      <c r="AM101" s="1184"/>
      <c r="AN101" s="1184"/>
      <c r="AO101" s="1656"/>
      <c r="AP101" s="590"/>
      <c r="AQ101" s="590"/>
      <c r="AR101" s="590"/>
      <c r="AS101" s="590"/>
      <c r="AT101" s="1665">
        <v>11</v>
      </c>
    </row>
    <row s="1665" customFormat="1" customHeight="1" ht="11.549999999999999">
      <c r="A102" s="1011"/>
      <c r="B102" s="1660"/>
      <c r="C102" s="1660"/>
      <c r="D102" s="375"/>
      <c r="J102" s="1665"/>
      <c r="K102" s="1665"/>
      <c r="L102" s="1665"/>
      <c r="M102" s="1665"/>
      <c r="N102" s="1665"/>
      <c r="O102" s="1665"/>
      <c r="P102" s="1665"/>
      <c r="Q102" s="1665"/>
      <c r="R102" s="1665"/>
      <c r="S102" s="1665"/>
      <c r="T102" s="1665"/>
      <c r="U102" s="1665"/>
      <c r="V102" s="1665"/>
      <c r="W102" s="1665"/>
      <c r="Y102" s="1184"/>
      <c r="Z102" s="1660"/>
      <c r="AA102" s="1660"/>
      <c r="AB102" s="1184"/>
      <c r="AC102" s="1184"/>
      <c r="AD102" s="1184"/>
      <c r="AE102" s="1184"/>
      <c r="AF102" s="1660"/>
      <c r="AG102" s="1184"/>
      <c r="AH102" s="1184"/>
      <c r="AI102" s="568"/>
      <c r="AJ102" s="1184"/>
      <c r="AK102" s="1184"/>
      <c r="AL102" s="1184"/>
      <c r="AM102" s="1184"/>
      <c r="AN102" s="1184"/>
      <c r="AO102" s="1656"/>
      <c r="AP102" s="590"/>
      <c r="AQ102" s="590"/>
      <c r="AR102" s="590"/>
      <c r="AS102" s="590"/>
      <c r="AT102" s="1665">
        <v>11</v>
      </c>
    </row>
    <row s="1665" customFormat="1" customHeight="1" ht="11.549999999999999">
      <c r="A103" s="1011"/>
      <c r="B103" s="1660"/>
      <c r="C103" s="1660"/>
      <c r="D103" s="375"/>
      <c r="J103" s="1665"/>
      <c r="K103" s="1665"/>
      <c r="L103" s="1665"/>
      <c r="M103" s="1665"/>
      <c r="N103" s="1665"/>
      <c r="O103" s="1665"/>
      <c r="P103" s="1665"/>
      <c r="Q103" s="1665"/>
      <c r="R103" s="1665"/>
      <c r="S103" s="1665"/>
      <c r="T103" s="1665"/>
      <c r="U103" s="1665"/>
      <c r="V103" s="1665"/>
      <c r="W103" s="1665"/>
      <c r="Y103" s="1184"/>
      <c r="Z103" s="1660"/>
      <c r="AA103" s="1660"/>
      <c r="AB103" s="1184"/>
      <c r="AC103" s="1184"/>
      <c r="AD103" s="1184"/>
      <c r="AE103" s="1184"/>
      <c r="AF103" s="1660"/>
      <c r="AG103" s="1184"/>
      <c r="AH103" s="1184"/>
      <c r="AI103" s="568"/>
      <c r="AJ103" s="1184"/>
      <c r="AK103" s="1184"/>
      <c r="AL103" s="1184"/>
      <c r="AM103" s="1184"/>
      <c r="AN103" s="1184"/>
      <c r="AO103" s="1656"/>
      <c r="AP103" s="590"/>
      <c r="AQ103" s="590"/>
      <c r="AR103" s="590"/>
      <c r="AS103" s="590"/>
      <c r="AT103" s="1665">
        <v>11</v>
      </c>
    </row>
    <row s="1665" customFormat="1" customHeight="1" ht="11.549999999999999">
      <c r="A104" s="1011"/>
      <c r="B104" s="1660"/>
      <c r="C104" s="1660"/>
      <c r="D104" s="375"/>
      <c r="J104" s="1665"/>
      <c r="K104" s="1665"/>
      <c r="L104" s="1665"/>
      <c r="M104" s="1665"/>
      <c r="N104" s="1665"/>
      <c r="O104" s="1665"/>
      <c r="P104" s="1665"/>
      <c r="Q104" s="1665"/>
      <c r="R104" s="1665"/>
      <c r="S104" s="1665"/>
      <c r="T104" s="1665"/>
      <c r="U104" s="1665"/>
      <c r="V104" s="1665"/>
      <c r="W104" s="1665"/>
      <c r="Y104" s="1184"/>
      <c r="Z104" s="1660"/>
      <c r="AA104" s="1660"/>
      <c r="AB104" s="1184"/>
      <c r="AC104" s="1184"/>
      <c r="AD104" s="1184"/>
      <c r="AE104" s="1184"/>
      <c r="AF104" s="1660"/>
      <c r="AG104" s="1184"/>
      <c r="AH104" s="1184"/>
      <c r="AI104" s="568"/>
      <c r="AJ104" s="1184"/>
      <c r="AK104" s="1184"/>
      <c r="AL104" s="1184"/>
      <c r="AM104" s="1184"/>
      <c r="AN104" s="1184"/>
      <c r="AO104" s="1656"/>
      <c r="AP104" s="590"/>
      <c r="AQ104" s="590"/>
      <c r="AR104" s="590"/>
      <c r="AS104" s="590"/>
      <c r="AT104" s="1665">
        <v>11</v>
      </c>
    </row>
    <row s="1665" customFormat="1" customHeight="1" ht="11.549999999999999">
      <c r="A105" s="1011"/>
      <c r="B105" s="1660"/>
      <c r="C105" s="1660"/>
      <c r="D105" s="375"/>
      <c r="J105" s="1665"/>
      <c r="K105" s="1665"/>
      <c r="L105" s="1665"/>
      <c r="M105" s="1665"/>
      <c r="N105" s="1665"/>
      <c r="O105" s="1665"/>
      <c r="P105" s="1665"/>
      <c r="Q105" s="1665"/>
      <c r="R105" s="1665"/>
      <c r="S105" s="1665"/>
      <c r="T105" s="1665"/>
      <c r="U105" s="1665"/>
      <c r="V105" s="1665"/>
      <c r="W105" s="1665"/>
      <c r="Y105" s="1184"/>
      <c r="Z105" s="1660"/>
      <c r="AA105" s="1660"/>
      <c r="AB105" s="1184"/>
      <c r="AC105" s="1184"/>
      <c r="AD105" s="1184"/>
      <c r="AE105" s="1184"/>
      <c r="AF105" s="1660"/>
      <c r="AG105" s="1184"/>
      <c r="AH105" s="1184"/>
      <c r="AI105" s="568"/>
      <c r="AJ105" s="1184"/>
      <c r="AK105" s="1184"/>
      <c r="AL105" s="1184"/>
      <c r="AM105" s="1184"/>
      <c r="AN105" s="1184"/>
      <c r="AO105" s="1656"/>
      <c r="AP105" s="590"/>
      <c r="AQ105" s="590"/>
      <c r="AR105" s="590"/>
      <c r="AS105" s="590"/>
      <c r="AT105" s="1665">
        <v>11</v>
      </c>
    </row>
    <row s="1665" customFormat="1" customHeight="1" ht="11.549999999999999">
      <c r="A106" s="1011"/>
      <c r="B106" s="1660"/>
      <c r="C106" s="1660"/>
      <c r="D106" s="375"/>
      <c r="J106" s="1665"/>
      <c r="K106" s="1665"/>
      <c r="L106" s="1665"/>
      <c r="M106" s="1665"/>
      <c r="N106" s="1665"/>
      <c r="O106" s="1665"/>
      <c r="P106" s="1665"/>
      <c r="Q106" s="1665"/>
      <c r="R106" s="1665"/>
      <c r="S106" s="1665"/>
      <c r="T106" s="1665"/>
      <c r="U106" s="1665"/>
      <c r="V106" s="1665"/>
      <c r="W106" s="1665"/>
      <c r="Y106" s="1184"/>
      <c r="Z106" s="1660"/>
      <c r="AA106" s="1660"/>
      <c r="AB106" s="1184"/>
      <c r="AC106" s="1184"/>
      <c r="AD106" s="1184"/>
      <c r="AE106" s="1184"/>
      <c r="AF106" s="1660"/>
      <c r="AG106" s="1184"/>
      <c r="AH106" s="1184"/>
      <c r="AI106" s="568"/>
      <c r="AJ106" s="1184"/>
      <c r="AK106" s="1184"/>
      <c r="AL106" s="1184"/>
      <c r="AM106" s="1184"/>
      <c r="AN106" s="1184"/>
      <c r="AO106" s="1656"/>
      <c r="AP106" s="590"/>
      <c r="AQ106" s="590"/>
      <c r="AR106" s="590"/>
      <c r="AS106" s="590"/>
      <c r="AT106" s="1665">
        <v>11</v>
      </c>
    </row>
    <row s="1665" customFormat="1" customHeight="1" ht="11.549999999999999">
      <c r="A107" s="1011"/>
      <c r="B107" s="1660"/>
      <c r="C107" s="1660"/>
      <c r="D107" s="375"/>
      <c r="J107" s="1665"/>
      <c r="K107" s="1665"/>
      <c r="L107" s="1665"/>
      <c r="M107" s="1665"/>
      <c r="N107" s="1665"/>
      <c r="O107" s="1665"/>
      <c r="P107" s="1665"/>
      <c r="Q107" s="1665"/>
      <c r="R107" s="1665"/>
      <c r="S107" s="1665"/>
      <c r="T107" s="1665"/>
      <c r="U107" s="1665"/>
      <c r="V107" s="1665"/>
      <c r="W107" s="1665"/>
      <c r="Y107" s="1184"/>
      <c r="Z107" s="1660"/>
      <c r="AA107" s="1660"/>
      <c r="AB107" s="1184"/>
      <c r="AC107" s="1184"/>
      <c r="AD107" s="1184"/>
      <c r="AE107" s="1184"/>
      <c r="AF107" s="1660"/>
      <c r="AG107" s="1184"/>
      <c r="AH107" s="1184"/>
      <c r="AI107" s="568"/>
      <c r="AJ107" s="1184"/>
      <c r="AK107" s="1184"/>
      <c r="AL107" s="1184"/>
      <c r="AM107" s="1184"/>
      <c r="AN107" s="1184"/>
      <c r="AO107" s="1656"/>
      <c r="AP107" s="590"/>
      <c r="AQ107" s="590"/>
      <c r="AR107" s="590"/>
      <c r="AS107" s="590"/>
      <c r="AT107" s="1665">
        <v>11</v>
      </c>
    </row>
    <row s="1665" customFormat="1" customHeight="1" ht="11.549999999999999">
      <c r="A108" s="1011"/>
      <c r="B108" s="1660"/>
      <c r="C108" s="1660"/>
      <c r="D108" s="375"/>
      <c r="J108" s="1665"/>
      <c r="K108" s="1665"/>
      <c r="L108" s="1665"/>
      <c r="M108" s="1665"/>
      <c r="N108" s="1665"/>
      <c r="O108" s="1665"/>
      <c r="P108" s="1665"/>
      <c r="Q108" s="1665"/>
      <c r="R108" s="1665"/>
      <c r="S108" s="1665"/>
      <c r="T108" s="1665"/>
      <c r="U108" s="1665"/>
      <c r="V108" s="1665"/>
      <c r="W108" s="1665"/>
      <c r="Y108" s="1184"/>
      <c r="Z108" s="1660"/>
      <c r="AA108" s="1660"/>
      <c r="AB108" s="1184"/>
      <c r="AC108" s="1184"/>
      <c r="AD108" s="1184"/>
      <c r="AE108" s="1184"/>
      <c r="AF108" s="1660"/>
      <c r="AG108" s="1184"/>
      <c r="AH108" s="1184"/>
      <c r="AI108" s="568"/>
      <c r="AJ108" s="1184"/>
      <c r="AK108" s="1184"/>
      <c r="AL108" s="1184"/>
      <c r="AM108" s="1184"/>
      <c r="AN108" s="1184"/>
      <c r="AO108" s="1656"/>
      <c r="AP108" s="590"/>
      <c r="AQ108" s="590"/>
      <c r="AR108" s="590"/>
      <c r="AS108" s="590"/>
      <c r="AT108" s="1665">
        <v>11</v>
      </c>
    </row>
    <row s="1665" customFormat="1" customHeight="1" ht="11.549999999999999">
      <c r="A109" s="1011"/>
      <c r="B109" s="1660"/>
      <c r="C109" s="1660"/>
      <c r="D109" s="375"/>
      <c r="J109" s="1665"/>
      <c r="K109" s="1665"/>
      <c r="L109" s="1665"/>
      <c r="M109" s="1665"/>
      <c r="N109" s="1665"/>
      <c r="O109" s="1665"/>
      <c r="P109" s="1665"/>
      <c r="Q109" s="1665"/>
      <c r="R109" s="1665"/>
      <c r="S109" s="1665"/>
      <c r="T109" s="1665"/>
      <c r="U109" s="1665"/>
      <c r="V109" s="1665"/>
      <c r="W109" s="1665"/>
      <c r="Y109" s="1184"/>
      <c r="Z109" s="1660"/>
      <c r="AA109" s="1660"/>
      <c r="AB109" s="1184"/>
      <c r="AC109" s="1184"/>
      <c r="AD109" s="1184"/>
      <c r="AE109" s="1184"/>
      <c r="AF109" s="1660"/>
      <c r="AG109" s="1184"/>
      <c r="AH109" s="1184"/>
      <c r="AI109" s="568"/>
      <c r="AJ109" s="1184"/>
      <c r="AK109" s="1184"/>
      <c r="AL109" s="1184"/>
      <c r="AM109" s="1184"/>
      <c r="AN109" s="1184"/>
      <c r="AO109" s="1656"/>
      <c r="AP109" s="590"/>
      <c r="AQ109" s="590"/>
      <c r="AR109" s="590"/>
      <c r="AS109" s="590"/>
      <c r="AT109" s="1665">
        <v>11</v>
      </c>
    </row>
    <row s="1665" customFormat="1" customHeight="1" ht="11.549999999999999">
      <c r="A110" s="1011"/>
      <c r="B110" s="1660"/>
      <c r="C110" s="1660"/>
      <c r="D110" s="375"/>
      <c r="J110" s="1665"/>
      <c r="K110" s="1665"/>
      <c r="L110" s="1665"/>
      <c r="M110" s="1665"/>
      <c r="N110" s="1665"/>
      <c r="O110" s="1665"/>
      <c r="P110" s="1665"/>
      <c r="Q110" s="1665"/>
      <c r="R110" s="1665"/>
      <c r="S110" s="1665"/>
      <c r="T110" s="1665"/>
      <c r="U110" s="1665"/>
      <c r="V110" s="1665"/>
      <c r="W110" s="1665"/>
      <c r="Y110" s="1184"/>
      <c r="Z110" s="1660"/>
      <c r="AA110" s="1660"/>
      <c r="AB110" s="1184"/>
      <c r="AC110" s="1184"/>
      <c r="AD110" s="1184"/>
      <c r="AE110" s="1184"/>
      <c r="AF110" s="1660"/>
      <c r="AG110" s="1184"/>
      <c r="AH110" s="1184"/>
      <c r="AI110" s="568"/>
      <c r="AJ110" s="1184"/>
      <c r="AK110" s="1184"/>
      <c r="AL110" s="1184"/>
      <c r="AM110" s="1184"/>
      <c r="AN110" s="1184"/>
      <c r="AO110" s="1656"/>
      <c r="AP110" s="590"/>
      <c r="AQ110" s="590"/>
      <c r="AR110" s="590"/>
      <c r="AS110" s="590"/>
      <c r="AT110" s="1665">
        <v>11</v>
      </c>
    </row>
    <row s="1665" customFormat="1" customHeight="1" ht="11.549999999999999">
      <c r="A111" s="1011"/>
      <c r="B111" s="1660"/>
      <c r="C111" s="1660"/>
      <c r="D111" s="375"/>
      <c r="J111" s="1665"/>
      <c r="K111" s="1665"/>
      <c r="L111" s="1665"/>
      <c r="M111" s="1665"/>
      <c r="N111" s="1665"/>
      <c r="O111" s="1665"/>
      <c r="P111" s="1665"/>
      <c r="Q111" s="1665"/>
      <c r="R111" s="1665"/>
      <c r="S111" s="1665"/>
      <c r="T111" s="1665"/>
      <c r="U111" s="1665"/>
      <c r="V111" s="1665"/>
      <c r="W111" s="1665"/>
      <c r="Y111" s="1184"/>
      <c r="Z111" s="1660"/>
      <c r="AA111" s="1660"/>
      <c r="AB111" s="1184"/>
      <c r="AC111" s="1184"/>
      <c r="AD111" s="1184"/>
      <c r="AE111" s="1184"/>
      <c r="AF111" s="1660"/>
      <c r="AG111" s="1184"/>
      <c r="AH111" s="1184"/>
      <c r="AI111" s="568"/>
      <c r="AJ111" s="1184"/>
      <c r="AK111" s="1184"/>
      <c r="AL111" s="1184"/>
      <c r="AM111" s="1184"/>
      <c r="AN111" s="1184"/>
      <c r="AO111" s="1656"/>
      <c r="AP111" s="590"/>
      <c r="AQ111" s="590"/>
      <c r="AR111" s="590"/>
      <c r="AS111" s="590"/>
      <c r="AT111" s="1665">
        <v>11</v>
      </c>
    </row>
    <row s="1665" customFormat="1" customHeight="1" ht="11.549999999999999">
      <c r="A112" s="1011"/>
      <c r="B112" s="1660"/>
      <c r="C112" s="1660"/>
      <c r="D112" s="375"/>
      <c r="J112" s="1665"/>
      <c r="K112" s="1665"/>
      <c r="L112" s="1665"/>
      <c r="M112" s="1665"/>
      <c r="N112" s="1665"/>
      <c r="O112" s="1665"/>
      <c r="P112" s="1665"/>
      <c r="Q112" s="1665"/>
      <c r="R112" s="1665"/>
      <c r="S112" s="1665"/>
      <c r="T112" s="1665"/>
      <c r="U112" s="1665"/>
      <c r="V112" s="1665"/>
      <c r="W112" s="1665"/>
      <c r="Y112" s="1184"/>
      <c r="Z112" s="1660"/>
      <c r="AA112" s="1660"/>
      <c r="AB112" s="1184"/>
      <c r="AC112" s="1184"/>
      <c r="AD112" s="1184"/>
      <c r="AE112" s="1184"/>
      <c r="AF112" s="1660"/>
      <c r="AG112" s="1184"/>
      <c r="AH112" s="1184"/>
      <c r="AI112" s="568"/>
      <c r="AJ112" s="1184"/>
      <c r="AK112" s="1184"/>
      <c r="AL112" s="1184"/>
      <c r="AM112" s="1184"/>
      <c r="AN112" s="1184"/>
      <c r="AO112" s="1656"/>
      <c r="AP112" s="590"/>
      <c r="AQ112" s="590"/>
      <c r="AR112" s="590"/>
      <c r="AS112" s="590"/>
      <c r="AT112" s="1665">
        <v>11</v>
      </c>
    </row>
    <row s="1665" customFormat="1" customHeight="1" ht="11.549999999999999">
      <c r="A113" s="1011"/>
      <c r="B113" s="1660"/>
      <c r="C113" s="1660"/>
      <c r="D113" s="375"/>
      <c r="J113" s="1665"/>
      <c r="K113" s="1665"/>
      <c r="L113" s="1665"/>
      <c r="M113" s="1665"/>
      <c r="N113" s="1665"/>
      <c r="O113" s="1665"/>
      <c r="P113" s="1665"/>
      <c r="Q113" s="1665"/>
      <c r="R113" s="1665"/>
      <c r="S113" s="1665"/>
      <c r="T113" s="1665"/>
      <c r="U113" s="1665"/>
      <c r="V113" s="1665"/>
      <c r="W113" s="1665"/>
      <c r="Y113" s="1184"/>
      <c r="Z113" s="1660"/>
      <c r="AA113" s="1660"/>
      <c r="AB113" s="1184"/>
      <c r="AC113" s="1184"/>
      <c r="AD113" s="1184"/>
      <c r="AE113" s="1184"/>
      <c r="AF113" s="1660"/>
      <c r="AG113" s="1184"/>
      <c r="AH113" s="1184"/>
      <c r="AI113" s="568"/>
      <c r="AJ113" s="1184"/>
      <c r="AK113" s="1184"/>
      <c r="AL113" s="1184"/>
      <c r="AM113" s="1184"/>
      <c r="AN113" s="1184"/>
      <c r="AO113" s="1656"/>
      <c r="AP113" s="590"/>
      <c r="AQ113" s="590"/>
      <c r="AR113" s="590"/>
      <c r="AS113" s="590"/>
      <c r="AT113" s="1665">
        <v>11</v>
      </c>
    </row>
    <row s="1665" customFormat="1" customHeight="1" ht="11.549999999999999">
      <c r="A114" s="1011"/>
      <c r="B114" s="1660"/>
      <c r="C114" s="1660"/>
      <c r="D114" s="375"/>
      <c r="J114" s="1665"/>
      <c r="K114" s="1665"/>
      <c r="L114" s="1665"/>
      <c r="M114" s="1665"/>
      <c r="N114" s="1665"/>
      <c r="O114" s="1665"/>
      <c r="P114" s="1665"/>
      <c r="Q114" s="1665"/>
      <c r="R114" s="1665"/>
      <c r="S114" s="1665"/>
      <c r="T114" s="1665"/>
      <c r="U114" s="1665"/>
      <c r="V114" s="1665"/>
      <c r="W114" s="1665"/>
      <c r="Y114" s="1184"/>
      <c r="Z114" s="1660"/>
      <c r="AA114" s="1660"/>
      <c r="AB114" s="1184"/>
      <c r="AC114" s="1184"/>
      <c r="AD114" s="1184"/>
      <c r="AE114" s="1184"/>
      <c r="AF114" s="1660"/>
      <c r="AG114" s="1184"/>
      <c r="AH114" s="1184"/>
      <c r="AI114" s="568"/>
      <c r="AJ114" s="1184"/>
      <c r="AK114" s="1184"/>
      <c r="AL114" s="1184"/>
      <c r="AM114" s="1184"/>
      <c r="AN114" s="1184"/>
      <c r="AO114" s="1656"/>
      <c r="AP114" s="590"/>
      <c r="AQ114" s="590"/>
      <c r="AR114" s="590"/>
      <c r="AS114" s="590"/>
      <c r="AT114" s="1665">
        <v>11</v>
      </c>
    </row>
    <row s="1665" customFormat="1" customHeight="1" ht="11.549999999999999">
      <c r="A115" s="1011"/>
      <c r="B115" s="1660"/>
      <c r="C115" s="1660"/>
      <c r="D115" s="375"/>
      <c r="J115" s="1665"/>
      <c r="K115" s="1665"/>
      <c r="L115" s="1665"/>
      <c r="M115" s="1665"/>
      <c r="N115" s="1665"/>
      <c r="O115" s="1665"/>
      <c r="P115" s="1665"/>
      <c r="Q115" s="1665"/>
      <c r="R115" s="1665"/>
      <c r="S115" s="1665"/>
      <c r="T115" s="1665"/>
      <c r="U115" s="1665"/>
      <c r="V115" s="1665"/>
      <c r="W115" s="1665"/>
      <c r="Y115" s="1184"/>
      <c r="Z115" s="1660"/>
      <c r="AA115" s="1660"/>
      <c r="AB115" s="1184"/>
      <c r="AC115" s="1184"/>
      <c r="AD115" s="1184"/>
      <c r="AE115" s="1184"/>
      <c r="AF115" s="1660"/>
      <c r="AG115" s="1184"/>
      <c r="AH115" s="1184"/>
      <c r="AI115" s="568"/>
      <c r="AJ115" s="1184"/>
      <c r="AK115" s="1184"/>
      <c r="AL115" s="1184"/>
      <c r="AM115" s="1184"/>
      <c r="AN115" s="1184"/>
      <c r="AO115" s="1656"/>
      <c r="AP115" s="590"/>
      <c r="AQ115" s="590"/>
      <c r="AR115" s="590"/>
      <c r="AS115" s="590"/>
      <c r="AT115" s="1665">
        <v>11</v>
      </c>
    </row>
    <row s="1665" customFormat="1" customHeight="1" ht="11.549999999999999">
      <c r="A116" s="1011"/>
      <c r="B116" s="1660"/>
      <c r="C116" s="1660"/>
      <c r="D116" s="375"/>
      <c r="J116" s="1665"/>
      <c r="K116" s="1665"/>
      <c r="L116" s="1665"/>
      <c r="M116" s="1665"/>
      <c r="N116" s="1665"/>
      <c r="O116" s="1665"/>
      <c r="P116" s="1665"/>
      <c r="Q116" s="1665"/>
      <c r="R116" s="1665"/>
      <c r="S116" s="1665"/>
      <c r="T116" s="1665"/>
      <c r="U116" s="1665"/>
      <c r="V116" s="1665"/>
      <c r="W116" s="1665"/>
      <c r="Y116" s="1184"/>
      <c r="Z116" s="1660"/>
      <c r="AA116" s="1660"/>
      <c r="AB116" s="1184"/>
      <c r="AC116" s="1184"/>
      <c r="AD116" s="1184"/>
      <c r="AE116" s="1184"/>
      <c r="AF116" s="1660"/>
      <c r="AG116" s="1184"/>
      <c r="AH116" s="1184"/>
      <c r="AI116" s="568"/>
      <c r="AJ116" s="1184"/>
      <c r="AK116" s="1184"/>
      <c r="AL116" s="1184"/>
      <c r="AM116" s="1184"/>
      <c r="AN116" s="1184"/>
      <c r="AO116" s="1656"/>
      <c r="AP116" s="590"/>
      <c r="AQ116" s="590"/>
      <c r="AR116" s="590"/>
      <c r="AS116" s="590"/>
      <c r="AT116" s="1665">
        <v>11</v>
      </c>
    </row>
    <row s="1665" customFormat="1" customHeight="1" ht="11.549999999999999">
      <c r="A117" s="1011"/>
      <c r="B117" s="1660"/>
      <c r="C117" s="1660"/>
      <c r="D117" s="375"/>
      <c r="J117" s="1665"/>
      <c r="K117" s="1665"/>
      <c r="L117" s="1665"/>
      <c r="M117" s="1665"/>
      <c r="N117" s="1665"/>
      <c r="O117" s="1665"/>
      <c r="P117" s="1665"/>
      <c r="Q117" s="1665"/>
      <c r="R117" s="1665"/>
      <c r="S117" s="1665"/>
      <c r="T117" s="1665"/>
      <c r="U117" s="1665"/>
      <c r="V117" s="1665"/>
      <c r="W117" s="1665"/>
      <c r="Y117" s="1184"/>
      <c r="Z117" s="1660"/>
      <c r="AA117" s="1660"/>
      <c r="AB117" s="1184"/>
      <c r="AC117" s="1184"/>
      <c r="AD117" s="1184"/>
      <c r="AE117" s="1184"/>
      <c r="AF117" s="1660"/>
      <c r="AG117" s="1184"/>
      <c r="AH117" s="1184"/>
      <c r="AI117" s="568"/>
      <c r="AJ117" s="1184"/>
      <c r="AK117" s="1184"/>
      <c r="AL117" s="1184"/>
      <c r="AM117" s="1184"/>
      <c r="AN117" s="1184"/>
      <c r="AO117" s="1656"/>
      <c r="AP117" s="590"/>
      <c r="AQ117" s="590"/>
      <c r="AR117" s="590"/>
      <c r="AS117" s="590"/>
      <c r="AT117" s="1665">
        <v>11</v>
      </c>
    </row>
    <row s="1665" customFormat="1" customHeight="1" ht="11.549999999999999">
      <c r="A118" s="1011"/>
      <c r="B118" s="1660"/>
      <c r="C118" s="1660"/>
      <c r="D118" s="375"/>
      <c r="J118" s="1665"/>
      <c r="K118" s="1665"/>
      <c r="L118" s="1665"/>
      <c r="M118" s="1665"/>
      <c r="N118" s="1665"/>
      <c r="O118" s="1665"/>
      <c r="P118" s="1665"/>
      <c r="Q118" s="1665"/>
      <c r="R118" s="1665"/>
      <c r="S118" s="1665"/>
      <c r="T118" s="1665"/>
      <c r="U118" s="1665"/>
      <c r="V118" s="1665"/>
      <c r="W118" s="1665"/>
      <c r="Y118" s="1184"/>
      <c r="Z118" s="1660"/>
      <c r="AA118" s="1660"/>
      <c r="AB118" s="1184"/>
      <c r="AC118" s="1184"/>
      <c r="AD118" s="1184"/>
      <c r="AE118" s="1184"/>
      <c r="AF118" s="1660"/>
      <c r="AG118" s="1184"/>
      <c r="AH118" s="1184"/>
      <c r="AI118" s="568"/>
      <c r="AJ118" s="1184"/>
      <c r="AK118" s="1184"/>
      <c r="AL118" s="1184"/>
      <c r="AM118" s="1184"/>
      <c r="AN118" s="1184"/>
      <c r="AO118" s="1656"/>
      <c r="AP118" s="590"/>
      <c r="AQ118" s="590"/>
      <c r="AR118" s="590"/>
      <c r="AS118" s="590"/>
      <c r="AT118" s="1665">
        <v>11</v>
      </c>
    </row>
    <row s="1665" customFormat="1" customHeight="1" ht="11.549999999999999">
      <c r="A119" s="1011"/>
      <c r="B119" s="1660"/>
      <c r="C119" s="1660"/>
      <c r="D119" s="375"/>
      <c r="J119" s="1665"/>
      <c r="K119" s="1665"/>
      <c r="L119" s="1665"/>
      <c r="M119" s="1665"/>
      <c r="N119" s="1665"/>
      <c r="O119" s="1665"/>
      <c r="P119" s="1665"/>
      <c r="Q119" s="1665"/>
      <c r="R119" s="1665"/>
      <c r="S119" s="1665"/>
      <c r="T119" s="1665"/>
      <c r="U119" s="1665"/>
      <c r="V119" s="1665"/>
      <c r="W119" s="1665"/>
      <c r="Y119" s="1184"/>
      <c r="Z119" s="1660"/>
      <c r="AA119" s="1660"/>
      <c r="AB119" s="1184"/>
      <c r="AC119" s="1184"/>
      <c r="AD119" s="1184"/>
      <c r="AE119" s="1184"/>
      <c r="AF119" s="1660"/>
      <c r="AG119" s="1184"/>
      <c r="AH119" s="1184"/>
      <c r="AI119" s="568"/>
      <c r="AJ119" s="1184"/>
      <c r="AK119" s="1184"/>
      <c r="AL119" s="1184"/>
      <c r="AM119" s="1184"/>
      <c r="AN119" s="1184"/>
      <c r="AO119" s="1656"/>
      <c r="AP119" s="590"/>
      <c r="AQ119" s="590"/>
      <c r="AR119" s="590"/>
      <c r="AS119" s="590"/>
      <c r="AT119" s="1665">
        <v>11</v>
      </c>
    </row>
    <row s="1665" customFormat="1" customHeight="1" ht="11.549999999999999">
      <c r="A120" s="1011"/>
      <c r="B120" s="1660"/>
      <c r="C120" s="1660"/>
      <c r="D120" s="375"/>
      <c r="J120" s="1665"/>
      <c r="K120" s="1665"/>
      <c r="L120" s="1665"/>
      <c r="M120" s="1665"/>
      <c r="N120" s="1665"/>
      <c r="O120" s="1665"/>
      <c r="P120" s="1665"/>
      <c r="Q120" s="1665"/>
      <c r="R120" s="1665"/>
      <c r="S120" s="1665"/>
      <c r="T120" s="1665"/>
      <c r="U120" s="1665"/>
      <c r="V120" s="1665"/>
      <c r="W120" s="1665"/>
      <c r="Y120" s="1184"/>
      <c r="Z120" s="1660"/>
      <c r="AA120" s="1660"/>
      <c r="AB120" s="1184"/>
      <c r="AC120" s="1184"/>
      <c r="AD120" s="1184"/>
      <c r="AE120" s="1184"/>
      <c r="AF120" s="1660"/>
      <c r="AG120" s="1184"/>
      <c r="AH120" s="1184"/>
      <c r="AI120" s="568"/>
      <c r="AJ120" s="1184"/>
      <c r="AK120" s="1184"/>
      <c r="AL120" s="1184"/>
      <c r="AM120" s="1184"/>
      <c r="AN120" s="1184"/>
      <c r="AO120" s="1656"/>
      <c r="AP120" s="590"/>
      <c r="AQ120" s="590"/>
      <c r="AR120" s="590"/>
      <c r="AS120" s="590"/>
      <c r="AT120" s="1665">
        <v>11</v>
      </c>
    </row>
    <row s="1665" customFormat="1" customHeight="1" ht="11.549999999999999">
      <c r="A121" s="1011"/>
      <c r="B121" s="1660"/>
      <c r="C121" s="1660"/>
      <c r="D121" s="375"/>
      <c r="J121" s="1665"/>
      <c r="K121" s="1665"/>
      <c r="L121" s="1665"/>
      <c r="M121" s="1665"/>
      <c r="N121" s="1665"/>
      <c r="O121" s="1665"/>
      <c r="P121" s="1665"/>
      <c r="Q121" s="1665"/>
      <c r="R121" s="1665"/>
      <c r="S121" s="1665"/>
      <c r="T121" s="1665"/>
      <c r="U121" s="1665"/>
      <c r="V121" s="1665"/>
      <c r="W121" s="1665"/>
      <c r="Y121" s="1184"/>
      <c r="Z121" s="1660"/>
      <c r="AA121" s="1660"/>
      <c r="AB121" s="1184"/>
      <c r="AC121" s="1184"/>
      <c r="AD121" s="1184"/>
      <c r="AE121" s="1184"/>
      <c r="AF121" s="1660"/>
      <c r="AG121" s="1184"/>
      <c r="AH121" s="1184"/>
      <c r="AI121" s="568"/>
      <c r="AJ121" s="1184"/>
      <c r="AK121" s="1184"/>
      <c r="AL121" s="1184"/>
      <c r="AM121" s="1184"/>
      <c r="AN121" s="1184"/>
      <c r="AO121" s="1656"/>
      <c r="AP121" s="590"/>
      <c r="AQ121" s="590"/>
      <c r="AR121" s="590"/>
      <c r="AS121" s="590"/>
      <c r="AT121" s="1665">
        <v>11</v>
      </c>
    </row>
    <row s="1665" customFormat="1" customHeight="1" ht="11.549999999999999">
      <c r="A122" s="1011"/>
      <c r="B122" s="1660"/>
      <c r="C122" s="1660"/>
      <c r="D122" s="375"/>
      <c r="J122" s="1665"/>
      <c r="K122" s="1665"/>
      <c r="L122" s="1665"/>
      <c r="M122" s="1665"/>
      <c r="N122" s="1665"/>
      <c r="O122" s="1665"/>
      <c r="P122" s="1665"/>
      <c r="Q122" s="1665"/>
      <c r="R122" s="1665"/>
      <c r="S122" s="1665"/>
      <c r="T122" s="1665"/>
      <c r="U122" s="1665"/>
      <c r="V122" s="1665"/>
      <c r="W122" s="1665"/>
      <c r="Y122" s="1184"/>
      <c r="Z122" s="1660"/>
      <c r="AA122" s="1660"/>
      <c r="AB122" s="1184"/>
      <c r="AC122" s="1184"/>
      <c r="AD122" s="1184"/>
      <c r="AE122" s="1184"/>
      <c r="AF122" s="1660"/>
      <c r="AG122" s="1184"/>
      <c r="AH122" s="1184"/>
      <c r="AI122" s="568"/>
      <c r="AJ122" s="1184"/>
      <c r="AK122" s="1184"/>
      <c r="AL122" s="1184"/>
      <c r="AM122" s="1184"/>
      <c r="AN122" s="1184"/>
      <c r="AO122" s="1656"/>
      <c r="AP122" s="590"/>
      <c r="AQ122" s="590"/>
      <c r="AR122" s="590"/>
      <c r="AS122" s="590"/>
      <c r="AT122" s="1665">
        <v>11</v>
      </c>
    </row>
    <row s="1665" customFormat="1" customHeight="1" ht="11.549999999999999">
      <c r="A123" s="1011"/>
      <c r="B123" s="1660"/>
      <c r="C123" s="1660"/>
      <c r="D123" s="375"/>
      <c r="J123" s="1665"/>
      <c r="K123" s="1665"/>
      <c r="L123" s="1665"/>
      <c r="M123" s="1665"/>
      <c r="N123" s="1665"/>
      <c r="O123" s="1665"/>
      <c r="P123" s="1665"/>
      <c r="Q123" s="1665"/>
      <c r="R123" s="1665"/>
      <c r="S123" s="1665"/>
      <c r="T123" s="1665"/>
      <c r="U123" s="1665"/>
      <c r="V123" s="1665"/>
      <c r="W123" s="1665"/>
      <c r="Y123" s="1184"/>
      <c r="Z123" s="1660"/>
      <c r="AA123" s="1660"/>
      <c r="AB123" s="1184"/>
      <c r="AC123" s="1184"/>
      <c r="AD123" s="1184"/>
      <c r="AE123" s="1184"/>
      <c r="AF123" s="1660"/>
      <c r="AG123" s="1184"/>
      <c r="AH123" s="1184"/>
      <c r="AI123" s="568"/>
      <c r="AJ123" s="1184"/>
      <c r="AK123" s="1184"/>
      <c r="AL123" s="1184"/>
      <c r="AM123" s="1184"/>
      <c r="AN123" s="1184"/>
      <c r="AO123" s="1656"/>
      <c r="AP123" s="590"/>
      <c r="AQ123" s="590"/>
      <c r="AR123" s="590"/>
      <c r="AS123" s="590"/>
      <c r="AT123" s="1665">
        <v>11</v>
      </c>
    </row>
    <row s="1665" customFormat="1" customHeight="1" ht="11.549999999999999">
      <c r="A124" s="1011"/>
      <c r="B124" s="1660"/>
      <c r="C124" s="1660"/>
      <c r="D124" s="375"/>
      <c r="J124" s="1665"/>
      <c r="K124" s="1665"/>
      <c r="L124" s="1665"/>
      <c r="M124" s="1665"/>
      <c r="N124" s="1665"/>
      <c r="O124" s="1665"/>
      <c r="P124" s="1665"/>
      <c r="Q124" s="1665"/>
      <c r="R124" s="1665"/>
      <c r="S124" s="1665"/>
      <c r="T124" s="1665"/>
      <c r="U124" s="1665"/>
      <c r="V124" s="1665"/>
      <c r="W124" s="1665"/>
      <c r="Y124" s="1184"/>
      <c r="Z124" s="1660"/>
      <c r="AA124" s="1660"/>
      <c r="AB124" s="1184"/>
      <c r="AC124" s="1184"/>
      <c r="AD124" s="1184"/>
      <c r="AE124" s="1184"/>
      <c r="AF124" s="1660"/>
      <c r="AG124" s="1184"/>
      <c r="AH124" s="1184"/>
      <c r="AI124" s="568"/>
      <c r="AJ124" s="1184"/>
      <c r="AK124" s="1184"/>
      <c r="AL124" s="1184"/>
      <c r="AM124" s="1184"/>
      <c r="AN124" s="1184"/>
      <c r="AO124" s="1656"/>
      <c r="AP124" s="590"/>
      <c r="AQ124" s="590"/>
      <c r="AR124" s="590"/>
      <c r="AS124" s="590"/>
      <c r="AT124" s="1665">
        <v>11</v>
      </c>
    </row>
    <row s="1665" customFormat="1" customHeight="1" ht="11.549999999999999">
      <c r="A125" s="1011"/>
      <c r="B125" s="1660"/>
      <c r="C125" s="1660"/>
      <c r="D125" s="375"/>
      <c r="J125" s="1665"/>
      <c r="K125" s="1665"/>
      <c r="L125" s="1665"/>
      <c r="M125" s="1665"/>
      <c r="N125" s="1665"/>
      <c r="O125" s="1665"/>
      <c r="P125" s="1665"/>
      <c r="Q125" s="1665"/>
      <c r="R125" s="1665"/>
      <c r="S125" s="1665"/>
      <c r="T125" s="1665"/>
      <c r="U125" s="1665"/>
      <c r="V125" s="1665"/>
      <c r="W125" s="1665"/>
      <c r="Y125" s="1184"/>
      <c r="Z125" s="1660"/>
      <c r="AA125" s="1660"/>
      <c r="AB125" s="1184"/>
      <c r="AC125" s="1184"/>
      <c r="AD125" s="1184"/>
      <c r="AE125" s="1184"/>
      <c r="AF125" s="1660"/>
      <c r="AG125" s="1184"/>
      <c r="AH125" s="1184"/>
      <c r="AI125" s="568"/>
      <c r="AJ125" s="1184"/>
      <c r="AK125" s="1184"/>
      <c r="AL125" s="1184"/>
      <c r="AM125" s="1184"/>
      <c r="AN125" s="1184"/>
      <c r="AO125" s="1656"/>
      <c r="AP125" s="590"/>
      <c r="AQ125" s="590"/>
      <c r="AR125" s="590"/>
      <c r="AS125" s="590"/>
      <c r="AT125" s="1665">
        <v>11</v>
      </c>
    </row>
    <row s="1665" customFormat="1" customHeight="1" ht="11.549999999999999">
      <c r="A126" s="1011"/>
      <c r="B126" s="1660"/>
      <c r="C126" s="1660"/>
      <c r="D126" s="375"/>
      <c r="J126" s="1665"/>
      <c r="K126" s="1665"/>
      <c r="L126" s="1665"/>
      <c r="M126" s="1665"/>
      <c r="N126" s="1665"/>
      <c r="O126" s="1665"/>
      <c r="P126" s="1665"/>
      <c r="Q126" s="1665"/>
      <c r="R126" s="1665"/>
      <c r="S126" s="1665"/>
      <c r="T126" s="1665"/>
      <c r="U126" s="1665"/>
      <c r="V126" s="1665"/>
      <c r="W126" s="1665"/>
      <c r="Y126" s="1184"/>
      <c r="Z126" s="1660"/>
      <c r="AA126" s="1660"/>
      <c r="AB126" s="1184"/>
      <c r="AC126" s="1184"/>
      <c r="AD126" s="1184"/>
      <c r="AE126" s="1184"/>
      <c r="AF126" s="1660"/>
      <c r="AG126" s="1184"/>
      <c r="AH126" s="1184"/>
      <c r="AI126" s="568"/>
      <c r="AJ126" s="1184"/>
      <c r="AK126" s="1184"/>
      <c r="AL126" s="1184"/>
      <c r="AM126" s="1184"/>
      <c r="AN126" s="1184"/>
      <c r="AO126" s="1656"/>
      <c r="AP126" s="590"/>
      <c r="AQ126" s="590"/>
      <c r="AR126" s="590"/>
      <c r="AS126" s="590"/>
      <c r="AT126" s="1665">
        <v>11</v>
      </c>
    </row>
    <row s="1665" customFormat="1" customHeight="1" ht="11.549999999999999">
      <c r="A127" s="1011"/>
      <c r="B127" s="1660"/>
      <c r="C127" s="1660"/>
      <c r="D127" s="375"/>
      <c r="J127" s="1665"/>
      <c r="K127" s="1665"/>
      <c r="L127" s="1665"/>
      <c r="M127" s="1665"/>
      <c r="N127" s="1665"/>
      <c r="O127" s="1665"/>
      <c r="P127" s="1665"/>
      <c r="Q127" s="1665"/>
      <c r="R127" s="1665"/>
      <c r="S127" s="1665"/>
      <c r="T127" s="1665"/>
      <c r="U127" s="1665"/>
      <c r="V127" s="1665"/>
      <c r="W127" s="1665"/>
      <c r="Y127" s="1184"/>
      <c r="Z127" s="1660"/>
      <c r="AA127" s="1660"/>
      <c r="AB127" s="1184"/>
      <c r="AC127" s="1184"/>
      <c r="AD127" s="1184"/>
      <c r="AE127" s="1184"/>
      <c r="AF127" s="1660"/>
      <c r="AG127" s="1184"/>
      <c r="AH127" s="1184"/>
      <c r="AI127" s="568"/>
      <c r="AJ127" s="1184"/>
      <c r="AK127" s="1184"/>
      <c r="AL127" s="1184"/>
      <c r="AM127" s="1184"/>
      <c r="AN127" s="1184"/>
      <c r="AO127" s="1656"/>
      <c r="AP127" s="590"/>
      <c r="AQ127" s="590"/>
      <c r="AR127" s="590"/>
      <c r="AS127" s="590"/>
      <c r="AT127" s="1665">
        <v>11</v>
      </c>
    </row>
    <row s="1665" customFormat="1" customHeight="1" ht="11.549999999999999">
      <c r="A128" s="1011"/>
      <c r="B128" s="1660"/>
      <c r="C128" s="1660"/>
      <c r="D128" s="375"/>
      <c r="J128" s="1665"/>
      <c r="K128" s="1665"/>
      <c r="L128" s="1665"/>
      <c r="M128" s="1665"/>
      <c r="N128" s="1665"/>
      <c r="O128" s="1665"/>
      <c r="P128" s="1665"/>
      <c r="Q128" s="1665"/>
      <c r="R128" s="1665"/>
      <c r="S128" s="1665"/>
      <c r="T128" s="1665"/>
      <c r="U128" s="1665"/>
      <c r="V128" s="1665"/>
      <c r="W128" s="1665"/>
      <c r="Y128" s="1184"/>
      <c r="Z128" s="1660"/>
      <c r="AA128" s="1660"/>
      <c r="AB128" s="1184"/>
      <c r="AC128" s="1184"/>
      <c r="AD128" s="1184"/>
      <c r="AE128" s="1184"/>
      <c r="AF128" s="1660"/>
      <c r="AG128" s="1184"/>
      <c r="AH128" s="1184"/>
      <c r="AI128" s="568"/>
      <c r="AJ128" s="1184"/>
      <c r="AK128" s="1184"/>
      <c r="AL128" s="1184"/>
      <c r="AM128" s="1184"/>
      <c r="AN128" s="1184"/>
      <c r="AO128" s="1656"/>
      <c r="AP128" s="590"/>
      <c r="AQ128" s="590"/>
      <c r="AR128" s="590"/>
      <c r="AS128" s="590"/>
      <c r="AT128" s="1665">
        <v>11</v>
      </c>
    </row>
    <row s="1665" customFormat="1" customHeight="1" ht="11.549999999999999">
      <c r="A129" s="1011"/>
      <c r="B129" s="1660"/>
      <c r="C129" s="1660"/>
      <c r="D129" s="375"/>
      <c r="J129" s="1665"/>
      <c r="K129" s="1665"/>
      <c r="L129" s="1665"/>
      <c r="M129" s="1665"/>
      <c r="N129" s="1665"/>
      <c r="O129" s="1665"/>
      <c r="P129" s="1665"/>
      <c r="Q129" s="1665"/>
      <c r="R129" s="1665"/>
      <c r="S129" s="1665"/>
      <c r="T129" s="1665"/>
      <c r="U129" s="1665"/>
      <c r="V129" s="1665"/>
      <c r="W129" s="1665"/>
      <c r="Y129" s="1184"/>
      <c r="Z129" s="1660"/>
      <c r="AA129" s="1660"/>
      <c r="AB129" s="1184"/>
      <c r="AC129" s="1184"/>
      <c r="AD129" s="1184"/>
      <c r="AE129" s="1184"/>
      <c r="AF129" s="1660"/>
      <c r="AG129" s="1184"/>
      <c r="AH129" s="1184"/>
      <c r="AI129" s="568"/>
      <c r="AJ129" s="1184"/>
      <c r="AK129" s="1184"/>
      <c r="AL129" s="1184"/>
      <c r="AM129" s="1184"/>
      <c r="AN129" s="1184"/>
      <c r="AO129" s="1656"/>
      <c r="AP129" s="590"/>
      <c r="AQ129" s="590"/>
      <c r="AR129" s="590"/>
      <c r="AS129" s="590"/>
      <c r="AT129" s="1665">
        <v>11</v>
      </c>
    </row>
    <row s="1665" customFormat="1" customHeight="1" ht="11.549999999999999">
      <c r="A130" s="1011"/>
      <c r="B130" s="1660"/>
      <c r="C130" s="1660"/>
      <c r="D130" s="375"/>
      <c r="J130" s="1665"/>
      <c r="K130" s="1665"/>
      <c r="L130" s="1665"/>
      <c r="M130" s="1665"/>
      <c r="N130" s="1665"/>
      <c r="O130" s="1665"/>
      <c r="P130" s="1665"/>
      <c r="Q130" s="1665"/>
      <c r="R130" s="1665"/>
      <c r="S130" s="1665"/>
      <c r="T130" s="1665"/>
      <c r="U130" s="1665"/>
      <c r="V130" s="1665"/>
      <c r="W130" s="1665"/>
      <c r="Y130" s="1184"/>
      <c r="Z130" s="1660"/>
      <c r="AA130" s="1660"/>
      <c r="AB130" s="1184"/>
      <c r="AC130" s="1184"/>
      <c r="AD130" s="1184"/>
      <c r="AE130" s="1184"/>
      <c r="AF130" s="1660"/>
      <c r="AG130" s="1184"/>
      <c r="AH130" s="1184"/>
      <c r="AI130" s="568"/>
      <c r="AJ130" s="1184"/>
      <c r="AK130" s="1184"/>
      <c r="AL130" s="1184"/>
      <c r="AM130" s="1184"/>
      <c r="AN130" s="1184"/>
      <c r="AO130" s="1656"/>
      <c r="AP130" s="590"/>
      <c r="AQ130" s="590"/>
      <c r="AR130" s="590"/>
      <c r="AS130" s="590"/>
      <c r="AT130" s="1665">
        <v>11</v>
      </c>
    </row>
    <row s="1665" customFormat="1" customHeight="1" ht="11.549999999999999">
      <c r="A131" s="1011"/>
      <c r="B131" s="1660"/>
      <c r="C131" s="1660"/>
      <c r="D131" s="375"/>
      <c r="J131" s="1665"/>
      <c r="K131" s="1665"/>
      <c r="L131" s="1665"/>
      <c r="M131" s="1665"/>
      <c r="N131" s="1665"/>
      <c r="O131" s="1665"/>
      <c r="P131" s="1665"/>
      <c r="Q131" s="1665"/>
      <c r="R131" s="1665"/>
      <c r="S131" s="1665"/>
      <c r="T131" s="1665"/>
      <c r="U131" s="1665"/>
      <c r="V131" s="1665"/>
      <c r="W131" s="1665"/>
      <c r="Y131" s="1184"/>
      <c r="Z131" s="1660"/>
      <c r="AA131" s="1660"/>
      <c r="AB131" s="1184"/>
      <c r="AC131" s="1184"/>
      <c r="AD131" s="1184"/>
      <c r="AE131" s="1184"/>
      <c r="AF131" s="1660"/>
      <c r="AG131" s="1184"/>
      <c r="AH131" s="1184"/>
      <c r="AI131" s="568"/>
      <c r="AJ131" s="1184"/>
      <c r="AK131" s="1184"/>
      <c r="AL131" s="1184"/>
      <c r="AM131" s="1184"/>
      <c r="AN131" s="1184"/>
      <c r="AO131" s="1656"/>
      <c r="AP131" s="590"/>
      <c r="AQ131" s="590"/>
      <c r="AR131" s="590"/>
      <c r="AS131" s="590"/>
      <c r="AT131" s="1665">
        <v>11</v>
      </c>
    </row>
    <row s="1665" customFormat="1" customHeight="1" ht="11.549999999999999">
      <c r="A132" s="1011"/>
      <c r="B132" s="1660"/>
      <c r="C132" s="1660"/>
      <c r="D132" s="375"/>
      <c r="J132" s="1665"/>
      <c r="K132" s="1665"/>
      <c r="L132" s="1665"/>
      <c r="M132" s="1665"/>
      <c r="N132" s="1665"/>
      <c r="O132" s="1665"/>
      <c r="P132" s="1665"/>
      <c r="Q132" s="1665"/>
      <c r="R132" s="1665"/>
      <c r="S132" s="1665"/>
      <c r="T132" s="1665"/>
      <c r="U132" s="1665"/>
      <c r="V132" s="1665"/>
      <c r="W132" s="1665"/>
      <c r="Y132" s="1184"/>
      <c r="Z132" s="1660"/>
      <c r="AA132" s="1660"/>
      <c r="AB132" s="1184"/>
      <c r="AC132" s="1184"/>
      <c r="AD132" s="1184"/>
      <c r="AE132" s="1184"/>
      <c r="AF132" s="1660"/>
      <c r="AG132" s="1184"/>
      <c r="AH132" s="1184"/>
      <c r="AI132" s="568"/>
      <c r="AJ132" s="1184"/>
      <c r="AK132" s="1184"/>
      <c r="AL132" s="1184"/>
      <c r="AM132" s="1184"/>
      <c r="AN132" s="1184"/>
      <c r="AO132" s="1656"/>
      <c r="AP132" s="590"/>
      <c r="AQ132" s="590"/>
      <c r="AR132" s="590"/>
      <c r="AS132" s="590"/>
      <c r="AT132" s="1665">
        <v>11</v>
      </c>
    </row>
    <row s="1665" customFormat="1" customHeight="1" ht="11.549999999999999">
      <c r="A133" s="1011"/>
      <c r="B133" s="1660"/>
      <c r="C133" s="1660"/>
      <c r="D133" s="375"/>
      <c r="J133" s="1665"/>
      <c r="K133" s="1665"/>
      <c r="L133" s="1665"/>
      <c r="M133" s="1665"/>
      <c r="N133" s="1665"/>
      <c r="O133" s="1665"/>
      <c r="P133" s="1665"/>
      <c r="Q133" s="1665"/>
      <c r="R133" s="1665"/>
      <c r="S133" s="1665"/>
      <c r="T133" s="1665"/>
      <c r="U133" s="1665"/>
      <c r="V133" s="1665"/>
      <c r="W133" s="1665"/>
      <c r="Y133" s="1184"/>
      <c r="Z133" s="1660"/>
      <c r="AA133" s="1660"/>
      <c r="AB133" s="1184"/>
      <c r="AC133" s="1184"/>
      <c r="AD133" s="1184"/>
      <c r="AE133" s="1184"/>
      <c r="AF133" s="1660"/>
      <c r="AG133" s="1184"/>
      <c r="AH133" s="1184"/>
      <c r="AI133" s="568"/>
      <c r="AJ133" s="1184"/>
      <c r="AK133" s="1184"/>
      <c r="AL133" s="1184"/>
      <c r="AM133" s="1184"/>
      <c r="AN133" s="1184"/>
      <c r="AO133" s="1656"/>
      <c r="AP133" s="590"/>
      <c r="AQ133" s="590"/>
      <c r="AR133" s="590"/>
      <c r="AS133" s="590"/>
      <c r="AT133" s="1665">
        <v>11</v>
      </c>
    </row>
    <row s="1665" customFormat="1" customHeight="1" ht="11.549999999999999">
      <c r="A134" s="1011"/>
      <c r="B134" s="1660"/>
      <c r="C134" s="1660"/>
      <c r="D134" s="375"/>
      <c r="J134" s="1665"/>
      <c r="K134" s="1665"/>
      <c r="L134" s="1665"/>
      <c r="M134" s="1665"/>
      <c r="N134" s="1665"/>
      <c r="O134" s="1665"/>
      <c r="P134" s="1665"/>
      <c r="Q134" s="1665"/>
      <c r="R134" s="1665"/>
      <c r="S134" s="1665"/>
      <c r="T134" s="1665"/>
      <c r="U134" s="1665"/>
      <c r="V134" s="1665"/>
      <c r="W134" s="1665"/>
      <c r="Y134" s="1184"/>
      <c r="Z134" s="1660"/>
      <c r="AA134" s="1660"/>
      <c r="AB134" s="1184"/>
      <c r="AC134" s="1184"/>
      <c r="AD134" s="1184"/>
      <c r="AE134" s="1184"/>
      <c r="AF134" s="1660"/>
      <c r="AG134" s="1184"/>
      <c r="AH134" s="1184"/>
      <c r="AI134" s="568"/>
      <c r="AJ134" s="1184"/>
      <c r="AK134" s="1184"/>
      <c r="AL134" s="1184"/>
      <c r="AM134" s="1184"/>
      <c r="AN134" s="1184"/>
      <c r="AO134" s="1656"/>
      <c r="AP134" s="590"/>
      <c r="AQ134" s="590"/>
      <c r="AR134" s="590"/>
      <c r="AS134" s="590"/>
      <c r="AT134" s="1665">
        <v>11</v>
      </c>
    </row>
    <row s="1665" customFormat="1" customHeight="1" ht="11.549999999999999">
      <c r="A135" s="1011"/>
      <c r="B135" s="1660"/>
      <c r="C135" s="1660"/>
      <c r="D135" s="375"/>
      <c r="J135" s="1665"/>
      <c r="K135" s="1665"/>
      <c r="L135" s="1665"/>
      <c r="M135" s="1665"/>
      <c r="N135" s="1665"/>
      <c r="O135" s="1665"/>
      <c r="P135" s="1665"/>
      <c r="Q135" s="1665"/>
      <c r="R135" s="1665"/>
      <c r="S135" s="1665"/>
      <c r="T135" s="1665"/>
      <c r="U135" s="1665"/>
      <c r="V135" s="1665"/>
      <c r="W135" s="1665"/>
      <c r="Y135" s="1184"/>
      <c r="Z135" s="1660"/>
      <c r="AA135" s="1660"/>
      <c r="AB135" s="1184"/>
      <c r="AC135" s="1184"/>
      <c r="AD135" s="1184"/>
      <c r="AE135" s="1184"/>
      <c r="AF135" s="1660"/>
      <c r="AG135" s="1184"/>
      <c r="AH135" s="1184"/>
      <c r="AI135" s="568"/>
      <c r="AJ135" s="1184"/>
      <c r="AK135" s="1184"/>
      <c r="AL135" s="1184"/>
      <c r="AM135" s="1184"/>
      <c r="AN135" s="1184"/>
      <c r="AO135" s="1656"/>
      <c r="AP135" s="590"/>
      <c r="AQ135" s="590"/>
      <c r="AR135" s="590"/>
      <c r="AS135" s="590"/>
      <c r="AT135" s="1665">
        <v>11</v>
      </c>
    </row>
    <row s="1665" customFormat="1" customHeight="1" ht="11.549999999999999">
      <c r="A136" s="1011"/>
      <c r="B136" s="1660"/>
      <c r="C136" s="1660"/>
      <c r="D136" s="375"/>
      <c r="J136" s="1665"/>
      <c r="K136" s="1665"/>
      <c r="L136" s="1665"/>
      <c r="M136" s="1665"/>
      <c r="N136" s="1665"/>
      <c r="O136" s="1665"/>
      <c r="P136" s="1665"/>
      <c r="Q136" s="1665"/>
      <c r="R136" s="1665"/>
      <c r="S136" s="1665"/>
      <c r="T136" s="1665"/>
      <c r="U136" s="1665"/>
      <c r="V136" s="1665"/>
      <c r="W136" s="1665"/>
      <c r="Y136" s="1184"/>
      <c r="Z136" s="1660"/>
      <c r="AA136" s="1660"/>
      <c r="AB136" s="1184"/>
      <c r="AC136" s="1184"/>
      <c r="AD136" s="1184"/>
      <c r="AE136" s="1184"/>
      <c r="AF136" s="1660"/>
      <c r="AG136" s="1184"/>
      <c r="AH136" s="1184"/>
      <c r="AI136" s="568"/>
      <c r="AJ136" s="1184"/>
      <c r="AK136" s="1184"/>
      <c r="AL136" s="1184"/>
      <c r="AM136" s="1184"/>
      <c r="AN136" s="1184"/>
      <c r="AO136" s="1656"/>
      <c r="AP136" s="590"/>
      <c r="AQ136" s="590"/>
      <c r="AR136" s="590"/>
      <c r="AS136" s="590"/>
      <c r="AT136" s="1665">
        <v>11</v>
      </c>
    </row>
    <row s="1665" customFormat="1" customHeight="1" ht="11.549999999999999">
      <c r="A137" s="1011"/>
      <c r="B137" s="1660"/>
      <c r="C137" s="1660"/>
      <c r="D137" s="375"/>
      <c r="J137" s="1665"/>
      <c r="K137" s="1665"/>
      <c r="L137" s="1665"/>
      <c r="M137" s="1665"/>
      <c r="N137" s="1665"/>
      <c r="O137" s="1665"/>
      <c r="P137" s="1665"/>
      <c r="Q137" s="1665"/>
      <c r="R137" s="1665"/>
      <c r="S137" s="1665"/>
      <c r="T137" s="1665"/>
      <c r="U137" s="1665"/>
      <c r="V137" s="1665"/>
      <c r="W137" s="1665"/>
      <c r="Y137" s="1184"/>
      <c r="Z137" s="1660"/>
      <c r="AA137" s="1660"/>
      <c r="AB137" s="1184"/>
      <c r="AC137" s="1184"/>
      <c r="AD137" s="1184"/>
      <c r="AE137" s="1184"/>
      <c r="AF137" s="1660"/>
      <c r="AG137" s="1184"/>
      <c r="AH137" s="1184"/>
      <c r="AI137" s="568"/>
      <c r="AJ137" s="1184"/>
      <c r="AK137" s="1184"/>
      <c r="AL137" s="1184"/>
      <c r="AM137" s="1184"/>
      <c r="AN137" s="1184"/>
      <c r="AO137" s="1656"/>
      <c r="AP137" s="590"/>
      <c r="AQ137" s="590"/>
      <c r="AR137" s="590"/>
      <c r="AS137" s="590"/>
      <c r="AT137" s="1665">
        <v>11</v>
      </c>
    </row>
    <row s="1665" customFormat="1" customHeight="1" ht="11.549999999999999">
      <c r="A138" s="1011"/>
      <c r="B138" s="1660"/>
      <c r="C138" s="1660"/>
      <c r="D138" s="375"/>
      <c r="J138" s="1665"/>
      <c r="K138" s="1665"/>
      <c r="L138" s="1665"/>
      <c r="M138" s="1665"/>
      <c r="N138" s="1665"/>
      <c r="O138" s="1665"/>
      <c r="P138" s="1665"/>
      <c r="Q138" s="1665"/>
      <c r="R138" s="1665"/>
      <c r="S138" s="1665"/>
      <c r="T138" s="1665"/>
      <c r="U138" s="1665"/>
      <c r="V138" s="1665"/>
      <c r="W138" s="1665"/>
      <c r="Y138" s="1184"/>
      <c r="Z138" s="1660"/>
      <c r="AA138" s="1660"/>
      <c r="AB138" s="1184"/>
      <c r="AC138" s="1184"/>
      <c r="AD138" s="1184"/>
      <c r="AE138" s="1184"/>
      <c r="AF138" s="1660"/>
      <c r="AG138" s="1184"/>
      <c r="AH138" s="1184"/>
      <c r="AI138" s="568"/>
      <c r="AJ138" s="1184"/>
      <c r="AK138" s="1184"/>
      <c r="AL138" s="1184"/>
      <c r="AM138" s="1184"/>
      <c r="AN138" s="1184"/>
      <c r="AO138" s="1656"/>
      <c r="AP138" s="590"/>
      <c r="AQ138" s="590"/>
      <c r="AR138" s="590"/>
      <c r="AS138" s="590"/>
      <c r="AT138" s="1665">
        <v>11</v>
      </c>
    </row>
    <row s="1665" customFormat="1" customHeight="1" ht="11.549999999999999">
      <c r="A139" s="1011"/>
      <c r="B139" s="1660"/>
      <c r="C139" s="1660"/>
      <c r="D139" s="375"/>
      <c r="J139" s="1665"/>
      <c r="K139" s="1665"/>
      <c r="L139" s="1665"/>
      <c r="M139" s="1665"/>
      <c r="N139" s="1665"/>
      <c r="O139" s="1665"/>
      <c r="P139" s="1665"/>
      <c r="Q139" s="1665"/>
      <c r="R139" s="1665"/>
      <c r="S139" s="1665"/>
      <c r="T139" s="1665"/>
      <c r="U139" s="1665"/>
      <c r="V139" s="1665"/>
      <c r="W139" s="1665"/>
      <c r="Y139" s="1184"/>
      <c r="Z139" s="1660"/>
      <c r="AA139" s="1660"/>
      <c r="AB139" s="1184"/>
      <c r="AC139" s="1184"/>
      <c r="AD139" s="1184"/>
      <c r="AE139" s="1184"/>
      <c r="AF139" s="1660"/>
      <c r="AG139" s="1184"/>
      <c r="AH139" s="1184"/>
      <c r="AI139" s="568"/>
      <c r="AJ139" s="1184"/>
      <c r="AK139" s="1184"/>
      <c r="AL139" s="1184"/>
      <c r="AM139" s="1184"/>
      <c r="AN139" s="1184"/>
      <c r="AO139" s="1656"/>
      <c r="AP139" s="590"/>
      <c r="AQ139" s="590"/>
      <c r="AR139" s="590"/>
      <c r="AS139" s="590"/>
      <c r="AT139" s="1665">
        <v>11</v>
      </c>
    </row>
    <row s="1665" customFormat="1" customHeight="1" ht="11.549999999999999">
      <c r="A140" s="1011"/>
      <c r="B140" s="1660"/>
      <c r="C140" s="1660"/>
      <c r="D140" s="375"/>
      <c r="J140" s="1665"/>
      <c r="K140" s="1665"/>
      <c r="L140" s="1665"/>
      <c r="M140" s="1665"/>
      <c r="N140" s="1665"/>
      <c r="O140" s="1665"/>
      <c r="P140" s="1665"/>
      <c r="Q140" s="1665"/>
      <c r="R140" s="1665"/>
      <c r="S140" s="1665"/>
      <c r="T140" s="1665"/>
      <c r="U140" s="1665"/>
      <c r="V140" s="1665"/>
      <c r="W140" s="1665"/>
      <c r="Y140" s="1184"/>
      <c r="Z140" s="1660"/>
      <c r="AA140" s="1660"/>
      <c r="AB140" s="1184"/>
      <c r="AC140" s="1184"/>
      <c r="AD140" s="1184"/>
      <c r="AE140" s="1184"/>
      <c r="AF140" s="1660"/>
      <c r="AG140" s="1184"/>
      <c r="AH140" s="1184"/>
      <c r="AI140" s="568"/>
      <c r="AJ140" s="1184"/>
      <c r="AK140" s="1184"/>
      <c r="AL140" s="1184"/>
      <c r="AM140" s="1184"/>
      <c r="AN140" s="1184"/>
      <c r="AO140" s="1656"/>
      <c r="AP140" s="590"/>
      <c r="AQ140" s="590"/>
      <c r="AR140" s="590"/>
      <c r="AS140" s="590"/>
      <c r="AT140" s="1665">
        <v>11</v>
      </c>
    </row>
    <row s="1665" customFormat="1" customHeight="1" ht="11.549999999999999">
      <c r="A141" s="1011"/>
      <c r="B141" s="1660"/>
      <c r="C141" s="1660"/>
      <c r="D141" s="375"/>
      <c r="J141" s="1665"/>
      <c r="K141" s="1665"/>
      <c r="L141" s="1665"/>
      <c r="M141" s="1665"/>
      <c r="N141" s="1665"/>
      <c r="O141" s="1665"/>
      <c r="P141" s="1665"/>
      <c r="Q141" s="1665"/>
      <c r="R141" s="1665"/>
      <c r="S141" s="1665"/>
      <c r="T141" s="1665"/>
      <c r="U141" s="1665"/>
      <c r="V141" s="1665"/>
      <c r="W141" s="1665"/>
      <c r="Y141" s="1184"/>
      <c r="Z141" s="1660"/>
      <c r="AA141" s="1660"/>
      <c r="AB141" s="1184"/>
      <c r="AC141" s="1184"/>
      <c r="AD141" s="1184"/>
      <c r="AE141" s="1184"/>
      <c r="AF141" s="1660"/>
      <c r="AG141" s="1184"/>
      <c r="AH141" s="1184"/>
      <c r="AI141" s="568"/>
      <c r="AJ141" s="1184"/>
      <c r="AK141" s="1184"/>
      <c r="AL141" s="1184"/>
      <c r="AM141" s="1184"/>
      <c r="AN141" s="1184"/>
      <c r="AO141" s="1656"/>
      <c r="AP141" s="590"/>
      <c r="AQ141" s="590"/>
      <c r="AR141" s="590"/>
      <c r="AS141" s="590"/>
      <c r="AT141" s="1665">
        <v>11</v>
      </c>
    </row>
    <row s="1665" customFormat="1" customHeight="1" ht="11.549999999999999">
      <c r="A142" s="1011"/>
      <c r="B142" s="1660"/>
      <c r="C142" s="1660"/>
      <c r="D142" s="375"/>
      <c r="J142" s="1665"/>
      <c r="K142" s="1665"/>
      <c r="L142" s="1665"/>
      <c r="M142" s="1665"/>
      <c r="N142" s="1665"/>
      <c r="O142" s="1665"/>
      <c r="P142" s="1665"/>
      <c r="Q142" s="1665"/>
      <c r="R142" s="1665"/>
      <c r="S142" s="1665"/>
      <c r="T142" s="1665"/>
      <c r="U142" s="1665"/>
      <c r="V142" s="1665"/>
      <c r="W142" s="1665"/>
      <c r="Y142" s="1184"/>
      <c r="Z142" s="1660"/>
      <c r="AA142" s="1660"/>
      <c r="AB142" s="1184"/>
      <c r="AC142" s="1184"/>
      <c r="AD142" s="1184"/>
      <c r="AE142" s="1184"/>
      <c r="AF142" s="1660"/>
      <c r="AG142" s="1184"/>
      <c r="AH142" s="1184"/>
      <c r="AI142" s="568"/>
      <c r="AJ142" s="1184"/>
      <c r="AK142" s="1184"/>
      <c r="AL142" s="1184"/>
      <c r="AM142" s="1184"/>
      <c r="AN142" s="1184"/>
      <c r="AO142" s="1656"/>
      <c r="AP142" s="590"/>
      <c r="AQ142" s="590"/>
      <c r="AR142" s="590"/>
      <c r="AS142" s="590"/>
      <c r="AT142" s="1665">
        <v>11</v>
      </c>
    </row>
    <row s="1665" customFormat="1" customHeight="1" ht="11.549999999999999">
      <c r="A143" s="1011"/>
      <c r="B143" s="1660"/>
      <c r="C143" s="1660"/>
      <c r="D143" s="375"/>
      <c r="J143" s="1665"/>
      <c r="K143" s="1665"/>
      <c r="L143" s="1665"/>
      <c r="M143" s="1665"/>
      <c r="N143" s="1665"/>
      <c r="O143" s="1665"/>
      <c r="P143" s="1665"/>
      <c r="Q143" s="1665"/>
      <c r="R143" s="1665"/>
      <c r="S143" s="1665"/>
      <c r="T143" s="1665"/>
      <c r="U143" s="1665"/>
      <c r="V143" s="1665"/>
      <c r="W143" s="1665"/>
      <c r="Y143" s="1184"/>
      <c r="Z143" s="1660"/>
      <c r="AA143" s="1660"/>
      <c r="AB143" s="1184"/>
      <c r="AC143" s="1184"/>
      <c r="AD143" s="1184"/>
      <c r="AE143" s="1184"/>
      <c r="AF143" s="1660"/>
      <c r="AG143" s="1184"/>
      <c r="AH143" s="1184"/>
      <c r="AI143" s="568"/>
      <c r="AJ143" s="1184"/>
      <c r="AK143" s="1184"/>
      <c r="AL143" s="1184"/>
      <c r="AM143" s="1184"/>
      <c r="AN143" s="1184"/>
      <c r="AO143" s="1656"/>
      <c r="AP143" s="590"/>
      <c r="AQ143" s="590"/>
      <c r="AR143" s="590"/>
      <c r="AS143" s="590"/>
      <c r="AT143" s="1665">
        <v>11</v>
      </c>
    </row>
    <row s="1665" customFormat="1" customHeight="1" ht="11.549999999999999">
      <c r="A144" s="1011"/>
      <c r="B144" s="1660"/>
      <c r="C144" s="1660"/>
      <c r="D144" s="375"/>
      <c r="J144" s="1665"/>
      <c r="K144" s="1665"/>
      <c r="L144" s="1665"/>
      <c r="M144" s="1665"/>
      <c r="N144" s="1665"/>
      <c r="O144" s="1665"/>
      <c r="P144" s="1665"/>
      <c r="Q144" s="1665"/>
      <c r="R144" s="1665"/>
      <c r="S144" s="1665"/>
      <c r="T144" s="1665"/>
      <c r="U144" s="1665"/>
      <c r="V144" s="1665"/>
      <c r="W144" s="1665"/>
      <c r="Y144" s="1184"/>
      <c r="Z144" s="1660"/>
      <c r="AA144" s="1660"/>
      <c r="AB144" s="1184"/>
      <c r="AC144" s="1184"/>
      <c r="AD144" s="1184"/>
      <c r="AE144" s="1184"/>
      <c r="AF144" s="1660"/>
      <c r="AG144" s="1184"/>
      <c r="AH144" s="1184"/>
      <c r="AI144" s="568"/>
      <c r="AJ144" s="1184"/>
      <c r="AK144" s="1184"/>
      <c r="AL144" s="1184"/>
      <c r="AM144" s="1184"/>
      <c r="AN144" s="1184"/>
      <c r="AO144" s="1656"/>
      <c r="AP144" s="590"/>
      <c r="AQ144" s="590"/>
      <c r="AR144" s="590"/>
      <c r="AS144" s="590"/>
      <c r="AT144" s="1665">
        <v>11</v>
      </c>
    </row>
    <row s="1665" customFormat="1" customHeight="1" ht="11.549999999999999">
      <c r="A145" s="1011"/>
      <c r="B145" s="1660"/>
      <c r="C145" s="1660"/>
      <c r="D145" s="375"/>
      <c r="J145" s="1665"/>
      <c r="K145" s="1665"/>
      <c r="L145" s="1665"/>
      <c r="M145" s="1665"/>
      <c r="N145" s="1665"/>
      <c r="O145" s="1665"/>
      <c r="P145" s="1665"/>
      <c r="Q145" s="1665"/>
      <c r="R145" s="1665"/>
      <c r="S145" s="1665"/>
      <c r="T145" s="1665"/>
      <c r="U145" s="1665"/>
      <c r="V145" s="1665"/>
      <c r="W145" s="1665"/>
      <c r="Y145" s="1184"/>
      <c r="Z145" s="1660"/>
      <c r="AA145" s="1660"/>
      <c r="AB145" s="1184"/>
      <c r="AC145" s="1184"/>
      <c r="AD145" s="1184"/>
      <c r="AE145" s="1184"/>
      <c r="AF145" s="1660"/>
      <c r="AG145" s="1184"/>
      <c r="AH145" s="1184"/>
      <c r="AI145" s="568"/>
      <c r="AJ145" s="1184"/>
      <c r="AK145" s="1184"/>
      <c r="AL145" s="1184"/>
      <c r="AM145" s="1184"/>
      <c r="AN145" s="1184"/>
      <c r="AO145" s="1656"/>
      <c r="AP145" s="590"/>
      <c r="AQ145" s="590"/>
      <c r="AR145" s="590"/>
      <c r="AS145" s="590"/>
      <c r="AT145" s="1665">
        <v>11</v>
      </c>
    </row>
    <row s="1665" customFormat="1" customHeight="1" ht="11.549999999999999">
      <c r="A146" s="1011"/>
      <c r="B146" s="1660"/>
      <c r="C146" s="1660"/>
      <c r="D146" s="375"/>
      <c r="J146" s="1665"/>
      <c r="K146" s="1665"/>
      <c r="L146" s="1665"/>
      <c r="M146" s="1665"/>
      <c r="N146" s="1665"/>
      <c r="O146" s="1665"/>
      <c r="P146" s="1665"/>
      <c r="Q146" s="1665"/>
      <c r="R146" s="1665"/>
      <c r="S146" s="1665"/>
      <c r="T146" s="1665"/>
      <c r="U146" s="1665"/>
      <c r="V146" s="1665"/>
      <c r="W146" s="1665"/>
      <c r="Y146" s="1184"/>
      <c r="Z146" s="1660"/>
      <c r="AA146" s="1660"/>
      <c r="AB146" s="1184"/>
      <c r="AC146" s="1184"/>
      <c r="AD146" s="1184"/>
      <c r="AE146" s="1184"/>
      <c r="AF146" s="1660"/>
      <c r="AG146" s="1184"/>
      <c r="AH146" s="1184"/>
      <c r="AI146" s="568"/>
      <c r="AJ146" s="1184"/>
      <c r="AK146" s="1184"/>
      <c r="AL146" s="1184"/>
      <c r="AM146" s="1184"/>
      <c r="AN146" s="1184"/>
      <c r="AO146" s="1656"/>
      <c r="AP146" s="590"/>
      <c r="AQ146" s="590"/>
      <c r="AR146" s="590"/>
      <c r="AS146" s="590"/>
      <c r="AT146" s="1665">
        <v>11</v>
      </c>
    </row>
    <row s="1665" customFormat="1" customHeight="1" ht="11.549999999999999">
      <c r="A147" s="1011"/>
      <c r="B147" s="1660"/>
      <c r="C147" s="1660"/>
      <c r="D147" s="375"/>
      <c r="J147" s="1665"/>
      <c r="K147" s="1665"/>
      <c r="L147" s="1665"/>
      <c r="M147" s="1665"/>
      <c r="N147" s="1665"/>
      <c r="O147" s="1665"/>
      <c r="P147" s="1665"/>
      <c r="Q147" s="1665"/>
      <c r="R147" s="1665"/>
      <c r="S147" s="1665"/>
      <c r="T147" s="1665"/>
      <c r="U147" s="1665"/>
      <c r="V147" s="1665"/>
      <c r="W147" s="1665"/>
      <c r="Y147" s="1184"/>
      <c r="Z147" s="1660"/>
      <c r="AA147" s="1660"/>
      <c r="AB147" s="1184"/>
      <c r="AC147" s="1184"/>
      <c r="AD147" s="1184"/>
      <c r="AE147" s="1184"/>
      <c r="AF147" s="1660"/>
      <c r="AG147" s="1184"/>
      <c r="AH147" s="1184"/>
      <c r="AI147" s="568"/>
      <c r="AJ147" s="1184"/>
      <c r="AK147" s="1184"/>
      <c r="AL147" s="1184"/>
      <c r="AM147" s="1184"/>
      <c r="AN147" s="1184"/>
      <c r="AO147" s="1656"/>
      <c r="AP147" s="590"/>
      <c r="AQ147" s="590"/>
      <c r="AR147" s="590"/>
      <c r="AS147" s="590"/>
      <c r="AT147" s="1665">
        <v>11</v>
      </c>
    </row>
    <row s="1665" customFormat="1" customHeight="1" ht="11.549999999999999">
      <c r="A148" s="1011"/>
      <c r="B148" s="1660"/>
      <c r="C148" s="1660"/>
      <c r="D148" s="375"/>
      <c r="J148" s="1665"/>
      <c r="K148" s="1665"/>
      <c r="L148" s="1665"/>
      <c r="M148" s="1665"/>
      <c r="N148" s="1665"/>
      <c r="O148" s="1665"/>
      <c r="P148" s="1665"/>
      <c r="Q148" s="1665"/>
      <c r="R148" s="1665"/>
      <c r="S148" s="1665"/>
      <c r="T148" s="1665"/>
      <c r="U148" s="1665"/>
      <c r="V148" s="1665"/>
      <c r="W148" s="1665"/>
      <c r="Y148" s="1184"/>
      <c r="Z148" s="1660"/>
      <c r="AA148" s="1660"/>
      <c r="AB148" s="1184"/>
      <c r="AC148" s="1184"/>
      <c r="AD148" s="1184"/>
      <c r="AE148" s="1184"/>
      <c r="AF148" s="1660"/>
      <c r="AG148" s="1184"/>
      <c r="AH148" s="1184"/>
      <c r="AI148" s="568"/>
      <c r="AJ148" s="1184"/>
      <c r="AK148" s="1184"/>
      <c r="AL148" s="1184"/>
      <c r="AM148" s="1184"/>
      <c r="AN148" s="1184"/>
      <c r="AO148" s="1656"/>
      <c r="AP148" s="590"/>
      <c r="AQ148" s="590"/>
      <c r="AR148" s="590"/>
      <c r="AS148" s="590"/>
      <c r="AT148" s="1665">
        <v>11</v>
      </c>
    </row>
    <row s="1665" customFormat="1" customHeight="1" ht="11.549999999999999">
      <c r="A149" s="1011"/>
      <c r="B149" s="1660"/>
      <c r="C149" s="1660"/>
      <c r="D149" s="375"/>
      <c r="J149" s="1665"/>
      <c r="K149" s="1665"/>
      <c r="L149" s="1665"/>
      <c r="M149" s="1665"/>
      <c r="N149" s="1665"/>
      <c r="O149" s="1665"/>
      <c r="P149" s="1665"/>
      <c r="Q149" s="1665"/>
      <c r="R149" s="1665"/>
      <c r="S149" s="1665"/>
      <c r="T149" s="1665"/>
      <c r="U149" s="1665"/>
      <c r="V149" s="1665"/>
      <c r="W149" s="1665"/>
      <c r="Y149" s="1184"/>
      <c r="Z149" s="1660"/>
      <c r="AA149" s="1660"/>
      <c r="AB149" s="1184"/>
      <c r="AC149" s="1184"/>
      <c r="AD149" s="1184"/>
      <c r="AE149" s="1184"/>
      <c r="AF149" s="1660"/>
      <c r="AG149" s="1184"/>
      <c r="AH149" s="1184"/>
      <c r="AI149" s="568"/>
      <c r="AJ149" s="1184"/>
      <c r="AK149" s="1184"/>
      <c r="AL149" s="1184"/>
      <c r="AM149" s="1184"/>
      <c r="AN149" s="1184"/>
      <c r="AO149" s="1656"/>
      <c r="AP149" s="590"/>
      <c r="AQ149" s="590"/>
      <c r="AR149" s="590"/>
      <c r="AS149" s="590"/>
      <c r="AT149" s="1665">
        <v>11</v>
      </c>
    </row>
    <row s="1665" customFormat="1" customHeight="1" ht="11.549999999999999">
      <c r="A150" s="1011"/>
      <c r="B150" s="1660"/>
      <c r="C150" s="1660"/>
      <c r="D150" s="375"/>
      <c r="J150" s="1665"/>
      <c r="K150" s="1665"/>
      <c r="L150" s="1665"/>
      <c r="M150" s="1665"/>
      <c r="N150" s="1665"/>
      <c r="O150" s="1665"/>
      <c r="P150" s="1665"/>
      <c r="Q150" s="1665"/>
      <c r="R150" s="1665"/>
      <c r="S150" s="1665"/>
      <c r="T150" s="1665"/>
      <c r="U150" s="1665"/>
      <c r="V150" s="1665"/>
      <c r="W150" s="1665"/>
      <c r="Y150" s="1184"/>
      <c r="Z150" s="1660"/>
      <c r="AA150" s="1660"/>
      <c r="AB150" s="1184"/>
      <c r="AC150" s="1184"/>
      <c r="AD150" s="1184"/>
      <c r="AE150" s="1184"/>
      <c r="AF150" s="1660"/>
      <c r="AG150" s="1184"/>
      <c r="AH150" s="1184"/>
      <c r="AI150" s="568"/>
      <c r="AJ150" s="1184"/>
      <c r="AK150" s="1184"/>
      <c r="AL150" s="1184"/>
      <c r="AM150" s="1184"/>
      <c r="AN150" s="1184"/>
      <c r="AO150" s="1656"/>
      <c r="AP150" s="590"/>
      <c r="AQ150" s="590"/>
      <c r="AR150" s="590"/>
      <c r="AS150" s="590"/>
      <c r="AT150" s="1665">
        <v>11</v>
      </c>
    </row>
    <row s="1665" customFormat="1" customHeight="1" ht="11.549999999999999">
      <c r="A151" s="1011"/>
      <c r="B151" s="1660"/>
      <c r="C151" s="1660"/>
      <c r="D151" s="375"/>
      <c r="J151" s="1665"/>
      <c r="K151" s="1665"/>
      <c r="L151" s="1665"/>
      <c r="M151" s="1665"/>
      <c r="N151" s="1665"/>
      <c r="O151" s="1665"/>
      <c r="P151" s="1665"/>
      <c r="Q151" s="1665"/>
      <c r="R151" s="1665"/>
      <c r="S151" s="1665"/>
      <c r="T151" s="1665"/>
      <c r="U151" s="1665"/>
      <c r="V151" s="1665"/>
      <c r="W151" s="1665"/>
      <c r="Y151" s="1184"/>
      <c r="Z151" s="1660"/>
      <c r="AA151" s="1660"/>
      <c r="AB151" s="1184"/>
      <c r="AC151" s="1184"/>
      <c r="AD151" s="1184"/>
      <c r="AE151" s="1184"/>
      <c r="AF151" s="1660"/>
      <c r="AG151" s="1184"/>
      <c r="AH151" s="1184"/>
      <c r="AI151" s="568"/>
      <c r="AJ151" s="1184"/>
      <c r="AK151" s="1184"/>
      <c r="AL151" s="1184"/>
      <c r="AM151" s="1184"/>
      <c r="AN151" s="1184"/>
      <c r="AO151" s="1656"/>
      <c r="AP151" s="590"/>
      <c r="AQ151" s="590"/>
      <c r="AR151" s="590"/>
      <c r="AS151" s="590"/>
      <c r="AT151" s="1665">
        <v>11</v>
      </c>
    </row>
    <row s="1665" customFormat="1" customHeight="1" ht="11.549999999999999">
      <c r="A152" s="1011"/>
      <c r="B152" s="1660"/>
      <c r="C152" s="1660"/>
      <c r="D152" s="375"/>
      <c r="J152" s="1665"/>
      <c r="K152" s="1665"/>
      <c r="L152" s="1665"/>
      <c r="M152" s="1665"/>
      <c r="N152" s="1665"/>
      <c r="O152" s="1665"/>
      <c r="P152" s="1665"/>
      <c r="Q152" s="1665"/>
      <c r="R152" s="1665"/>
      <c r="S152" s="1665"/>
      <c r="T152" s="1665"/>
      <c r="U152" s="1665"/>
      <c r="V152" s="1665"/>
      <c r="W152" s="1665"/>
      <c r="Y152" s="1184"/>
      <c r="Z152" s="1660"/>
      <c r="AA152" s="1660"/>
      <c r="AB152" s="1184"/>
      <c r="AC152" s="1184"/>
      <c r="AD152" s="1184"/>
      <c r="AE152" s="1184"/>
      <c r="AF152" s="1660"/>
      <c r="AG152" s="1184"/>
      <c r="AH152" s="1184"/>
      <c r="AI152" s="568"/>
      <c r="AJ152" s="1184"/>
      <c r="AK152" s="1184"/>
      <c r="AL152" s="1184"/>
      <c r="AM152" s="1184"/>
      <c r="AN152" s="1184"/>
      <c r="AO152" s="1656"/>
      <c r="AP152" s="590"/>
      <c r="AQ152" s="590"/>
      <c r="AR152" s="590"/>
      <c r="AS152" s="590"/>
      <c r="AT152" s="1665">
        <v>11</v>
      </c>
    </row>
    <row s="1665" customFormat="1" customHeight="1" ht="11.549999999999999">
      <c r="A153" s="1011"/>
      <c r="B153" s="1660"/>
      <c r="C153" s="1660"/>
      <c r="D153" s="375"/>
      <c r="J153" s="1665"/>
      <c r="K153" s="1665"/>
      <c r="L153" s="1665"/>
      <c r="M153" s="1665"/>
      <c r="N153" s="1665"/>
      <c r="O153" s="1665"/>
      <c r="P153" s="1665"/>
      <c r="Q153" s="1665"/>
      <c r="R153" s="1665"/>
      <c r="S153" s="1665"/>
      <c r="T153" s="1665"/>
      <c r="U153" s="1665"/>
      <c r="V153" s="1665"/>
      <c r="W153" s="1665"/>
      <c r="Y153" s="1184"/>
      <c r="Z153" s="1660"/>
      <c r="AA153" s="1660"/>
      <c r="AB153" s="1184"/>
      <c r="AC153" s="1184"/>
      <c r="AD153" s="1184"/>
      <c r="AE153" s="1184"/>
      <c r="AF153" s="1660"/>
      <c r="AG153" s="1184"/>
      <c r="AH153" s="1184"/>
      <c r="AI153" s="568"/>
      <c r="AJ153" s="1184"/>
      <c r="AK153" s="1184"/>
      <c r="AL153" s="1184"/>
      <c r="AM153" s="1184"/>
      <c r="AN153" s="1184"/>
      <c r="AO153" s="1656"/>
      <c r="AP153" s="590"/>
      <c r="AQ153" s="590"/>
      <c r="AR153" s="590"/>
      <c r="AS153" s="590"/>
      <c r="AT153" s="1665">
        <v>11</v>
      </c>
    </row>
    <row s="1665" customFormat="1" customHeight="1" ht="11.549999999999999">
      <c r="A154" s="1011"/>
      <c r="B154" s="1660"/>
      <c r="C154" s="1660"/>
      <c r="D154" s="375"/>
      <c r="J154" s="1665"/>
      <c r="K154" s="1665"/>
      <c r="L154" s="1665"/>
      <c r="M154" s="1665"/>
      <c r="N154" s="1665"/>
      <c r="O154" s="1665"/>
      <c r="P154" s="1665"/>
      <c r="Q154" s="1665"/>
      <c r="R154" s="1665"/>
      <c r="S154" s="1665"/>
      <c r="T154" s="1665"/>
      <c r="U154" s="1665"/>
      <c r="V154" s="1665"/>
      <c r="W154" s="1665"/>
      <c r="Y154" s="1184"/>
      <c r="Z154" s="1660"/>
      <c r="AA154" s="1660"/>
      <c r="AB154" s="1184"/>
      <c r="AC154" s="1184"/>
      <c r="AD154" s="1184"/>
      <c r="AE154" s="1184"/>
      <c r="AF154" s="1660"/>
      <c r="AG154" s="1184"/>
      <c r="AH154" s="1184"/>
      <c r="AI154" s="568"/>
      <c r="AJ154" s="1184"/>
      <c r="AK154" s="1184"/>
      <c r="AL154" s="1184"/>
      <c r="AM154" s="1184"/>
      <c r="AN154" s="1184"/>
      <c r="AO154" s="1656"/>
      <c r="AP154" s="590"/>
      <c r="AQ154" s="590"/>
      <c r="AR154" s="590"/>
      <c r="AS154" s="590"/>
      <c r="AT154" s="1665">
        <v>11</v>
      </c>
    </row>
    <row s="1665" customFormat="1" customHeight="1" ht="11.549999999999999">
      <c r="A155" s="1011"/>
      <c r="B155" s="1660"/>
      <c r="C155" s="1660"/>
      <c r="D155" s="375"/>
      <c r="J155" s="1665"/>
      <c r="K155" s="1665"/>
      <c r="L155" s="1665"/>
      <c r="M155" s="1665"/>
      <c r="N155" s="1665"/>
      <c r="O155" s="1665"/>
      <c r="P155" s="1665"/>
      <c r="Q155" s="1665"/>
      <c r="R155" s="1665"/>
      <c r="S155" s="1665"/>
      <c r="T155" s="1665"/>
      <c r="U155" s="1665"/>
      <c r="V155" s="1665"/>
      <c r="W155" s="1665"/>
      <c r="Y155" s="1184"/>
      <c r="Z155" s="1660"/>
      <c r="AA155" s="1660"/>
      <c r="AB155" s="1184"/>
      <c r="AC155" s="1184"/>
      <c r="AD155" s="1184"/>
      <c r="AE155" s="1184"/>
      <c r="AF155" s="1660"/>
      <c r="AG155" s="1184"/>
      <c r="AH155" s="1184"/>
      <c r="AI155" s="568"/>
      <c r="AJ155" s="1184"/>
      <c r="AK155" s="1184"/>
      <c r="AL155" s="1184"/>
      <c r="AM155" s="1184"/>
      <c r="AN155" s="1184"/>
      <c r="AO155" s="1656"/>
      <c r="AP155" s="590"/>
      <c r="AQ155" s="590"/>
      <c r="AR155" s="590"/>
      <c r="AS155" s="590"/>
      <c r="AT155" s="1665">
        <v>11</v>
      </c>
    </row>
    <row s="1665" customFormat="1" customHeight="1" ht="11.549999999999999">
      <c r="A156" s="1011"/>
      <c r="B156" s="1660"/>
      <c r="C156" s="1660"/>
      <c r="D156" s="375"/>
      <c r="J156" s="1665"/>
      <c r="K156" s="1665"/>
      <c r="L156" s="1665"/>
      <c r="M156" s="1665"/>
      <c r="N156" s="1665"/>
      <c r="O156" s="1665"/>
      <c r="P156" s="1665"/>
      <c r="Q156" s="1665"/>
      <c r="R156" s="1665"/>
      <c r="S156" s="1665"/>
      <c r="T156" s="1665"/>
      <c r="U156" s="1665"/>
      <c r="V156" s="1665"/>
      <c r="W156" s="1665"/>
      <c r="Y156" s="1184"/>
      <c r="Z156" s="1660"/>
      <c r="AA156" s="1660"/>
      <c r="AB156" s="1184"/>
      <c r="AC156" s="1184"/>
      <c r="AD156" s="1184"/>
      <c r="AE156" s="1184"/>
      <c r="AF156" s="1660"/>
      <c r="AG156" s="1184"/>
      <c r="AH156" s="1184"/>
      <c r="AI156" s="568"/>
      <c r="AJ156" s="1184"/>
      <c r="AK156" s="1184"/>
      <c r="AL156" s="1184"/>
      <c r="AM156" s="1184"/>
      <c r="AN156" s="1184"/>
      <c r="AO156" s="1656"/>
      <c r="AP156" s="590"/>
      <c r="AQ156" s="590"/>
      <c r="AR156" s="590"/>
      <c r="AS156" s="590"/>
      <c r="AT156" s="1665">
        <v>11</v>
      </c>
    </row>
    <row s="1665" customFormat="1" customHeight="1" ht="11.549999999999999">
      <c r="A157" s="1011"/>
      <c r="B157" s="1660"/>
      <c r="C157" s="1660"/>
      <c r="D157" s="375"/>
      <c r="J157" s="1665"/>
      <c r="K157" s="1665"/>
      <c r="L157" s="1665"/>
      <c r="M157" s="1665"/>
      <c r="N157" s="1665"/>
      <c r="O157" s="1665"/>
      <c r="P157" s="1665"/>
      <c r="Q157" s="1665"/>
      <c r="R157" s="1665"/>
      <c r="S157" s="1665"/>
      <c r="T157" s="1665"/>
      <c r="U157" s="1665"/>
      <c r="V157" s="1665"/>
      <c r="W157" s="1665"/>
      <c r="Y157" s="1184"/>
      <c r="Z157" s="1660"/>
      <c r="AA157" s="1660"/>
      <c r="AB157" s="1184"/>
      <c r="AC157" s="1184"/>
      <c r="AD157" s="1184"/>
      <c r="AE157" s="1184"/>
      <c r="AF157" s="1660"/>
      <c r="AG157" s="1184"/>
      <c r="AH157" s="1184"/>
      <c r="AI157" s="568"/>
      <c r="AJ157" s="1184"/>
      <c r="AK157" s="1184"/>
      <c r="AL157" s="1184"/>
      <c r="AM157" s="1184"/>
      <c r="AN157" s="1184"/>
      <c r="AO157" s="1656"/>
      <c r="AP157" s="590"/>
      <c r="AQ157" s="590"/>
      <c r="AR157" s="590"/>
      <c r="AS157" s="590"/>
      <c r="AT157" s="1665">
        <v>11</v>
      </c>
    </row>
    <row s="1665" customFormat="1" customHeight="1" ht="11.549999999999999">
      <c r="A158" s="1011"/>
      <c r="B158" s="1660"/>
      <c r="C158" s="1660"/>
      <c r="D158" s="375"/>
      <c r="J158" s="1665"/>
      <c r="K158" s="1665"/>
      <c r="L158" s="1665"/>
      <c r="M158" s="1665"/>
      <c r="N158" s="1665"/>
      <c r="O158" s="1665"/>
      <c r="P158" s="1665"/>
      <c r="Q158" s="1665"/>
      <c r="R158" s="1665"/>
      <c r="S158" s="1665"/>
      <c r="T158" s="1665"/>
      <c r="U158" s="1665"/>
      <c r="V158" s="1665"/>
      <c r="W158" s="1665"/>
      <c r="Y158" s="1184"/>
      <c r="Z158" s="1660"/>
      <c r="AA158" s="1660"/>
      <c r="AB158" s="1184"/>
      <c r="AC158" s="1184"/>
      <c r="AD158" s="1184"/>
      <c r="AE158" s="1184"/>
      <c r="AF158" s="1660"/>
      <c r="AG158" s="1184"/>
      <c r="AH158" s="1184"/>
      <c r="AI158" s="568"/>
      <c r="AJ158" s="1184"/>
      <c r="AK158" s="1184"/>
      <c r="AL158" s="1184"/>
      <c r="AM158" s="1184"/>
      <c r="AN158" s="1184"/>
      <c r="AO158" s="1656"/>
      <c r="AP158" s="590"/>
      <c r="AQ158" s="590"/>
      <c r="AR158" s="590"/>
      <c r="AS158" s="590"/>
      <c r="AT158" s="1665">
        <v>11</v>
      </c>
    </row>
    <row s="1665" customFormat="1" customHeight="1" ht="11.549999999999999">
      <c r="A159" s="1011"/>
      <c r="B159" s="1660"/>
      <c r="C159" s="1660"/>
      <c r="D159" s="375"/>
      <c r="J159" s="1665"/>
      <c r="K159" s="1665"/>
      <c r="L159" s="1665"/>
      <c r="M159" s="1665"/>
      <c r="N159" s="1665"/>
      <c r="O159" s="1665"/>
      <c r="P159" s="1665"/>
      <c r="Q159" s="1665"/>
      <c r="R159" s="1665"/>
      <c r="S159" s="1665"/>
      <c r="T159" s="1665"/>
      <c r="U159" s="1665"/>
      <c r="V159" s="1665"/>
      <c r="W159" s="1665"/>
      <c r="Y159" s="1184"/>
      <c r="Z159" s="1660"/>
      <c r="AA159" s="1660"/>
      <c r="AB159" s="1184"/>
      <c r="AC159" s="1184"/>
      <c r="AD159" s="1184"/>
      <c r="AE159" s="1184"/>
      <c r="AF159" s="1660"/>
      <c r="AG159" s="1184"/>
      <c r="AH159" s="1184"/>
      <c r="AI159" s="568"/>
      <c r="AJ159" s="1184"/>
      <c r="AK159" s="1184"/>
      <c r="AL159" s="1184"/>
      <c r="AM159" s="1184"/>
      <c r="AN159" s="1184"/>
      <c r="AO159" s="1656"/>
      <c r="AP159" s="590"/>
      <c r="AQ159" s="590"/>
      <c r="AR159" s="590"/>
      <c r="AS159" s="590"/>
      <c r="AT159" s="1665">
        <v>11</v>
      </c>
    </row>
    <row s="1665" customFormat="1" customHeight="1" ht="11.549999999999999">
      <c r="A160" s="1011"/>
      <c r="B160" s="1660"/>
      <c r="C160" s="1660"/>
      <c r="D160" s="375"/>
      <c r="J160" s="1665"/>
      <c r="K160" s="1665"/>
      <c r="L160" s="1665"/>
      <c r="M160" s="1665"/>
      <c r="N160" s="1665"/>
      <c r="O160" s="1665"/>
      <c r="P160" s="1665"/>
      <c r="Q160" s="1665"/>
      <c r="R160" s="1665"/>
      <c r="S160" s="1665"/>
      <c r="T160" s="1665"/>
      <c r="U160" s="1665"/>
      <c r="V160" s="1665"/>
      <c r="W160" s="1665"/>
      <c r="Y160" s="1184"/>
      <c r="Z160" s="1660"/>
      <c r="AA160" s="1660"/>
      <c r="AB160" s="1184"/>
      <c r="AC160" s="1184"/>
      <c r="AD160" s="1184"/>
      <c r="AE160" s="1184"/>
      <c r="AF160" s="1660"/>
      <c r="AG160" s="1184"/>
      <c r="AH160" s="1184"/>
      <c r="AI160" s="568"/>
      <c r="AJ160" s="1184"/>
      <c r="AK160" s="1184"/>
      <c r="AL160" s="1184"/>
      <c r="AM160" s="1184"/>
      <c r="AN160" s="1184"/>
      <c r="AO160" s="1656"/>
      <c r="AP160" s="590"/>
      <c r="AQ160" s="590"/>
      <c r="AR160" s="590"/>
      <c r="AS160" s="590"/>
      <c r="AT160" s="1665">
        <v>11</v>
      </c>
    </row>
    <row s="1665" customFormat="1" customHeight="1" ht="11.549999999999999">
      <c r="A161" s="1011"/>
      <c r="B161" s="1660"/>
      <c r="C161" s="1660"/>
      <c r="D161" s="375"/>
      <c r="J161" s="1665"/>
      <c r="K161" s="1665"/>
      <c r="L161" s="1665"/>
      <c r="M161" s="1665"/>
      <c r="N161" s="1665"/>
      <c r="O161" s="1665"/>
      <c r="P161" s="1665"/>
      <c r="Q161" s="1665"/>
      <c r="R161" s="1665"/>
      <c r="S161" s="1665"/>
      <c r="T161" s="1665"/>
      <c r="U161" s="1665"/>
      <c r="V161" s="1665"/>
      <c r="W161" s="1665"/>
      <c r="Y161" s="1184"/>
      <c r="Z161" s="1660"/>
      <c r="AA161" s="1660"/>
      <c r="AB161" s="1184"/>
      <c r="AC161" s="1184"/>
      <c r="AD161" s="1184"/>
      <c r="AE161" s="1184"/>
      <c r="AF161" s="1660"/>
      <c r="AG161" s="1184"/>
      <c r="AH161" s="1184"/>
      <c r="AI161" s="568"/>
      <c r="AJ161" s="1184"/>
      <c r="AK161" s="1184"/>
      <c r="AL161" s="1184"/>
      <c r="AM161" s="1184"/>
      <c r="AN161" s="1184"/>
      <c r="AO161" s="1656"/>
      <c r="AP161" s="590"/>
      <c r="AQ161" s="590"/>
      <c r="AR161" s="590"/>
      <c r="AS161" s="590"/>
      <c r="AT161" s="1665">
        <v>11</v>
      </c>
    </row>
    <row s="1665" customFormat="1" customHeight="1" ht="11.549999999999999">
      <c r="A162" s="1011"/>
      <c r="B162" s="1660"/>
      <c r="C162" s="1660"/>
      <c r="D162" s="375"/>
      <c r="J162" s="1665"/>
      <c r="K162" s="1665"/>
      <c r="L162" s="1665"/>
      <c r="M162" s="1665"/>
      <c r="N162" s="1665"/>
      <c r="O162" s="1665"/>
      <c r="P162" s="1665"/>
      <c r="Q162" s="1665"/>
      <c r="R162" s="1665"/>
      <c r="S162" s="1665"/>
      <c r="T162" s="1665"/>
      <c r="U162" s="1665"/>
      <c r="V162" s="1665"/>
      <c r="W162" s="1665"/>
      <c r="Y162" s="1184"/>
      <c r="Z162" s="1660"/>
      <c r="AA162" s="1660"/>
      <c r="AB162" s="1184"/>
      <c r="AC162" s="1184"/>
      <c r="AD162" s="1184"/>
      <c r="AE162" s="1184"/>
      <c r="AF162" s="1660"/>
      <c r="AG162" s="1184"/>
      <c r="AH162" s="1184"/>
      <c r="AI162" s="568"/>
      <c r="AJ162" s="1184"/>
      <c r="AK162" s="1184"/>
      <c r="AL162" s="1184"/>
      <c r="AM162" s="1184"/>
      <c r="AN162" s="1184"/>
      <c r="AO162" s="1656"/>
      <c r="AP162" s="590"/>
      <c r="AQ162" s="590"/>
      <c r="AR162" s="590"/>
      <c r="AS162" s="590"/>
      <c r="AT162" s="1665">
        <v>11</v>
      </c>
    </row>
    <row s="1665" customFormat="1" customHeight="1" ht="11.549999999999999">
      <c r="A163" s="1011"/>
      <c r="B163" s="1660"/>
      <c r="C163" s="1660"/>
      <c r="D163" s="375"/>
      <c r="J163" s="1665"/>
      <c r="K163" s="1665"/>
      <c r="L163" s="1665"/>
      <c r="M163" s="1665"/>
      <c r="N163" s="1665"/>
      <c r="O163" s="1665"/>
      <c r="P163" s="1665"/>
      <c r="Q163" s="1665"/>
      <c r="R163" s="1665"/>
      <c r="S163" s="1665"/>
      <c r="T163" s="1665"/>
      <c r="U163" s="1665"/>
      <c r="V163" s="1665"/>
      <c r="W163" s="1665"/>
      <c r="Y163" s="1184"/>
      <c r="Z163" s="1660"/>
      <c r="AA163" s="1660"/>
      <c r="AB163" s="1184"/>
      <c r="AC163" s="1184"/>
      <c r="AD163" s="1184"/>
      <c r="AE163" s="1184"/>
      <c r="AF163" s="1660"/>
      <c r="AG163" s="1184"/>
      <c r="AH163" s="1184"/>
      <c r="AI163" s="568"/>
      <c r="AJ163" s="1184"/>
      <c r="AK163" s="1184"/>
      <c r="AL163" s="1184"/>
      <c r="AM163" s="1184"/>
      <c r="AN163" s="1184"/>
      <c r="AO163" s="1656"/>
      <c r="AP163" s="590"/>
      <c r="AQ163" s="590"/>
      <c r="AR163" s="590"/>
      <c r="AS163" s="590"/>
      <c r="AT163" s="1665">
        <v>11</v>
      </c>
    </row>
    <row s="1665" customFormat="1" customHeight="1" ht="11.549999999999999">
      <c r="A164" s="1011"/>
      <c r="B164" s="1660"/>
      <c r="C164" s="1660"/>
      <c r="D164" s="375"/>
      <c r="J164" s="1665"/>
      <c r="K164" s="1665"/>
      <c r="L164" s="1665"/>
      <c r="M164" s="1665"/>
      <c r="N164" s="1665"/>
      <c r="O164" s="1665"/>
      <c r="P164" s="1665"/>
      <c r="Q164" s="1665"/>
      <c r="R164" s="1665"/>
      <c r="S164" s="1665"/>
      <c r="T164" s="1665"/>
      <c r="U164" s="1665"/>
      <c r="V164" s="1665"/>
      <c r="W164" s="1665"/>
      <c r="Y164" s="1184"/>
      <c r="Z164" s="1660"/>
      <c r="AA164" s="1660"/>
      <c r="AB164" s="1184"/>
      <c r="AC164" s="1184"/>
      <c r="AD164" s="1184"/>
      <c r="AE164" s="1184"/>
      <c r="AF164" s="1660"/>
      <c r="AG164" s="1184"/>
      <c r="AH164" s="1184"/>
      <c r="AI164" s="568"/>
      <c r="AJ164" s="1184"/>
      <c r="AK164" s="1184"/>
      <c r="AL164" s="1184"/>
      <c r="AM164" s="1184"/>
      <c r="AN164" s="1184"/>
      <c r="AO164" s="1656"/>
      <c r="AP164" s="590"/>
      <c r="AQ164" s="590"/>
      <c r="AR164" s="590"/>
      <c r="AS164" s="590"/>
      <c r="AT164" s="1665">
        <v>11</v>
      </c>
    </row>
    <row s="1665" customFormat="1" customHeight="1" ht="11.549999999999999">
      <c r="A165" s="1011"/>
      <c r="B165" s="1660"/>
      <c r="C165" s="1660"/>
      <c r="D165" s="375"/>
      <c r="J165" s="1665"/>
      <c r="K165" s="1665"/>
      <c r="L165" s="1665"/>
      <c r="M165" s="1665"/>
      <c r="N165" s="1665"/>
      <c r="O165" s="1665"/>
      <c r="P165" s="1665"/>
      <c r="Q165" s="1665"/>
      <c r="R165" s="1665"/>
      <c r="S165" s="1665"/>
      <c r="T165" s="1665"/>
      <c r="U165" s="1665"/>
      <c r="V165" s="1665"/>
      <c r="W165" s="1665"/>
      <c r="Y165" s="1184"/>
      <c r="Z165" s="1660"/>
      <c r="AA165" s="1660"/>
      <c r="AB165" s="1184"/>
      <c r="AC165" s="1184"/>
      <c r="AD165" s="1184"/>
      <c r="AE165" s="1184"/>
      <c r="AF165" s="1660"/>
      <c r="AG165" s="1184"/>
      <c r="AH165" s="1184"/>
      <c r="AI165" s="568"/>
      <c r="AJ165" s="1184"/>
      <c r="AK165" s="1184"/>
      <c r="AL165" s="1184"/>
      <c r="AM165" s="1184"/>
      <c r="AN165" s="1184"/>
      <c r="AO165" s="1656"/>
      <c r="AP165" s="590"/>
      <c r="AQ165" s="590"/>
      <c r="AR165" s="590"/>
      <c r="AS165" s="590"/>
      <c r="AT165" s="1665">
        <v>11</v>
      </c>
    </row>
    <row s="1665" customFormat="1" customHeight="1" ht="11.549999999999999">
      <c r="A166" s="1011"/>
      <c r="B166" s="1660"/>
      <c r="C166" s="1660"/>
      <c r="D166" s="375"/>
      <c r="J166" s="1665"/>
      <c r="K166" s="1665"/>
      <c r="L166" s="1665"/>
      <c r="M166" s="1665"/>
      <c r="N166" s="1665"/>
      <c r="O166" s="1665"/>
      <c r="P166" s="1665"/>
      <c r="Q166" s="1665"/>
      <c r="R166" s="1665"/>
      <c r="S166" s="1665"/>
      <c r="T166" s="1665"/>
      <c r="U166" s="1665"/>
      <c r="V166" s="1665"/>
      <c r="W166" s="1665"/>
      <c r="Y166" s="1184"/>
      <c r="Z166" s="1660"/>
      <c r="AA166" s="1660"/>
      <c r="AB166" s="1184"/>
      <c r="AC166" s="1184"/>
      <c r="AD166" s="1184"/>
      <c r="AE166" s="1184"/>
      <c r="AF166" s="1660"/>
      <c r="AG166" s="1184"/>
      <c r="AH166" s="1184"/>
      <c r="AI166" s="568"/>
      <c r="AJ166" s="1184"/>
      <c r="AK166" s="1184"/>
      <c r="AL166" s="1184"/>
      <c r="AM166" s="1184"/>
      <c r="AN166" s="1184"/>
      <c r="AO166" s="1656"/>
      <c r="AP166" s="590"/>
      <c r="AQ166" s="590"/>
      <c r="AR166" s="590"/>
      <c r="AS166" s="590"/>
      <c r="AT166" s="1665">
        <v>11</v>
      </c>
    </row>
    <row s="1665" customFormat="1" customHeight="1" ht="11.549999999999999">
      <c r="A167" s="1011"/>
      <c r="B167" s="1660"/>
      <c r="C167" s="1660"/>
      <c r="D167" s="375"/>
      <c r="J167" s="1665"/>
      <c r="K167" s="1665"/>
      <c r="L167" s="1665"/>
      <c r="M167" s="1665"/>
      <c r="N167" s="1665"/>
      <c r="O167" s="1665"/>
      <c r="P167" s="1665"/>
      <c r="Q167" s="1665"/>
      <c r="R167" s="1665"/>
      <c r="S167" s="1665"/>
      <c r="T167" s="1665"/>
      <c r="U167" s="1665"/>
      <c r="V167" s="1665"/>
      <c r="W167" s="1665"/>
      <c r="Y167" s="1184"/>
      <c r="Z167" s="1660"/>
      <c r="AA167" s="1660"/>
      <c r="AB167" s="1184"/>
      <c r="AC167" s="1184"/>
      <c r="AD167" s="1184"/>
      <c r="AE167" s="1184"/>
      <c r="AF167" s="1660"/>
      <c r="AG167" s="1184"/>
      <c r="AH167" s="1184"/>
      <c r="AI167" s="568"/>
      <c r="AJ167" s="1184"/>
      <c r="AK167" s="1184"/>
      <c r="AL167" s="1184"/>
      <c r="AM167" s="1184"/>
      <c r="AN167" s="1184"/>
      <c r="AO167" s="1656"/>
      <c r="AP167" s="590"/>
      <c r="AQ167" s="590"/>
      <c r="AR167" s="590"/>
      <c r="AS167" s="590"/>
      <c r="AT167" s="1665">
        <v>11</v>
      </c>
    </row>
    <row s="1665" customFormat="1" customHeight="1" ht="11.549999999999999">
      <c r="A168" s="1011"/>
      <c r="B168" s="1660"/>
      <c r="C168" s="1660"/>
      <c r="D168" s="375"/>
      <c r="J168" s="1665"/>
      <c r="K168" s="1665"/>
      <c r="L168" s="1665"/>
      <c r="M168" s="1665"/>
      <c r="N168" s="1665"/>
      <c r="O168" s="1665"/>
      <c r="P168" s="1665"/>
      <c r="Q168" s="1665"/>
      <c r="R168" s="1665"/>
      <c r="S168" s="1665"/>
      <c r="T168" s="1665"/>
      <c r="U168" s="1665"/>
      <c r="V168" s="1665"/>
      <c r="W168" s="1665"/>
      <c r="Y168" s="1184"/>
      <c r="Z168" s="1660"/>
      <c r="AA168" s="1660"/>
      <c r="AB168" s="1184"/>
      <c r="AC168" s="1184"/>
      <c r="AD168" s="1184"/>
      <c r="AE168" s="1184"/>
      <c r="AF168" s="1660"/>
      <c r="AG168" s="1184"/>
      <c r="AH168" s="1184"/>
      <c r="AI168" s="568"/>
      <c r="AJ168" s="1184"/>
      <c r="AK168" s="1184"/>
      <c r="AL168" s="1184"/>
      <c r="AM168" s="1184"/>
      <c r="AN168" s="1184"/>
      <c r="AO168" s="1656"/>
      <c r="AP168" s="590"/>
      <c r="AQ168" s="590"/>
      <c r="AR168" s="590"/>
      <c r="AS168" s="590"/>
      <c r="AT168" s="1665">
        <v>11</v>
      </c>
    </row>
    <row s="1665" customFormat="1" customHeight="1" ht="11.549999999999999">
      <c r="A169" s="1011"/>
      <c r="B169" s="1660"/>
      <c r="C169" s="1660"/>
      <c r="D169" s="375"/>
      <c r="J169" s="1665"/>
      <c r="K169" s="1665"/>
      <c r="L169" s="1665"/>
      <c r="M169" s="1665"/>
      <c r="N169" s="1665"/>
      <c r="O169" s="1665"/>
      <c r="P169" s="1665"/>
      <c r="Q169" s="1665"/>
      <c r="R169" s="1665"/>
      <c r="S169" s="1665"/>
      <c r="T169" s="1665"/>
      <c r="U169" s="1665"/>
      <c r="V169" s="1665"/>
      <c r="W169" s="1665"/>
      <c r="Y169" s="1184"/>
      <c r="Z169" s="1660"/>
      <c r="AA169" s="1660"/>
      <c r="AB169" s="1184"/>
      <c r="AC169" s="1184"/>
      <c r="AD169" s="1184"/>
      <c r="AE169" s="1184"/>
      <c r="AF169" s="1660"/>
      <c r="AG169" s="1184"/>
      <c r="AH169" s="1184"/>
      <c r="AI169" s="568"/>
      <c r="AJ169" s="1184"/>
      <c r="AK169" s="1184"/>
      <c r="AL169" s="1184"/>
      <c r="AM169" s="1184"/>
      <c r="AN169" s="1184"/>
      <c r="AO169" s="1656"/>
      <c r="AP169" s="590"/>
      <c r="AQ169" s="590"/>
      <c r="AR169" s="590"/>
      <c r="AS169" s="590"/>
      <c r="AT169" s="1665">
        <v>11</v>
      </c>
    </row>
    <row s="1665" customFormat="1" customHeight="1" ht="11.549999999999999">
      <c r="A170" s="1011"/>
      <c r="B170" s="1660"/>
      <c r="C170" s="1660"/>
      <c r="D170" s="375"/>
      <c r="J170" s="1665"/>
      <c r="K170" s="1665"/>
      <c r="L170" s="1665"/>
      <c r="M170" s="1665"/>
      <c r="N170" s="1665"/>
      <c r="O170" s="1665"/>
      <c r="P170" s="1665"/>
      <c r="Q170" s="1665"/>
      <c r="R170" s="1665"/>
      <c r="S170" s="1665"/>
      <c r="T170" s="1665"/>
      <c r="U170" s="1665"/>
      <c r="V170" s="1665"/>
      <c r="W170" s="1665"/>
      <c r="Y170" s="1184"/>
      <c r="Z170" s="1660"/>
      <c r="AA170" s="1660"/>
      <c r="AB170" s="1184"/>
      <c r="AC170" s="1184"/>
      <c r="AD170" s="1184"/>
      <c r="AE170" s="1184"/>
      <c r="AF170" s="1660"/>
      <c r="AG170" s="1184"/>
      <c r="AH170" s="1184"/>
      <c r="AI170" s="568"/>
      <c r="AJ170" s="1184"/>
      <c r="AK170" s="1184"/>
      <c r="AL170" s="1184"/>
      <c r="AM170" s="1184"/>
      <c r="AN170" s="1184"/>
      <c r="AO170" s="1656"/>
      <c r="AP170" s="590"/>
      <c r="AQ170" s="590"/>
      <c r="AR170" s="590"/>
      <c r="AS170" s="590"/>
      <c r="AT170" s="1665">
        <v>11</v>
      </c>
    </row>
    <row s="1665" customFormat="1" customHeight="1" ht="11.549999999999999">
      <c r="A171" s="1011"/>
      <c r="B171" s="1660"/>
      <c r="C171" s="1660"/>
      <c r="D171" s="375"/>
      <c r="J171" s="1665"/>
      <c r="K171" s="1665"/>
      <c r="L171" s="1665"/>
      <c r="M171" s="1665"/>
      <c r="N171" s="1665"/>
      <c r="O171" s="1665"/>
      <c r="P171" s="1665"/>
      <c r="Q171" s="1665"/>
      <c r="R171" s="1665"/>
      <c r="S171" s="1665"/>
      <c r="T171" s="1665"/>
      <c r="U171" s="1665"/>
      <c r="V171" s="1665"/>
      <c r="W171" s="1665"/>
      <c r="Y171" s="1184"/>
      <c r="Z171" s="1660"/>
      <c r="AA171" s="1660"/>
      <c r="AB171" s="1184"/>
      <c r="AC171" s="1184"/>
      <c r="AD171" s="1184"/>
      <c r="AE171" s="1184"/>
      <c r="AF171" s="1660"/>
      <c r="AG171" s="1184"/>
      <c r="AH171" s="1184"/>
      <c r="AI171" s="568"/>
      <c r="AJ171" s="1184"/>
      <c r="AK171" s="1184"/>
      <c r="AL171" s="1184"/>
      <c r="AM171" s="1184"/>
      <c r="AN171" s="1184"/>
      <c r="AO171" s="1656"/>
      <c r="AP171" s="590"/>
      <c r="AQ171" s="590"/>
      <c r="AR171" s="590"/>
      <c r="AS171" s="590"/>
      <c r="AT171" s="1665">
        <v>11</v>
      </c>
    </row>
    <row s="1665" customFormat="1" customHeight="1" ht="11.549999999999999">
      <c r="A172" s="1011"/>
      <c r="B172" s="1660"/>
      <c r="C172" s="1660"/>
      <c r="D172" s="375"/>
      <c r="J172" s="1665"/>
      <c r="K172" s="1665"/>
      <c r="L172" s="1665"/>
      <c r="M172" s="1665"/>
      <c r="N172" s="1665"/>
      <c r="O172" s="1665"/>
      <c r="P172" s="1665"/>
      <c r="Q172" s="1665"/>
      <c r="R172" s="1665"/>
      <c r="S172" s="1665"/>
      <c r="T172" s="1665"/>
      <c r="U172" s="1665"/>
      <c r="V172" s="1665"/>
      <c r="W172" s="1665"/>
      <c r="Y172" s="1184"/>
      <c r="Z172" s="1660"/>
      <c r="AA172" s="1660"/>
      <c r="AB172" s="1184"/>
      <c r="AC172" s="1184"/>
      <c r="AD172" s="1184"/>
      <c r="AE172" s="1184"/>
      <c r="AF172" s="1660"/>
      <c r="AG172" s="1184"/>
      <c r="AH172" s="1184"/>
      <c r="AI172" s="568"/>
      <c r="AJ172" s="1184"/>
      <c r="AK172" s="1184"/>
      <c r="AL172" s="1184"/>
      <c r="AM172" s="1184"/>
      <c r="AN172" s="1184"/>
      <c r="AO172" s="1656"/>
      <c r="AP172" s="590"/>
      <c r="AQ172" s="590"/>
      <c r="AR172" s="590"/>
      <c r="AS172" s="590"/>
      <c r="AT172" s="1665">
        <v>11</v>
      </c>
    </row>
    <row s="1665" customFormat="1" customHeight="1" ht="11.549999999999999">
      <c r="A173" s="1011"/>
      <c r="B173" s="1660"/>
      <c r="C173" s="1660"/>
      <c r="D173" s="375"/>
      <c r="J173" s="1665"/>
      <c r="K173" s="1665"/>
      <c r="L173" s="1665"/>
      <c r="M173" s="1665"/>
      <c r="N173" s="1665"/>
      <c r="O173" s="1665"/>
      <c r="P173" s="1665"/>
      <c r="Q173" s="1665"/>
      <c r="R173" s="1665"/>
      <c r="S173" s="1665"/>
      <c r="T173" s="1665"/>
      <c r="U173" s="1665"/>
      <c r="V173" s="1665"/>
      <c r="W173" s="1665"/>
      <c r="Y173" s="1184"/>
      <c r="Z173" s="1660"/>
      <c r="AA173" s="1660"/>
      <c r="AB173" s="1184"/>
      <c r="AC173" s="1184"/>
      <c r="AD173" s="1184"/>
      <c r="AE173" s="1184"/>
      <c r="AF173" s="1660"/>
      <c r="AG173" s="1184"/>
      <c r="AH173" s="1184"/>
      <c r="AI173" s="568"/>
      <c r="AJ173" s="1184"/>
      <c r="AK173" s="1184"/>
      <c r="AL173" s="1184"/>
      <c r="AM173" s="1184"/>
      <c r="AN173" s="1184"/>
      <c r="AO173" s="1656"/>
      <c r="AP173" s="590"/>
      <c r="AQ173" s="590"/>
      <c r="AR173" s="590"/>
      <c r="AS173" s="590"/>
      <c r="AT173" s="1665">
        <v>11</v>
      </c>
    </row>
    <row s="1665" customFormat="1" customHeight="1" ht="11.549999999999999">
      <c r="A174" s="1011"/>
      <c r="B174" s="1660"/>
      <c r="C174" s="1660"/>
      <c r="D174" s="375"/>
      <c r="J174" s="1665"/>
      <c r="K174" s="1665"/>
      <c r="L174" s="1665"/>
      <c r="M174" s="1665"/>
      <c r="N174" s="1665"/>
      <c r="O174" s="1665"/>
      <c r="P174" s="1665"/>
      <c r="Q174" s="1665"/>
      <c r="R174" s="1665"/>
      <c r="S174" s="1665"/>
      <c r="T174" s="1665"/>
      <c r="U174" s="1665"/>
      <c r="V174" s="1665"/>
      <c r="W174" s="1665"/>
      <c r="Y174" s="1184"/>
      <c r="Z174" s="1660"/>
      <c r="AA174" s="1660"/>
      <c r="AB174" s="1184"/>
      <c r="AC174" s="1184"/>
      <c r="AD174" s="1184"/>
      <c r="AE174" s="1184"/>
      <c r="AF174" s="1660"/>
      <c r="AG174" s="1184"/>
      <c r="AH174" s="1184"/>
      <c r="AI174" s="568"/>
      <c r="AJ174" s="1184"/>
      <c r="AK174" s="1184"/>
      <c r="AL174" s="1184"/>
      <c r="AM174" s="1184"/>
      <c r="AN174" s="1184"/>
      <c r="AO174" s="1656"/>
      <c r="AP174" s="590"/>
      <c r="AQ174" s="590"/>
      <c r="AR174" s="590"/>
      <c r="AS174" s="590"/>
      <c r="AT174" s="1665">
        <v>11</v>
      </c>
    </row>
    <row s="1665" customFormat="1" customHeight="1" ht="11.549999999999999">
      <c r="A175" s="1011"/>
      <c r="B175" s="1660"/>
      <c r="C175" s="1660"/>
      <c r="D175" s="375"/>
      <c r="J175" s="1665"/>
      <c r="K175" s="1665"/>
      <c r="L175" s="1665"/>
      <c r="M175" s="1665"/>
      <c r="N175" s="1665"/>
      <c r="O175" s="1665"/>
      <c r="P175" s="1665"/>
      <c r="Q175" s="1665"/>
      <c r="R175" s="1665"/>
      <c r="S175" s="1665"/>
      <c r="T175" s="1665"/>
      <c r="U175" s="1665"/>
      <c r="V175" s="1665"/>
      <c r="W175" s="1665"/>
      <c r="Y175" s="1184"/>
      <c r="Z175" s="1660"/>
      <c r="AA175" s="1660"/>
      <c r="AB175" s="1184"/>
      <c r="AC175" s="1184"/>
      <c r="AD175" s="1184"/>
      <c r="AE175" s="1184"/>
      <c r="AF175" s="1660"/>
      <c r="AG175" s="1184"/>
      <c r="AH175" s="1184"/>
      <c r="AI175" s="568"/>
      <c r="AJ175" s="1184"/>
      <c r="AK175" s="1184"/>
      <c r="AL175" s="1184"/>
      <c r="AM175" s="1184"/>
      <c r="AN175" s="1184"/>
      <c r="AO175" s="1656"/>
      <c r="AP175" s="590"/>
      <c r="AQ175" s="590"/>
      <c r="AR175" s="590"/>
      <c r="AS175" s="590"/>
      <c r="AT175" s="1665">
        <v>11</v>
      </c>
    </row>
    <row s="1665" customFormat="1" customHeight="1" ht="11.549999999999999">
      <c r="A176" s="1011"/>
      <c r="B176" s="1660"/>
      <c r="C176" s="1660"/>
      <c r="D176" s="375"/>
      <c r="J176" s="1665"/>
      <c r="K176" s="1665"/>
      <c r="L176" s="1665"/>
      <c r="M176" s="1665"/>
      <c r="N176" s="1665"/>
      <c r="O176" s="1665"/>
      <c r="P176" s="1665"/>
      <c r="Q176" s="1665"/>
      <c r="R176" s="1665"/>
      <c r="S176" s="1665"/>
      <c r="T176" s="1665"/>
      <c r="U176" s="1665"/>
      <c r="V176" s="1665"/>
      <c r="W176" s="1665"/>
      <c r="Y176" s="1184"/>
      <c r="Z176" s="1660"/>
      <c r="AA176" s="1660"/>
      <c r="AB176" s="1184"/>
      <c r="AC176" s="1184"/>
      <c r="AD176" s="1184"/>
      <c r="AE176" s="1184"/>
      <c r="AF176" s="1660"/>
      <c r="AG176" s="1184"/>
      <c r="AH176" s="1184"/>
      <c r="AI176" s="568"/>
      <c r="AJ176" s="1184"/>
      <c r="AK176" s="1184"/>
      <c r="AL176" s="1184"/>
      <c r="AM176" s="1184"/>
      <c r="AN176" s="1184"/>
      <c r="AO176" s="1656"/>
      <c r="AP176" s="590"/>
      <c r="AQ176" s="590"/>
      <c r="AR176" s="590"/>
      <c r="AS176" s="590"/>
      <c r="AT176" s="1665">
        <v>11</v>
      </c>
    </row>
    <row s="1665" customFormat="1" customHeight="1" ht="11.549999999999999">
      <c r="A177" s="1011"/>
      <c r="B177" s="1660"/>
      <c r="C177" s="1660"/>
      <c r="D177" s="375"/>
      <c r="J177" s="1665"/>
      <c r="K177" s="1665"/>
      <c r="L177" s="1665"/>
      <c r="M177" s="1665"/>
      <c r="N177" s="1665"/>
      <c r="O177" s="1665"/>
      <c r="P177" s="1665"/>
      <c r="Q177" s="1665"/>
      <c r="R177" s="1665"/>
      <c r="S177" s="1665"/>
      <c r="T177" s="1665"/>
      <c r="U177" s="1665"/>
      <c r="V177" s="1665"/>
      <c r="W177" s="1665"/>
      <c r="Y177" s="1184"/>
      <c r="Z177" s="1660"/>
      <c r="AA177" s="1660"/>
      <c r="AB177" s="1184"/>
      <c r="AC177" s="1184"/>
      <c r="AD177" s="1184"/>
      <c r="AE177" s="1184"/>
      <c r="AF177" s="1660"/>
      <c r="AG177" s="1184"/>
      <c r="AH177" s="1184"/>
      <c r="AI177" s="568"/>
      <c r="AJ177" s="1184"/>
      <c r="AK177" s="1184"/>
      <c r="AL177" s="1184"/>
      <c r="AM177" s="1184"/>
      <c r="AN177" s="1184"/>
      <c r="AO177" s="1656"/>
      <c r="AP177" s="590"/>
      <c r="AQ177" s="590"/>
      <c r="AR177" s="590"/>
      <c r="AS177" s="590"/>
      <c r="AT177" s="1665">
        <v>11</v>
      </c>
    </row>
    <row s="1665" customFormat="1" customHeight="1" ht="11.549999999999999">
      <c r="A178" s="1011"/>
      <c r="B178" s="1660"/>
      <c r="C178" s="1660"/>
      <c r="D178" s="375"/>
      <c r="J178" s="1665"/>
      <c r="K178" s="1665"/>
      <c r="L178" s="1665"/>
      <c r="M178" s="1665"/>
      <c r="N178" s="1665"/>
      <c r="O178" s="1665"/>
      <c r="P178" s="1665"/>
      <c r="Q178" s="1665"/>
      <c r="R178" s="1665"/>
      <c r="S178" s="1665"/>
      <c r="T178" s="1665"/>
      <c r="U178" s="1665"/>
      <c r="V178" s="1665"/>
      <c r="W178" s="1665"/>
      <c r="Y178" s="1184"/>
      <c r="Z178" s="1660"/>
      <c r="AA178" s="1660"/>
      <c r="AB178" s="1184"/>
      <c r="AC178" s="1184"/>
      <c r="AD178" s="1184"/>
      <c r="AE178" s="1184"/>
      <c r="AF178" s="1660"/>
      <c r="AG178" s="1184"/>
      <c r="AH178" s="1184"/>
      <c r="AI178" s="568"/>
      <c r="AJ178" s="1184"/>
      <c r="AK178" s="1184"/>
      <c r="AL178" s="1184"/>
      <c r="AM178" s="1184"/>
      <c r="AN178" s="1184"/>
      <c r="AO178" s="1656"/>
      <c r="AP178" s="590"/>
      <c r="AQ178" s="590"/>
      <c r="AR178" s="590"/>
      <c r="AS178" s="590"/>
      <c r="AT178" s="1665">
        <v>11</v>
      </c>
    </row>
    <row s="1665" customFormat="1" customHeight="1" ht="11.549999999999999">
      <c r="A179" s="1011"/>
      <c r="B179" s="1660"/>
      <c r="C179" s="1660"/>
      <c r="D179" s="375"/>
      <c r="J179" s="1665"/>
      <c r="K179" s="1665"/>
      <c r="L179" s="1665"/>
      <c r="M179" s="1665"/>
      <c r="N179" s="1665"/>
      <c r="O179" s="1665"/>
      <c r="P179" s="1665"/>
      <c r="Q179" s="1665"/>
      <c r="R179" s="1665"/>
      <c r="S179" s="1665"/>
      <c r="T179" s="1665"/>
      <c r="U179" s="1665"/>
      <c r="V179" s="1665"/>
      <c r="W179" s="1665"/>
      <c r="Y179" s="1184"/>
      <c r="Z179" s="1660"/>
      <c r="AA179" s="1660"/>
      <c r="AB179" s="1184"/>
      <c r="AC179" s="1184"/>
      <c r="AD179" s="1184"/>
      <c r="AE179" s="1184"/>
      <c r="AF179" s="1660"/>
      <c r="AG179" s="1184"/>
      <c r="AH179" s="1184"/>
      <c r="AI179" s="568"/>
      <c r="AJ179" s="1184"/>
      <c r="AK179" s="1184"/>
      <c r="AL179" s="1184"/>
      <c r="AM179" s="1184"/>
      <c r="AN179" s="1184"/>
      <c r="AO179" s="1656"/>
      <c r="AP179" s="590"/>
      <c r="AQ179" s="590"/>
      <c r="AR179" s="590"/>
      <c r="AS179" s="590"/>
      <c r="AT179" s="1665">
        <v>11</v>
      </c>
    </row>
    <row s="1665" customFormat="1" customHeight="1" ht="11.549999999999999">
      <c r="A180" s="1011"/>
      <c r="B180" s="1660"/>
      <c r="C180" s="1660"/>
      <c r="D180" s="375"/>
      <c r="J180" s="1665"/>
      <c r="K180" s="1665"/>
      <c r="L180" s="1665"/>
      <c r="M180" s="1665"/>
      <c r="N180" s="1665"/>
      <c r="O180" s="1665"/>
      <c r="P180" s="1665"/>
      <c r="Q180" s="1665"/>
      <c r="R180" s="1665"/>
      <c r="S180" s="1665"/>
      <c r="T180" s="1665"/>
      <c r="U180" s="1665"/>
      <c r="V180" s="1665"/>
      <c r="W180" s="1665"/>
      <c r="Y180" s="1184"/>
      <c r="Z180" s="1660"/>
      <c r="AA180" s="1660"/>
      <c r="AB180" s="1184"/>
      <c r="AC180" s="1184"/>
      <c r="AD180" s="1184"/>
      <c r="AE180" s="1184"/>
      <c r="AF180" s="1660"/>
      <c r="AG180" s="1184"/>
      <c r="AH180" s="1184"/>
      <c r="AI180" s="568"/>
      <c r="AJ180" s="1184"/>
      <c r="AK180" s="1184"/>
      <c r="AL180" s="1184"/>
      <c r="AM180" s="1184"/>
      <c r="AN180" s="1184"/>
      <c r="AO180" s="1656"/>
      <c r="AP180" s="590"/>
      <c r="AQ180" s="590"/>
      <c r="AR180" s="590"/>
      <c r="AS180" s="590"/>
      <c r="AT180" s="1665">
        <v>11</v>
      </c>
    </row>
    <row s="1665" customFormat="1" customHeight="1" ht="11.549999999999999">
      <c r="A181" s="1011"/>
      <c r="B181" s="1660"/>
      <c r="C181" s="1660"/>
      <c r="D181" s="375"/>
      <c r="J181" s="1665"/>
      <c r="K181" s="1665"/>
      <c r="L181" s="1665"/>
      <c r="M181" s="1665"/>
      <c r="N181" s="1665"/>
      <c r="O181" s="1665"/>
      <c r="P181" s="1665"/>
      <c r="Q181" s="1665"/>
      <c r="R181" s="1665"/>
      <c r="S181" s="1665"/>
      <c r="T181" s="1665"/>
      <c r="U181" s="1665"/>
      <c r="V181" s="1665"/>
      <c r="W181" s="1665"/>
      <c r="Y181" s="1184"/>
      <c r="Z181" s="1660"/>
      <c r="AA181" s="1660"/>
      <c r="AB181" s="1184"/>
      <c r="AC181" s="1184"/>
      <c r="AD181" s="1184"/>
      <c r="AE181" s="1184"/>
      <c r="AF181" s="1660"/>
      <c r="AG181" s="1184"/>
      <c r="AH181" s="1184"/>
      <c r="AI181" s="568"/>
      <c r="AJ181" s="1184"/>
      <c r="AK181" s="1184"/>
      <c r="AL181" s="1184"/>
      <c r="AM181" s="1184"/>
      <c r="AN181" s="1184"/>
      <c r="AO181" s="1656"/>
      <c r="AP181" s="590"/>
      <c r="AQ181" s="590"/>
      <c r="AR181" s="590"/>
      <c r="AS181" s="590"/>
      <c r="AT181" s="1665">
        <v>11</v>
      </c>
    </row>
    <row s="1665" customFormat="1" customHeight="1" ht="11.549999999999999">
      <c r="A182" s="1011"/>
      <c r="B182" s="1660"/>
      <c r="C182" s="1660"/>
      <c r="D182" s="375"/>
      <c r="J182" s="1665"/>
      <c r="K182" s="1665"/>
      <c r="L182" s="1665"/>
      <c r="M182" s="1665"/>
      <c r="N182" s="1665"/>
      <c r="O182" s="1665"/>
      <c r="P182" s="1665"/>
      <c r="Q182" s="1665"/>
      <c r="R182" s="1665"/>
      <c r="S182" s="1665"/>
      <c r="T182" s="1665"/>
      <c r="U182" s="1665"/>
      <c r="V182" s="1665"/>
      <c r="W182" s="1665"/>
      <c r="Y182" s="1184"/>
      <c r="Z182" s="1660"/>
      <c r="AA182" s="1660"/>
      <c r="AB182" s="1184"/>
      <c r="AC182" s="1184"/>
      <c r="AD182" s="1184"/>
      <c r="AE182" s="1184"/>
      <c r="AF182" s="1660"/>
      <c r="AG182" s="1184"/>
      <c r="AH182" s="1184"/>
      <c r="AI182" s="568"/>
      <c r="AJ182" s="1184"/>
      <c r="AK182" s="1184"/>
      <c r="AL182" s="1184"/>
      <c r="AM182" s="1184"/>
      <c r="AN182" s="1184"/>
      <c r="AO182" s="1656"/>
      <c r="AP182" s="590"/>
      <c r="AQ182" s="590"/>
      <c r="AR182" s="590"/>
      <c r="AS182" s="590"/>
      <c r="AT182" s="1665">
        <v>11</v>
      </c>
    </row>
    <row s="1665" customFormat="1" customHeight="1" ht="11.549999999999999">
      <c r="A183" s="1011"/>
      <c r="B183" s="1660"/>
      <c r="C183" s="1660"/>
      <c r="D183" s="375"/>
      <c r="J183" s="1665"/>
      <c r="K183" s="1665"/>
      <c r="L183" s="1665"/>
      <c r="M183" s="1665"/>
      <c r="N183" s="1665"/>
      <c r="O183" s="1665"/>
      <c r="P183" s="1665"/>
      <c r="Q183" s="1665"/>
      <c r="R183" s="1665"/>
      <c r="S183" s="1665"/>
      <c r="T183" s="1665"/>
      <c r="U183" s="1665"/>
      <c r="V183" s="1665"/>
      <c r="W183" s="1665"/>
      <c r="Y183" s="1184"/>
      <c r="Z183" s="1660"/>
      <c r="AA183" s="1660"/>
      <c r="AB183" s="1184"/>
      <c r="AC183" s="1184"/>
      <c r="AD183" s="1184"/>
      <c r="AE183" s="1184"/>
      <c r="AF183" s="1660"/>
      <c r="AG183" s="1184"/>
      <c r="AH183" s="1184"/>
      <c r="AI183" s="568"/>
      <c r="AJ183" s="1184"/>
      <c r="AK183" s="1184"/>
      <c r="AL183" s="1184"/>
      <c r="AM183" s="1184"/>
      <c r="AN183" s="1184"/>
      <c r="AO183" s="1656"/>
      <c r="AP183" s="590"/>
      <c r="AQ183" s="590"/>
      <c r="AR183" s="590"/>
      <c r="AS183" s="590"/>
      <c r="AT183" s="1665">
        <v>11</v>
      </c>
    </row>
    <row s="1665" customFormat="1" customHeight="1" ht="11.549999999999999">
      <c r="A184" s="1011"/>
      <c r="B184" s="1660"/>
      <c r="C184" s="1660"/>
      <c r="D184" s="375"/>
      <c r="J184" s="1665"/>
      <c r="K184" s="1665"/>
      <c r="L184" s="1665"/>
      <c r="M184" s="1665"/>
      <c r="N184" s="1665"/>
      <c r="O184" s="1665"/>
      <c r="P184" s="1665"/>
      <c r="Q184" s="1665"/>
      <c r="R184" s="1665"/>
      <c r="S184" s="1665"/>
      <c r="T184" s="1665"/>
      <c r="U184" s="1665"/>
      <c r="V184" s="1665"/>
      <c r="W184" s="1665"/>
      <c r="Y184" s="1184"/>
      <c r="Z184" s="1660"/>
      <c r="AA184" s="1660"/>
      <c r="AB184" s="1184"/>
      <c r="AC184" s="1184"/>
      <c r="AD184" s="1184"/>
      <c r="AE184" s="1184"/>
      <c r="AF184" s="1660"/>
      <c r="AG184" s="1184"/>
      <c r="AH184" s="1184"/>
      <c r="AI184" s="568"/>
      <c r="AJ184" s="1184"/>
      <c r="AK184" s="1184"/>
      <c r="AL184" s="1184"/>
      <c r="AM184" s="1184"/>
      <c r="AN184" s="1184"/>
      <c r="AO184" s="1656"/>
      <c r="AP184" s="590"/>
      <c r="AQ184" s="590"/>
      <c r="AR184" s="590"/>
      <c r="AS184" s="590"/>
      <c r="AT184" s="1665">
        <v>11</v>
      </c>
    </row>
    <row s="1665" customFormat="1" customHeight="1" ht="11.549999999999999">
      <c r="A185" s="1011"/>
      <c r="B185" s="1660"/>
      <c r="C185" s="1660"/>
      <c r="D185" s="375"/>
      <c r="J185" s="1665"/>
      <c r="K185" s="1665"/>
      <c r="L185" s="1665"/>
      <c r="M185" s="1665"/>
      <c r="N185" s="1665"/>
      <c r="O185" s="1665"/>
      <c r="P185" s="1665"/>
      <c r="Q185" s="1665"/>
      <c r="R185" s="1665"/>
      <c r="S185" s="1665"/>
      <c r="T185" s="1665"/>
      <c r="U185" s="1665"/>
      <c r="V185" s="1665"/>
      <c r="W185" s="1665"/>
      <c r="Y185" s="1184"/>
      <c r="Z185" s="1660"/>
      <c r="AA185" s="1660"/>
      <c r="AB185" s="1184"/>
      <c r="AC185" s="1184"/>
      <c r="AD185" s="1184"/>
      <c r="AE185" s="1184"/>
      <c r="AF185" s="1660"/>
      <c r="AG185" s="1184"/>
      <c r="AH185" s="1184"/>
      <c r="AI185" s="568"/>
      <c r="AJ185" s="1184"/>
      <c r="AK185" s="1184"/>
      <c r="AL185" s="1184"/>
      <c r="AM185" s="1184"/>
      <c r="AN185" s="1184"/>
      <c r="AO185" s="1656"/>
      <c r="AP185" s="590"/>
      <c r="AQ185" s="590"/>
      <c r="AR185" s="590"/>
      <c r="AS185" s="590"/>
      <c r="AT185" s="1665">
        <v>11</v>
      </c>
    </row>
    <row s="1665" customFormat="1" customHeight="1" ht="11.549999999999999">
      <c r="A186" s="1011"/>
      <c r="B186" s="1660"/>
      <c r="C186" s="1660"/>
      <c r="D186" s="375"/>
      <c r="J186" s="1665"/>
      <c r="K186" s="1665"/>
      <c r="L186" s="1665"/>
      <c r="M186" s="1665"/>
      <c r="N186" s="1665"/>
      <c r="O186" s="1665"/>
      <c r="P186" s="1665"/>
      <c r="Q186" s="1665"/>
      <c r="R186" s="1665"/>
      <c r="S186" s="1665"/>
      <c r="T186" s="1665"/>
      <c r="U186" s="1665"/>
      <c r="V186" s="1665"/>
      <c r="W186" s="1665"/>
      <c r="Y186" s="1184"/>
      <c r="Z186" s="1660"/>
      <c r="AA186" s="1660"/>
      <c r="AB186" s="1184"/>
      <c r="AC186" s="1184"/>
      <c r="AD186" s="1184"/>
      <c r="AE186" s="1184"/>
      <c r="AF186" s="1660"/>
      <c r="AG186" s="1184"/>
      <c r="AH186" s="1184"/>
      <c r="AI186" s="568"/>
      <c r="AJ186" s="1184"/>
      <c r="AK186" s="1184"/>
      <c r="AL186" s="1184"/>
      <c r="AM186" s="1184"/>
      <c r="AN186" s="1184"/>
      <c r="AO186" s="1656"/>
      <c r="AP186" s="590"/>
      <c r="AQ186" s="590"/>
      <c r="AR186" s="590"/>
      <c r="AS186" s="590"/>
      <c r="AT186" s="1665">
        <v>11</v>
      </c>
    </row>
    <row s="1665" customFormat="1" customHeight="1" ht="11.549999999999999">
      <c r="A187" s="1011"/>
      <c r="B187" s="1660"/>
      <c r="C187" s="1660"/>
      <c r="D187" s="375"/>
      <c r="J187" s="1665"/>
      <c r="K187" s="1665"/>
      <c r="L187" s="1665"/>
      <c r="M187" s="1665"/>
      <c r="N187" s="1665"/>
      <c r="O187" s="1665"/>
      <c r="P187" s="1665"/>
      <c r="Q187" s="1665"/>
      <c r="R187" s="1665"/>
      <c r="S187" s="1665"/>
      <c r="T187" s="1665"/>
      <c r="U187" s="1665"/>
      <c r="V187" s="1665"/>
      <c r="W187" s="1665"/>
      <c r="Y187" s="1184"/>
      <c r="Z187" s="1660"/>
      <c r="AA187" s="1660"/>
      <c r="AB187" s="1184"/>
      <c r="AC187" s="1184"/>
      <c r="AD187" s="1184"/>
      <c r="AE187" s="1184"/>
      <c r="AF187" s="1660"/>
      <c r="AG187" s="1184"/>
      <c r="AH187" s="1184"/>
      <c r="AI187" s="568"/>
      <c r="AJ187" s="1184"/>
      <c r="AK187" s="1184"/>
      <c r="AL187" s="1184"/>
      <c r="AM187" s="1184"/>
      <c r="AN187" s="1184"/>
      <c r="AO187" s="1656"/>
      <c r="AP187" s="590"/>
      <c r="AQ187" s="590"/>
      <c r="AR187" s="590"/>
      <c r="AS187" s="590"/>
      <c r="AT187" s="1665">
        <v>11</v>
      </c>
    </row>
    <row s="1665" customFormat="1" customHeight="1" ht="11.549999999999999">
      <c r="A188" s="1011"/>
      <c r="B188" s="1660"/>
      <c r="C188" s="1660"/>
      <c r="D188" s="375"/>
      <c r="J188" s="1665"/>
      <c r="K188" s="1665"/>
      <c r="L188" s="1665"/>
      <c r="M188" s="1665"/>
      <c r="N188" s="1665"/>
      <c r="O188" s="1665"/>
      <c r="P188" s="1665"/>
      <c r="Q188" s="1665"/>
      <c r="R188" s="1665"/>
      <c r="S188" s="1665"/>
      <c r="T188" s="1665"/>
      <c r="U188" s="1665"/>
      <c r="V188" s="1665"/>
      <c r="W188" s="1665"/>
      <c r="Y188" s="1184"/>
      <c r="Z188" s="1660"/>
      <c r="AA188" s="1660"/>
      <c r="AB188" s="1184"/>
      <c r="AC188" s="1184"/>
      <c r="AD188" s="1184"/>
      <c r="AE188" s="1184"/>
      <c r="AF188" s="1660"/>
      <c r="AG188" s="1184"/>
      <c r="AH188" s="1184"/>
      <c r="AI188" s="568"/>
      <c r="AJ188" s="1184"/>
      <c r="AK188" s="1184"/>
      <c r="AL188" s="1184"/>
      <c r="AM188" s="1184"/>
      <c r="AN188" s="1184"/>
      <c r="AO188" s="1656"/>
      <c r="AP188" s="590"/>
      <c r="AQ188" s="590"/>
      <c r="AR188" s="590"/>
      <c r="AS188" s="590"/>
      <c r="AT188" s="1665">
        <v>11</v>
      </c>
    </row>
    <row s="1665" customFormat="1" customHeight="1" ht="11.549999999999999">
      <c r="A189" s="1011"/>
      <c r="B189" s="1660"/>
      <c r="C189" s="1660"/>
      <c r="D189" s="375"/>
      <c r="J189" s="1665"/>
      <c r="K189" s="1665"/>
      <c r="L189" s="1665"/>
      <c r="M189" s="1665"/>
      <c r="N189" s="1665"/>
      <c r="O189" s="1665"/>
      <c r="P189" s="1665"/>
      <c r="Q189" s="1665"/>
      <c r="R189" s="1665"/>
      <c r="S189" s="1665"/>
      <c r="T189" s="1665"/>
      <c r="U189" s="1665"/>
      <c r="V189" s="1665"/>
      <c r="W189" s="1665"/>
      <c r="Y189" s="1184"/>
      <c r="Z189" s="1660"/>
      <c r="AA189" s="1660"/>
      <c r="AB189" s="1184"/>
      <c r="AC189" s="1184"/>
      <c r="AD189" s="1184"/>
      <c r="AE189" s="1184"/>
      <c r="AF189" s="1660"/>
      <c r="AG189" s="1184"/>
      <c r="AH189" s="1184"/>
      <c r="AI189" s="568"/>
      <c r="AJ189" s="1184"/>
      <c r="AK189" s="1184"/>
      <c r="AL189" s="1184"/>
      <c r="AM189" s="1184"/>
      <c r="AN189" s="1184"/>
      <c r="AO189" s="1656"/>
      <c r="AP189" s="590"/>
      <c r="AQ189" s="590"/>
      <c r="AR189" s="590"/>
      <c r="AS189" s="590"/>
      <c r="AT189" s="1665">
        <v>11</v>
      </c>
    </row>
    <row s="1665" customFormat="1" customHeight="1" ht="11.549999999999999">
      <c r="A190" s="1011"/>
      <c r="B190" s="1660"/>
      <c r="C190" s="1660"/>
      <c r="D190" s="375"/>
      <c r="J190" s="1665"/>
      <c r="K190" s="1665"/>
      <c r="L190" s="1665"/>
      <c r="M190" s="1665"/>
      <c r="N190" s="1665"/>
      <c r="O190" s="1665"/>
      <c r="P190" s="1665"/>
      <c r="Q190" s="1665"/>
      <c r="R190" s="1665"/>
      <c r="S190" s="1665"/>
      <c r="T190" s="1665"/>
      <c r="U190" s="1665"/>
      <c r="V190" s="1665"/>
      <c r="W190" s="1665"/>
      <c r="Y190" s="1184"/>
      <c r="Z190" s="1660"/>
      <c r="AA190" s="1660"/>
      <c r="AB190" s="1184"/>
      <c r="AC190" s="1184"/>
      <c r="AD190" s="1184"/>
      <c r="AE190" s="1184"/>
      <c r="AF190" s="1660"/>
      <c r="AG190" s="1184"/>
      <c r="AH190" s="1184"/>
      <c r="AI190" s="568"/>
      <c r="AJ190" s="1184"/>
      <c r="AK190" s="1184"/>
      <c r="AL190" s="1184"/>
      <c r="AM190" s="1184"/>
      <c r="AN190" s="1184"/>
      <c r="AO190" s="1656"/>
      <c r="AP190" s="590"/>
      <c r="AQ190" s="590"/>
      <c r="AR190" s="590"/>
      <c r="AS190" s="590"/>
      <c r="AT190" s="1665">
        <v>11</v>
      </c>
    </row>
    <row s="1665" customFormat="1" customHeight="1" ht="11.549999999999999">
      <c r="A191" s="1011"/>
      <c r="B191" s="1660"/>
      <c r="C191" s="1660"/>
      <c r="D191" s="375"/>
      <c r="J191" s="1665"/>
      <c r="K191" s="1665"/>
      <c r="L191" s="1665"/>
      <c r="M191" s="1665"/>
      <c r="N191" s="1665"/>
      <c r="O191" s="1665"/>
      <c r="P191" s="1665"/>
      <c r="Q191" s="1665"/>
      <c r="R191" s="1665"/>
      <c r="S191" s="1665"/>
      <c r="T191" s="1665"/>
      <c r="U191" s="1665"/>
      <c r="V191" s="1665"/>
      <c r="W191" s="1665"/>
      <c r="Y191" s="1184"/>
      <c r="Z191" s="1660"/>
      <c r="AA191" s="1660"/>
      <c r="AB191" s="1184"/>
      <c r="AC191" s="1184"/>
      <c r="AD191" s="1184"/>
      <c r="AE191" s="1184"/>
      <c r="AF191" s="1660"/>
      <c r="AG191" s="1184"/>
      <c r="AH191" s="1184"/>
      <c r="AI191" s="568"/>
      <c r="AJ191" s="1184"/>
      <c r="AK191" s="1184"/>
      <c r="AL191" s="1184"/>
      <c r="AM191" s="1184"/>
      <c r="AN191" s="1184"/>
      <c r="AO191" s="1656"/>
      <c r="AP191" s="590"/>
      <c r="AQ191" s="590"/>
      <c r="AR191" s="590"/>
      <c r="AS191" s="590"/>
      <c r="AT191" s="1665">
        <v>11</v>
      </c>
    </row>
    <row s="1665" customFormat="1" customHeight="1" ht="11.549999999999999">
      <c r="A192" s="1011"/>
      <c r="B192" s="1660"/>
      <c r="C192" s="1660"/>
      <c r="D192" s="375"/>
      <c r="J192" s="1665"/>
      <c r="K192" s="1665"/>
      <c r="L192" s="1665"/>
      <c r="M192" s="1665"/>
      <c r="N192" s="1665"/>
      <c r="O192" s="1665"/>
      <c r="P192" s="1665"/>
      <c r="Q192" s="1665"/>
      <c r="R192" s="1665"/>
      <c r="S192" s="1665"/>
      <c r="T192" s="1665"/>
      <c r="U192" s="1665"/>
      <c r="V192" s="1665"/>
      <c r="W192" s="1665"/>
      <c r="Y192" s="1184"/>
      <c r="Z192" s="1660"/>
      <c r="AA192" s="1660"/>
      <c r="AB192" s="1184"/>
      <c r="AC192" s="1184"/>
      <c r="AD192" s="1184"/>
      <c r="AE192" s="1184"/>
      <c r="AF192" s="1660"/>
      <c r="AG192" s="1184"/>
      <c r="AH192" s="1184"/>
      <c r="AI192" s="568"/>
      <c r="AJ192" s="1184"/>
      <c r="AK192" s="1184"/>
      <c r="AL192" s="1184"/>
      <c r="AM192" s="1184"/>
      <c r="AN192" s="1184"/>
      <c r="AO192" s="1656"/>
      <c r="AP192" s="590"/>
      <c r="AQ192" s="590"/>
      <c r="AR192" s="590"/>
      <c r="AS192" s="590"/>
      <c r="AT192" s="1665">
        <v>11</v>
      </c>
    </row>
    <row s="1665" customFormat="1" customHeight="1" ht="11.549999999999999">
      <c r="A193" s="1011"/>
      <c r="B193" s="1660"/>
      <c r="C193" s="1660"/>
      <c r="D193" s="375"/>
      <c r="J193" s="1665"/>
      <c r="K193" s="1665"/>
      <c r="L193" s="1665"/>
      <c r="M193" s="1665"/>
      <c r="N193" s="1665"/>
      <c r="O193" s="1665"/>
      <c r="P193" s="1665"/>
      <c r="Q193" s="1665"/>
      <c r="R193" s="1665"/>
      <c r="S193" s="1665"/>
      <c r="T193" s="1665"/>
      <c r="U193" s="1665"/>
      <c r="V193" s="1665"/>
      <c r="W193" s="1665"/>
      <c r="Y193" s="1184"/>
      <c r="Z193" s="1660"/>
      <c r="AA193" s="1660"/>
      <c r="AB193" s="1184"/>
      <c r="AC193" s="1184"/>
      <c r="AD193" s="1184"/>
      <c r="AE193" s="1184"/>
      <c r="AF193" s="1660"/>
      <c r="AG193" s="1184"/>
      <c r="AH193" s="1184"/>
      <c r="AI193" s="568"/>
      <c r="AJ193" s="1184"/>
      <c r="AK193" s="1184"/>
      <c r="AL193" s="1184"/>
      <c r="AM193" s="1184"/>
      <c r="AN193" s="1184"/>
      <c r="AO193" s="1656"/>
      <c r="AP193" s="590"/>
      <c r="AQ193" s="590"/>
      <c r="AR193" s="590"/>
      <c r="AS193" s="590"/>
      <c r="AT193" s="1665">
        <v>11</v>
      </c>
    </row>
    <row s="1665" customFormat="1" customHeight="1" ht="11.549999999999999">
      <c r="A194" s="1011"/>
      <c r="B194" s="1660"/>
      <c r="C194" s="1660"/>
      <c r="D194" s="375"/>
      <c r="J194" s="1665"/>
      <c r="K194" s="1665"/>
      <c r="L194" s="1665"/>
      <c r="M194" s="1665"/>
      <c r="N194" s="1665"/>
      <c r="O194" s="1665"/>
      <c r="P194" s="1665"/>
      <c r="Q194" s="1665"/>
      <c r="R194" s="1665"/>
      <c r="S194" s="1665"/>
      <c r="T194" s="1665"/>
      <c r="U194" s="1665"/>
      <c r="V194" s="1665"/>
      <c r="W194" s="1665"/>
      <c r="Y194" s="1184"/>
      <c r="Z194" s="1660"/>
      <c r="AA194" s="1660"/>
      <c r="AB194" s="1184"/>
      <c r="AC194" s="1184"/>
      <c r="AD194" s="1184"/>
      <c r="AE194" s="1184"/>
      <c r="AF194" s="1660"/>
      <c r="AG194" s="1184"/>
      <c r="AH194" s="1184"/>
      <c r="AI194" s="568"/>
      <c r="AJ194" s="1184"/>
      <c r="AK194" s="1184"/>
      <c r="AL194" s="1184"/>
      <c r="AM194" s="1184"/>
      <c r="AN194" s="1184"/>
      <c r="AO194" s="1656"/>
      <c r="AP194" s="590"/>
      <c r="AQ194" s="590"/>
      <c r="AR194" s="590"/>
      <c r="AS194" s="590"/>
      <c r="AT194" s="1665">
        <v>11</v>
      </c>
    </row>
    <row s="1665" customFormat="1" customHeight="1" ht="11.549999999999999">
      <c r="A195" s="1011"/>
      <c r="B195" s="1660"/>
      <c r="C195" s="1660"/>
      <c r="D195" s="375"/>
      <c r="J195" s="1665"/>
      <c r="K195" s="1665"/>
      <c r="L195" s="1665"/>
      <c r="M195" s="1665"/>
      <c r="N195" s="1665"/>
      <c r="O195" s="1665"/>
      <c r="P195" s="1665"/>
      <c r="Q195" s="1665"/>
      <c r="R195" s="1665"/>
      <c r="S195" s="1665"/>
      <c r="T195" s="1665"/>
      <c r="U195" s="1665"/>
      <c r="V195" s="1665"/>
      <c r="W195" s="1665"/>
      <c r="Y195" s="1184"/>
      <c r="Z195" s="1660"/>
      <c r="AA195" s="1660"/>
      <c r="AB195" s="1184"/>
      <c r="AC195" s="1184"/>
      <c r="AD195" s="1184"/>
      <c r="AE195" s="1184"/>
      <c r="AF195" s="1660"/>
      <c r="AG195" s="1184"/>
      <c r="AH195" s="1184"/>
      <c r="AI195" s="568"/>
      <c r="AJ195" s="1184"/>
      <c r="AK195" s="1184"/>
      <c r="AL195" s="1184"/>
      <c r="AM195" s="1184"/>
      <c r="AN195" s="1184"/>
      <c r="AO195" s="1656"/>
      <c r="AP195" s="590"/>
      <c r="AQ195" s="590"/>
      <c r="AR195" s="590"/>
      <c r="AS195" s="590"/>
      <c r="AT195" s="1665">
        <v>11</v>
      </c>
    </row>
    <row customHeight="1" ht="11.549999999999999">
      <c r="J196" s="1659"/>
      <c r="K196" s="1659"/>
      <c r="L196" s="1659"/>
      <c r="M196" s="1659"/>
      <c r="N196" s="1659"/>
      <c r="O196" s="1659"/>
      <c r="P196" s="1659"/>
      <c r="Q196" s="1659"/>
      <c r="R196" s="1659"/>
      <c r="S196" s="1659"/>
      <c r="T196" s="1659"/>
      <c r="U196" s="1659"/>
      <c r="V196" s="1659"/>
      <c r="W196" s="1659"/>
      <c r="AT196" s="1655">
        <v>11</v>
      </c>
    </row>
    <row customHeight="1" ht="11.549999999999999">
      <c r="J197" s="1659"/>
      <c r="K197" s="1659"/>
      <c r="L197" s="1659"/>
      <c r="M197" s="1659"/>
      <c r="N197" s="1659"/>
      <c r="O197" s="1659"/>
      <c r="P197" s="1659"/>
      <c r="Q197" s="1659"/>
      <c r="R197" s="1659"/>
      <c r="S197" s="1659"/>
      <c r="T197" s="1659"/>
      <c r="U197" s="1659"/>
      <c r="V197" s="1659"/>
      <c r="W197" s="1659"/>
      <c r="AT197" s="1655">
        <v>11</v>
      </c>
    </row>
    <row customHeight="1" ht="11.549999999999999">
      <c r="J198" s="1659"/>
      <c r="K198" s="1659"/>
      <c r="L198" s="1659"/>
      <c r="M198" s="1659"/>
      <c r="N198" s="1659"/>
      <c r="O198" s="1659"/>
      <c r="P198" s="1659"/>
      <c r="Q198" s="1659"/>
      <c r="R198" s="1659"/>
      <c r="S198" s="1659"/>
      <c r="T198" s="1659"/>
      <c r="U198" s="1659"/>
      <c r="V198" s="1659"/>
      <c r="W198" s="1659"/>
      <c r="AT198" s="1655">
        <v>11</v>
      </c>
    </row>
    <row customHeight="1" ht="11.549999999999999">
      <c r="A199" s="1014"/>
      <c r="B199" s="1655"/>
      <c r="D199" s="1655"/>
      <c r="J199" s="1659"/>
      <c r="K199" s="1659"/>
      <c r="L199" s="1659"/>
      <c r="M199" s="1659"/>
      <c r="N199" s="1659"/>
      <c r="O199" s="1659"/>
      <c r="P199" s="1659"/>
      <c r="Q199" s="1659"/>
      <c r="R199" s="1659"/>
      <c r="S199" s="1659"/>
      <c r="T199" s="1659"/>
      <c r="U199" s="1659"/>
      <c r="V199" s="1659"/>
      <c r="W199" s="1659"/>
      <c r="Y199" s="1655"/>
      <c r="AB199" s="1655"/>
      <c r="AC199" s="1655"/>
      <c r="AD199" s="1655"/>
      <c r="AE199" s="1655"/>
      <c r="AG199" s="1655"/>
      <c r="AH199" s="1655"/>
      <c r="AI199" s="1655"/>
      <c r="AJ199" s="1655"/>
      <c r="AK199" s="1655"/>
      <c r="AL199" s="1655"/>
      <c r="AM199" s="1655"/>
      <c r="AN199" s="1655"/>
      <c r="AO199" s="1655"/>
      <c r="AP199" s="1655"/>
      <c r="AQ199" s="1655"/>
      <c r="AR199" s="1655"/>
      <c r="AS199" s="1655"/>
      <c r="AT199" s="1655">
        <v>11</v>
      </c>
    </row>
    <row customHeight="1" ht="11.549999999999999">
      <c r="A200" s="1014"/>
      <c r="B200" s="1655"/>
      <c r="D200" s="1655"/>
      <c r="J200" s="1659"/>
      <c r="K200" s="1659"/>
      <c r="L200" s="1659"/>
      <c r="M200" s="1659"/>
      <c r="N200" s="1659"/>
      <c r="O200" s="1659"/>
      <c r="P200" s="1659"/>
      <c r="Q200" s="1659"/>
      <c r="R200" s="1659"/>
      <c r="S200" s="1659"/>
      <c r="T200" s="1659"/>
      <c r="U200" s="1659"/>
      <c r="V200" s="1659"/>
      <c r="W200" s="1659"/>
      <c r="Y200" s="1655"/>
      <c r="AB200" s="1655"/>
      <c r="AC200" s="1655"/>
      <c r="AD200" s="1655"/>
      <c r="AE200" s="1655"/>
      <c r="AG200" s="1655"/>
      <c r="AH200" s="1655"/>
      <c r="AI200" s="1655"/>
      <c r="AJ200" s="1655"/>
      <c r="AK200" s="1655"/>
      <c r="AL200" s="1655"/>
      <c r="AM200" s="1655"/>
      <c r="AN200" s="1655"/>
      <c r="AO200" s="1655"/>
      <c r="AP200" s="1655"/>
      <c r="AQ200" s="1655"/>
      <c r="AR200" s="1655"/>
      <c r="AS200" s="1655"/>
      <c r="AT200" s="1655">
        <v>11</v>
      </c>
    </row>
    <row customHeight="1" ht="11.549999999999999">
      <c r="A201" s="1014"/>
      <c r="B201" s="1655"/>
      <c r="D201" s="1655"/>
      <c r="J201" s="1659"/>
      <c r="K201" s="1659"/>
      <c r="L201" s="1659"/>
      <c r="M201" s="1659"/>
      <c r="N201" s="1659"/>
      <c r="O201" s="1659"/>
      <c r="P201" s="1659"/>
      <c r="Q201" s="1659"/>
      <c r="R201" s="1659"/>
      <c r="S201" s="1659"/>
      <c r="T201" s="1659"/>
      <c r="U201" s="1659"/>
      <c r="V201" s="1659"/>
      <c r="W201" s="1659"/>
      <c r="Y201" s="1655"/>
      <c r="AB201" s="1655"/>
      <c r="AC201" s="1655"/>
      <c r="AD201" s="1655"/>
      <c r="AE201" s="1655"/>
      <c r="AG201" s="1655"/>
      <c r="AH201" s="1655"/>
      <c r="AI201" s="1655"/>
      <c r="AJ201" s="1655"/>
      <c r="AK201" s="1655"/>
      <c r="AL201" s="1655"/>
      <c r="AM201" s="1655"/>
      <c r="AN201" s="1655"/>
      <c r="AO201" s="1655"/>
      <c r="AP201" s="1655"/>
      <c r="AQ201" s="1655"/>
      <c r="AR201" s="1655"/>
      <c r="AS201" s="1655"/>
      <c r="AT201" s="1655">
        <v>11</v>
      </c>
    </row>
    <row customHeight="1" ht="11.549999999999999">
      <c r="A202" s="1014"/>
      <c r="B202" s="1655"/>
      <c r="D202" s="1655"/>
      <c r="J202" s="1659"/>
      <c r="K202" s="1659"/>
      <c r="L202" s="1659"/>
      <c r="M202" s="1659"/>
      <c r="N202" s="1659"/>
      <c r="O202" s="1659"/>
      <c r="P202" s="1659"/>
      <c r="Q202" s="1659"/>
      <c r="R202" s="1659"/>
      <c r="S202" s="1659"/>
      <c r="T202" s="1659"/>
      <c r="U202" s="1659"/>
      <c r="V202" s="1659"/>
      <c r="W202" s="1659"/>
      <c r="Y202" s="1655"/>
      <c r="AB202" s="1655"/>
      <c r="AC202" s="1655"/>
      <c r="AD202" s="1655"/>
      <c r="AE202" s="1655"/>
      <c r="AG202" s="1655"/>
      <c r="AH202" s="1655"/>
      <c r="AI202" s="1655"/>
      <c r="AJ202" s="1655"/>
      <c r="AK202" s="1655"/>
      <c r="AL202" s="1655"/>
      <c r="AM202" s="1655"/>
      <c r="AN202" s="1655"/>
      <c r="AO202" s="1655"/>
      <c r="AP202" s="1655"/>
      <c r="AQ202" s="1655"/>
      <c r="AR202" s="1655"/>
      <c r="AS202" s="1655"/>
      <c r="AT202" s="1655">
        <v>11</v>
      </c>
    </row>
    <row customHeight="1" ht="11.549999999999999">
      <c r="A203" s="1014"/>
      <c r="B203" s="1655"/>
      <c r="D203" s="1655"/>
      <c r="J203" s="1659"/>
      <c r="K203" s="1659"/>
      <c r="L203" s="1659"/>
      <c r="M203" s="1659"/>
      <c r="N203" s="1659"/>
      <c r="O203" s="1659"/>
      <c r="P203" s="1659"/>
      <c r="Q203" s="1659"/>
      <c r="R203" s="1659"/>
      <c r="S203" s="1659"/>
      <c r="T203" s="1659"/>
      <c r="U203" s="1659"/>
      <c r="V203" s="1659"/>
      <c r="W203" s="1659"/>
      <c r="Y203" s="1655"/>
      <c r="AB203" s="1655"/>
      <c r="AC203" s="1655"/>
      <c r="AD203" s="1655"/>
      <c r="AE203" s="1655"/>
      <c r="AG203" s="1655"/>
      <c r="AH203" s="1655"/>
      <c r="AI203" s="1655"/>
      <c r="AJ203" s="1655"/>
      <c r="AK203" s="1655"/>
      <c r="AL203" s="1655"/>
      <c r="AM203" s="1655"/>
      <c r="AN203" s="1655"/>
      <c r="AO203" s="1655"/>
      <c r="AP203" s="1655"/>
      <c r="AQ203" s="1655"/>
      <c r="AR203" s="1655"/>
      <c r="AS203" s="1655"/>
      <c r="AT203" s="1655">
        <v>11</v>
      </c>
    </row>
    <row customHeight="1" ht="11.549999999999999">
      <c r="A204" s="1014"/>
      <c r="B204" s="1655"/>
      <c r="D204" s="1655"/>
      <c r="J204" s="1659"/>
      <c r="K204" s="1659"/>
      <c r="L204" s="1659"/>
      <c r="M204" s="1659"/>
      <c r="N204" s="1659"/>
      <c r="O204" s="1659"/>
      <c r="P204" s="1659"/>
      <c r="Q204" s="1659"/>
      <c r="R204" s="1659"/>
      <c r="S204" s="1659"/>
      <c r="T204" s="1659"/>
      <c r="U204" s="1659"/>
      <c r="V204" s="1659"/>
      <c r="W204" s="1659"/>
      <c r="Y204" s="1655"/>
      <c r="AB204" s="1655"/>
      <c r="AC204" s="1655"/>
      <c r="AD204" s="1655"/>
      <c r="AE204" s="1655"/>
      <c r="AG204" s="1655"/>
      <c r="AH204" s="1655"/>
      <c r="AI204" s="1655"/>
      <c r="AJ204" s="1655"/>
      <c r="AK204" s="1655"/>
      <c r="AL204" s="1655"/>
      <c r="AM204" s="1655"/>
      <c r="AN204" s="1655"/>
      <c r="AO204" s="1655"/>
      <c r="AP204" s="1655"/>
      <c r="AQ204" s="1655"/>
      <c r="AR204" s="1655"/>
      <c r="AS204" s="1655"/>
      <c r="AT204" s="1655">
        <v>11</v>
      </c>
    </row>
    <row customHeight="1" ht="11.549999999999999">
      <c r="A205" s="1014"/>
      <c r="B205" s="1655"/>
      <c r="D205" s="1655"/>
      <c r="J205" s="1659"/>
      <c r="K205" s="1659"/>
      <c r="L205" s="1659"/>
      <c r="M205" s="1659"/>
      <c r="N205" s="1659"/>
      <c r="O205" s="1659"/>
      <c r="P205" s="1659"/>
      <c r="Q205" s="1659"/>
      <c r="R205" s="1659"/>
      <c r="S205" s="1659"/>
      <c r="T205" s="1659"/>
      <c r="U205" s="1659"/>
      <c r="V205" s="1659"/>
      <c r="W205" s="1659"/>
      <c r="Y205" s="1655"/>
      <c r="AB205" s="1655"/>
      <c r="AC205" s="1655"/>
      <c r="AD205" s="1655"/>
      <c r="AE205" s="1655"/>
      <c r="AG205" s="1655"/>
      <c r="AH205" s="1655"/>
      <c r="AI205" s="1655"/>
      <c r="AJ205" s="1655"/>
      <c r="AK205" s="1655"/>
      <c r="AL205" s="1655"/>
      <c r="AM205" s="1655"/>
      <c r="AN205" s="1655"/>
      <c r="AO205" s="1655"/>
      <c r="AP205" s="1655"/>
      <c r="AQ205" s="1655"/>
      <c r="AR205" s="1655"/>
      <c r="AS205" s="1655"/>
      <c r="AT205" s="1655">
        <v>11</v>
      </c>
    </row>
    <row customHeight="1" ht="11.549999999999999">
      <c r="A206" s="1014"/>
      <c r="B206" s="1655"/>
      <c r="D206" s="1655"/>
      <c r="J206" s="1659"/>
      <c r="K206" s="1659"/>
      <c r="L206" s="1659"/>
      <c r="M206" s="1659"/>
      <c r="N206" s="1659"/>
      <c r="O206" s="1659"/>
      <c r="P206" s="1659"/>
      <c r="Q206" s="1659"/>
      <c r="R206" s="1659"/>
      <c r="S206" s="1659"/>
      <c r="T206" s="1659"/>
      <c r="U206" s="1659"/>
      <c r="V206" s="1659"/>
      <c r="W206" s="1659"/>
      <c r="Y206" s="1655"/>
      <c r="AB206" s="1655"/>
      <c r="AC206" s="1655"/>
      <c r="AD206" s="1655"/>
      <c r="AE206" s="1655"/>
      <c r="AG206" s="1655"/>
      <c r="AH206" s="1655"/>
      <c r="AI206" s="1655"/>
      <c r="AJ206" s="1655"/>
      <c r="AK206" s="1655"/>
      <c r="AL206" s="1655"/>
      <c r="AM206" s="1655"/>
      <c r="AN206" s="1655"/>
      <c r="AO206" s="1655"/>
      <c r="AP206" s="1655"/>
      <c r="AQ206" s="1655"/>
      <c r="AR206" s="1655"/>
      <c r="AS206" s="1655"/>
      <c r="AT206" s="1655">
        <v>11</v>
      </c>
    </row>
    <row customHeight="1" ht="11.549999999999999">
      <c r="A207" s="1014"/>
      <c r="B207" s="1655"/>
      <c r="D207" s="1655"/>
      <c r="J207" s="1659"/>
      <c r="K207" s="1659"/>
      <c r="L207" s="1659"/>
      <c r="M207" s="1659"/>
      <c r="N207" s="1659"/>
      <c r="O207" s="1659"/>
      <c r="P207" s="1659"/>
      <c r="Q207" s="1659"/>
      <c r="R207" s="1659"/>
      <c r="S207" s="1659"/>
      <c r="T207" s="1659"/>
      <c r="U207" s="1659"/>
      <c r="V207" s="1659"/>
      <c r="W207" s="1659"/>
      <c r="Y207" s="1655"/>
      <c r="AB207" s="1655"/>
      <c r="AC207" s="1655"/>
      <c r="AD207" s="1655"/>
      <c r="AE207" s="1655"/>
      <c r="AG207" s="1655"/>
      <c r="AH207" s="1655"/>
      <c r="AI207" s="1655"/>
      <c r="AJ207" s="1655"/>
      <c r="AK207" s="1655"/>
      <c r="AL207" s="1655"/>
      <c r="AM207" s="1655"/>
      <c r="AN207" s="1655"/>
      <c r="AO207" s="1655"/>
      <c r="AP207" s="1655"/>
      <c r="AQ207" s="1655"/>
      <c r="AR207" s="1655"/>
      <c r="AS207" s="1655"/>
      <c r="AT207" s="1655">
        <v>11</v>
      </c>
    </row>
    <row customHeight="1" ht="11.549999999999999">
      <c r="A208" s="1014"/>
      <c r="B208" s="1655"/>
      <c r="D208" s="1655"/>
      <c r="J208" s="1659"/>
      <c r="K208" s="1659"/>
      <c r="L208" s="1659"/>
      <c r="M208" s="1659"/>
      <c r="N208" s="1659"/>
      <c r="O208" s="1659"/>
      <c r="P208" s="1659"/>
      <c r="Q208" s="1659"/>
      <c r="R208" s="1659"/>
      <c r="S208" s="1659"/>
      <c r="T208" s="1659"/>
      <c r="U208" s="1659"/>
      <c r="V208" s="1659"/>
      <c r="W208" s="1659"/>
      <c r="Y208" s="1655"/>
      <c r="AB208" s="1655"/>
      <c r="AC208" s="1655"/>
      <c r="AD208" s="1655"/>
      <c r="AE208" s="1655"/>
      <c r="AG208" s="1655"/>
      <c r="AH208" s="1655"/>
      <c r="AI208" s="1655"/>
      <c r="AJ208" s="1655"/>
      <c r="AK208" s="1655"/>
      <c r="AL208" s="1655"/>
      <c r="AM208" s="1655"/>
      <c r="AN208" s="1655"/>
      <c r="AO208" s="1655"/>
      <c r="AP208" s="1655"/>
      <c r="AQ208" s="1655"/>
      <c r="AR208" s="1655"/>
      <c r="AS208" s="1655"/>
      <c r="AT208" s="1655">
        <v>11</v>
      </c>
    </row>
    <row customHeight="1" ht="11.549999999999999">
      <c r="A209" s="1014"/>
      <c r="B209" s="1655"/>
      <c r="D209" s="1655"/>
      <c r="J209" s="1659"/>
      <c r="K209" s="1659"/>
      <c r="L209" s="1659"/>
      <c r="M209" s="1659"/>
      <c r="N209" s="1659"/>
      <c r="O209" s="1659"/>
      <c r="P209" s="1659"/>
      <c r="Q209" s="1659"/>
      <c r="R209" s="1659"/>
      <c r="S209" s="1659"/>
      <c r="T209" s="1659"/>
      <c r="U209" s="1659"/>
      <c r="V209" s="1659"/>
      <c r="W209" s="1659"/>
      <c r="Y209" s="1655"/>
      <c r="AB209" s="1655"/>
      <c r="AC209" s="1655"/>
      <c r="AD209" s="1655"/>
      <c r="AE209" s="1655"/>
      <c r="AG209" s="1655"/>
      <c r="AH209" s="1655"/>
      <c r="AI209" s="1655"/>
      <c r="AJ209" s="1655"/>
      <c r="AK209" s="1655"/>
      <c r="AL209" s="1655"/>
      <c r="AM209" s="1655"/>
      <c r="AN209" s="1655"/>
      <c r="AO209" s="1655"/>
      <c r="AP209" s="1655"/>
      <c r="AQ209" s="1655"/>
      <c r="AR209" s="1655"/>
      <c r="AS209" s="1655"/>
      <c r="AT209" s="1655">
        <v>11</v>
      </c>
    </row>
    <row customHeight="1" ht="11.25" hidden="1">
      <c r="A210" s="1011" t="s">
        <v>82</v>
      </c>
      <c r="B210" s="1184">
        <v>0</v>
      </c>
      <c r="C210" s="1660">
        <v>0</v>
      </c>
      <c r="D210" s="1659">
        <v>3</v>
      </c>
      <c r="E210" s="1655">
        <v>7</v>
      </c>
      <c r="F210" s="1655">
        <v>54</v>
      </c>
      <c r="G210" s="1655">
        <v>10</v>
      </c>
      <c r="H210" s="1655">
        <v>0</v>
      </c>
      <c r="I210" s="1655">
        <v>40</v>
      </c>
      <c r="J210" s="1659">
        <v>0</v>
      </c>
      <c r="K210" s="1659">
        <v>0</v>
      </c>
      <c r="L210" s="1659">
        <v>0</v>
      </c>
      <c r="M210" s="1659">
        <v>0</v>
      </c>
      <c r="N210" s="1659">
        <v>0</v>
      </c>
      <c r="O210" s="1659">
        <v>0</v>
      </c>
      <c r="P210" s="1659">
        <v>0</v>
      </c>
      <c r="Q210" s="1659">
        <v>0</v>
      </c>
      <c r="R210" s="1659">
        <v>0</v>
      </c>
      <c r="S210" s="1659">
        <v>0</v>
      </c>
      <c r="T210" s="1659">
        <v>0</v>
      </c>
      <c r="U210" s="1659">
        <v>0</v>
      </c>
      <c r="V210" s="1659">
        <v>0</v>
      </c>
      <c r="W210" s="1659">
        <v>0</v>
      </c>
      <c r="X210" s="1655">
        <v>102</v>
      </c>
      <c r="Y210" s="1184">
        <v>9</v>
      </c>
      <c r="Z210" s="1660">
        <v>5</v>
      </c>
      <c r="AA210" s="1660">
        <v>3</v>
      </c>
      <c r="AB210" s="1184">
        <v>3</v>
      </c>
      <c r="AC210" s="1184">
        <v>3</v>
      </c>
      <c r="AD210" s="1184">
        <v>3</v>
      </c>
      <c r="AE210" s="1184">
        <v>3</v>
      </c>
      <c r="AF210" s="1660">
        <v>10</v>
      </c>
      <c r="AG210" s="1184">
        <v>34</v>
      </c>
      <c r="AH210" s="1184">
        <v>9</v>
      </c>
      <c r="AI210" s="568">
        <v>8</v>
      </c>
      <c r="AJ210" s="1184">
        <v>8</v>
      </c>
      <c r="AK210" s="1184">
        <v>8</v>
      </c>
      <c r="AL210" s="1184">
        <v>8</v>
      </c>
      <c r="AM210" s="1184">
        <v>8</v>
      </c>
      <c r="AN210" s="1184">
        <v>8</v>
      </c>
      <c r="AO210" s="1656">
        <v>8</v>
      </c>
      <c r="AP210" s="1656">
        <v>8</v>
      </c>
      <c r="AQ210" s="1656">
        <v>8</v>
      </c>
      <c r="AR210" s="1656">
        <v>8</v>
      </c>
      <c r="AS210" s="1656">
        <v>8</v>
      </c>
      <c r="AT210" s="1655">
        <v>11</v>
      </c>
    </row>
  </sheetData>
  <sheetProtection sheet="1" formatColumns="0" formatRows="0" autoFilter="0" sort="1" insertRows="1" insertColumns="1" deleteRows="1" deleteColumns="1"/>
  <mergeCells count="9">
    <mergeCell ref="F40:G40"/>
    <mergeCell ref="E6:I6"/>
    <mergeCell ref="E7:I7"/>
    <mergeCell ref="F10:G10"/>
    <mergeCell ref="X10:X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W28">
      <formula1>900</formula1>
    </dataValidation>
    <dataValidation type="decimal" allowBlank="1" showErrorMessage="1" errorTitle="Ошибка" error="Допускается ввод только неотрицательных чисел!" sqref="H31:W31 H2:W2 H15:W15 H17:W27 H36:W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W35">
      <formula1>900</formula1>
    </dataValidation>
    <dataValidation type="decimal" allowBlank="1" showErrorMessage="1" errorTitle="Ошибка" error="Допускается ввод только действительных чисел!" sqref="H30:W30">
      <formula1>-9.99999999999999E+23</formula1>
      <formula2>9.99999999999999E+23</formula2>
    </dataValidation>
    <dataValidation type="decimal" allowBlank="1" showErrorMessage="1" errorTitle="Ошибка" error="Допускается ввод только действительных чисел!" sqref="H32:W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E6C985-C5A8-F73C-2648-0.98868CE1}" mc:Ignorable="x14ac xr xr2 xr3">
  <sheetPr>
    <tabColor theme="9" tint="-0.25"/>
  </sheetPr>
  <dimension ref="A1:AZ102"/>
  <sheetViews>
    <sheetView showGridLines="0" zoomScale="90" workbookViewId="0">
      <pane xSplit="8" ySplit="11" topLeftCell="I12" activePane="bottomRight" state="frozen"/>
      <selection pane="bottomLeft" activeCell="A12" sqref="A12"/>
      <selection pane="topRight" activeCell="I1" sqref="I1"/>
      <selection pane="bottomRight" activeCell="AK1" sqref="AK1:AL102"/>
    </sheetView>
  </sheetViews>
  <sheetFormatPr defaultColWidth="10.57421875" customHeight="1" defaultRowHeight="11.25"/>
  <cols>
    <col min="1" max="1" style="1190" width="9.140625" hidden="1" customWidth="1"/>
    <col min="2" max="2" style="1666" width="3.57421875" hidden="1" customWidth="1"/>
    <col min="3" max="3" style="1659" width="3.00390625" customWidth="1"/>
    <col min="4" max="4" style="1659" width="7.00390625" customWidth="1"/>
    <col min="5" max="5" style="1659" width="69.00390625" customWidth="1"/>
    <col min="6" max="6" style="1659" width="10.00390625" customWidth="1"/>
    <col min="7" max="8" style="1659" width="44.00390625" hidden="1" customWidth="1"/>
    <col min="9" max="9" style="1659" width="44.00390625" customWidth="1"/>
    <col min="10" max="10" style="1659" width="43.00390625" customWidth="1"/>
    <col min="11" max="38" style="1659" width="44.00390625" customWidth="1"/>
    <col min="39" max="39" style="1659" width="73.00390625" customWidth="1"/>
    <col min="40" max="40" style="1659" width="3.00390625" customWidth="1"/>
    <col min="41" max="51" style="1659" width="10.00390625" customWidth="1"/>
    <col min="52" max="52" style="1659" width="10.57421875" hidden="1"/>
  </cols>
  <sheetData>
    <row s="1390" customFormat="1" customHeight="1" ht="22.5" hidden="1">
      <c r="A1" s="560"/>
      <c r="B1" s="535"/>
      <c r="G1" s="441">
        <v>4</v>
      </c>
      <c r="I1" s="441">
        <v>4</v>
      </c>
      <c r="K1" s="1390">
        <v>4</v>
      </c>
      <c r="L1" s="1390"/>
      <c r="M1" s="1390">
        <v>4</v>
      </c>
      <c r="N1" s="1390"/>
      <c r="O1" s="1390">
        <v>4</v>
      </c>
      <c r="P1" s="1390"/>
      <c r="Q1" s="1390">
        <v>4</v>
      </c>
      <c r="R1" s="1390"/>
      <c r="S1" s="1390">
        <v>4</v>
      </c>
      <c r="T1" s="1390"/>
      <c r="U1" s="1390">
        <v>4</v>
      </c>
      <c r="V1" s="1390"/>
      <c r="W1" s="1390">
        <v>4</v>
      </c>
      <c r="X1" s="1390"/>
      <c r="Y1" s="1390">
        <v>4</v>
      </c>
      <c r="Z1" s="1390"/>
      <c r="AA1" s="1390">
        <v>4</v>
      </c>
      <c r="AB1" s="1390"/>
      <c r="AC1" s="1390">
        <v>4</v>
      </c>
      <c r="AD1" s="1390"/>
      <c r="AE1" s="1390">
        <v>4</v>
      </c>
      <c r="AF1" s="1390"/>
      <c r="AG1" s="1390">
        <v>4</v>
      </c>
      <c r="AH1" s="1390"/>
      <c r="AI1" s="1390">
        <v>4</v>
      </c>
      <c r="AJ1" s="1390"/>
      <c r="AK1" s="1390">
        <v>4</v>
      </c>
      <c r="AL1" s="1390"/>
      <c r="AM1" s="441">
        <v>5</v>
      </c>
      <c r="AZ1" s="441" t="s">
        <v>14</v>
      </c>
    </row>
    <row customHeight="1" ht="3">
      <c r="K2" s="1659"/>
      <c r="L2" s="1659"/>
      <c r="M2" s="1659"/>
      <c r="N2" s="1659"/>
      <c r="O2" s="1659"/>
      <c r="P2" s="1659"/>
      <c r="Q2" s="1659"/>
      <c r="R2" s="1659"/>
      <c r="S2" s="1659"/>
      <c r="T2" s="1659"/>
      <c r="U2" s="1659"/>
      <c r="V2" s="1659"/>
      <c r="W2" s="1659"/>
      <c r="X2" s="1659"/>
      <c r="Y2" s="1659"/>
      <c r="Z2" s="1659"/>
      <c r="AA2" s="1659"/>
      <c r="AB2" s="1659"/>
      <c r="AC2" s="1659"/>
      <c r="AD2" s="1659"/>
      <c r="AE2" s="1659"/>
      <c r="AF2" s="1659"/>
      <c r="AG2" s="1659"/>
      <c r="AH2" s="1659"/>
      <c r="AI2" s="1659"/>
      <c r="AJ2" s="1659"/>
      <c r="AK2" s="1659"/>
      <c r="AL2" s="1659"/>
      <c r="AZ2" s="529">
        <v>3</v>
      </c>
    </row>
    <row customHeight="1" ht="78.75">
      <c r="D3" s="226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63"/>
      <c r="F3" s="2264"/>
      <c r="K3" s="1659"/>
      <c r="L3" s="1659"/>
      <c r="M3" s="1659"/>
      <c r="N3" s="1659"/>
      <c r="O3" s="1659"/>
      <c r="P3" s="1659"/>
      <c r="Q3" s="1659"/>
      <c r="R3" s="1659"/>
      <c r="S3" s="1659"/>
      <c r="T3" s="1659"/>
      <c r="U3" s="1659"/>
      <c r="V3" s="1659"/>
      <c r="W3" s="1659"/>
      <c r="X3" s="1659"/>
      <c r="Y3" s="1659"/>
      <c r="Z3" s="1659"/>
      <c r="AA3" s="1659"/>
      <c r="AB3" s="1659"/>
      <c r="AC3" s="1659"/>
      <c r="AD3" s="1659"/>
      <c r="AE3" s="1659"/>
      <c r="AF3" s="1659"/>
      <c r="AG3" s="1659"/>
      <c r="AH3" s="1659"/>
      <c r="AI3" s="1659"/>
      <c r="AJ3" s="1659"/>
      <c r="AK3" s="1659"/>
      <c r="AL3" s="1659"/>
      <c r="AZ3" s="529">
        <v>75</v>
      </c>
    </row>
    <row s="1659" customFormat="1" customHeight="1" ht="21">
      <c r="A4" s="975"/>
      <c r="B4" s="535"/>
      <c r="D4" s="2238" t="str">
        <f>IF(org=0,"Не определено",org)</f>
        <v>АО "ДГК"</v>
      </c>
      <c r="E4" s="2239"/>
      <c r="F4" s="2240"/>
      <c r="K4" s="1659"/>
      <c r="L4" s="1659"/>
      <c r="M4" s="1659"/>
      <c r="N4" s="1659"/>
      <c r="O4" s="1659"/>
      <c r="P4" s="1659"/>
      <c r="Q4" s="1659"/>
      <c r="R4" s="1659"/>
      <c r="S4" s="1659"/>
      <c r="T4" s="1659"/>
      <c r="U4" s="1659"/>
      <c r="V4" s="1659"/>
      <c r="W4" s="1659"/>
      <c r="X4" s="1659"/>
      <c r="Y4" s="1659"/>
      <c r="Z4" s="1659"/>
      <c r="AA4" s="1659"/>
      <c r="AB4" s="1659"/>
      <c r="AC4" s="1659"/>
      <c r="AD4" s="1659"/>
      <c r="AE4" s="1659"/>
      <c r="AF4" s="1659"/>
      <c r="AG4" s="1659"/>
      <c r="AH4" s="1659"/>
      <c r="AI4" s="1659"/>
      <c r="AJ4" s="1659"/>
      <c r="AK4" s="1659"/>
      <c r="AL4" s="1659"/>
      <c r="AZ4" s="782">
        <v>20</v>
      </c>
    </row>
    <row customHeight="1" ht="11.549999999999999">
      <c r="C5" s="533"/>
      <c r="D5" s="612"/>
      <c r="E5" s="612"/>
      <c r="F5" s="612"/>
      <c r="G5" s="612"/>
      <c r="H5" s="776"/>
      <c r="I5" s="612"/>
      <c r="J5" s="776"/>
      <c r="K5" s="1659"/>
      <c r="L5" s="776"/>
      <c r="M5" s="1659"/>
      <c r="N5" s="776"/>
      <c r="O5" s="1659"/>
      <c r="P5" s="776"/>
      <c r="Q5" s="1659"/>
      <c r="R5" s="776"/>
      <c r="S5" s="1659"/>
      <c r="T5" s="776"/>
      <c r="U5" s="1659"/>
      <c r="V5" s="776"/>
      <c r="W5" s="1659"/>
      <c r="X5" s="776"/>
      <c r="Y5" s="1659"/>
      <c r="Z5" s="776"/>
      <c r="AA5" s="1659"/>
      <c r="AB5" s="776"/>
      <c r="AC5" s="1659"/>
      <c r="AD5" s="776"/>
      <c r="AE5" s="1659"/>
      <c r="AF5" s="776"/>
      <c r="AG5" s="1659"/>
      <c r="AH5" s="776"/>
      <c r="AI5" s="1659"/>
      <c r="AJ5" s="776"/>
      <c r="AK5" s="1659"/>
      <c r="AL5" s="776"/>
      <c r="AM5" s="612"/>
      <c r="AZ5" s="529">
        <v>11</v>
      </c>
    </row>
    <row customHeight="1" ht="1.05">
      <c r="C6" s="533"/>
      <c r="D6" s="533"/>
      <c r="E6" s="546"/>
      <c r="F6" s="638"/>
      <c r="G6" s="1046"/>
      <c r="H6" s="1046"/>
      <c r="I6" s="1046" t="s">
        <v>176</v>
      </c>
      <c r="J6" s="1046"/>
      <c r="K6" s="1046" t="s">
        <v>181</v>
      </c>
      <c r="L6" s="1046"/>
      <c r="M6" s="1046" t="s">
        <v>183</v>
      </c>
      <c r="N6" s="1046"/>
      <c r="O6" s="1046" t="s">
        <v>185</v>
      </c>
      <c r="P6" s="1046"/>
      <c r="Q6" s="1046" t="s">
        <v>187</v>
      </c>
      <c r="R6" s="1046"/>
      <c r="S6" s="1046" t="s">
        <v>189</v>
      </c>
      <c r="T6" s="1046"/>
      <c r="U6" s="1046" t="s">
        <v>191</v>
      </c>
      <c r="V6" s="1046"/>
      <c r="W6" s="1046" t="s">
        <v>193</v>
      </c>
      <c r="X6" s="1046"/>
      <c r="Y6" s="1046" t="s">
        <v>195</v>
      </c>
      <c r="Z6" s="1046"/>
      <c r="AA6" s="1046" t="s">
        <v>197</v>
      </c>
      <c r="AB6" s="1046"/>
      <c r="AC6" s="1046" t="s">
        <v>199</v>
      </c>
      <c r="AD6" s="1046"/>
      <c r="AE6" s="1046" t="s">
        <v>201</v>
      </c>
      <c r="AF6" s="1046"/>
      <c r="AG6" s="1046" t="s">
        <v>203</v>
      </c>
      <c r="AH6" s="1046"/>
      <c r="AI6" s="1046" t="s">
        <v>205</v>
      </c>
      <c r="AJ6" s="1046"/>
      <c r="AK6" s="1046" t="s">
        <v>207</v>
      </c>
      <c r="AL6" s="1046"/>
      <c r="AZ6" s="529">
        <v>1</v>
      </c>
    </row>
    <row customHeight="1" ht="11.549999999999999">
      <c r="D7" s="735"/>
      <c r="E7" s="2391" t="s">
        <v>166</v>
      </c>
      <c r="F7" s="2392"/>
      <c r="G7" s="2417" t="str">
        <f>IF(G6="","",INDEX(DIFFERENTIATION_UNMERGE_VD,MATCH(G6,DIFFERENTIATION_ID_DIFF,0)))</f>
        <v/>
      </c>
      <c r="H7" s="2418"/>
      <c r="I7" s="2417" t="str">
        <f>IF(I6="","",INDEX(DIFFERENTIATION_UNMERGE_VD,MATCH(I6,DIFFERENTIATION_ID_DIFF,0)))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7" s="2418"/>
      <c r="K7" s="2417" t="str">
        <f>IF(K6="","",INDEX(DIFFERENTIATION_UNMERGE_VD,MATCH(K6,DIFFERENTIATION_ID_DIFF,0)))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L7" s="2418"/>
      <c r="M7" s="2417" t="str">
        <f>IF(M6="","",INDEX(DIFFERENTIATION_UNMERGE_VD,MATCH(M6,DIFFERENTIATION_ID_DIFF,0)))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N7" s="2418"/>
      <c r="O7" s="2417" t="str">
        <f>IF(O6="","",INDEX(DIFFERENTIATION_UNMERGE_VD,MATCH(O6,DIFFERENTIATION_ID_DIFF,0)))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7" s="2418"/>
      <c r="Q7" s="2417" t="str">
        <f>IF(Q6="","",INDEX(DIFFERENTIATION_UNMERGE_VD,MATCH(Q6,DIFFERENTIATION_ID_DIFF,0)))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R7" s="2418"/>
      <c r="S7" s="2417" t="str">
        <f>IF(S6="","",INDEX(DIFFERENTIATION_UNMERGE_VD,MATCH(S6,DIFFERENTIATION_ID_DIFF,0)))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T7" s="2418"/>
      <c r="U7" s="2417" t="str">
        <f>IF(U6="","",INDEX(DIFFERENTIATION_UNMERGE_VD,MATCH(U6,DIFFERENTIATION_ID_DIFF,0)))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V7" s="2418"/>
      <c r="W7" s="2417" t="str">
        <f>IF(W6="","",INDEX(DIFFERENTIATION_UNMERGE_VD,MATCH(W6,DIFFERENTIATION_ID_DIFF,0)))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X7" s="2418"/>
      <c r="Y7" s="2417" t="str">
        <f>IF(Y6="","",INDEX(DIFFERENTIATION_UNMERGE_VD,MATCH(Y6,DIFFERENTIATION_ID_DIFF,0)))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Z7" s="2418"/>
      <c r="AA7" s="2417" t="str">
        <f>IF(AA6="","",INDEX(DIFFERENTIATION_UNMERGE_VD,MATCH(AA6,DIFFERENTIATION_ID_DIFF,0)))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B7" s="2418"/>
      <c r="AC7" s="2417" t="str">
        <f>IF(AC6="","",INDEX(DIFFERENTIATION_UNMERGE_VD,MATCH(AC6,DIFFERENTIATION_ID_DIFF,0)))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D7" s="2418"/>
      <c r="AE7" s="2417" t="str">
        <f>IF(AE6="","",INDEX(DIFFERENTIATION_UNMERGE_VD,MATCH(AE6,DIFFERENTIATION_ID_DIFF,0)))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F7" s="2418"/>
      <c r="AG7" s="2417" t="str">
        <f>IF(AG6="","",INDEX(DIFFERENTIATION_UNMERGE_VD,MATCH(AG6,DIFFERENTIATION_ID_DIFF,0)))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H7" s="2418"/>
      <c r="AI7" s="2417" t="str">
        <f>IF(AI6="","",INDEX(DIFFERENTIATION_UNMERGE_VD,MATCH(AI6,DIFFERENTIATION_ID_DIFF,0)))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J7" s="2418"/>
      <c r="AK7" s="2417" t="str">
        <f>IF(AK6="","",INDEX(DIFFERENTIATION_UNMERGE_VD,MATCH(AK6,DIFFERENTIATION_ID_DIFF,0)))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L7" s="2418"/>
      <c r="AM7" s="2199"/>
      <c r="AN7" s="533"/>
      <c r="AZ7" s="529">
        <v>11</v>
      </c>
    </row>
    <row customHeight="1" ht="11.549999999999999">
      <c r="A8" s="728"/>
      <c r="D8" s="735"/>
      <c r="E8" s="2391" t="s">
        <v>648</v>
      </c>
      <c r="F8" s="2392"/>
      <c r="G8" s="2417" t="str">
        <f>IF(G6="","",INDEX(DIFFERENTIATION_UNMERGE_AREA,MATCH(G6,DIFFERENTIATION_ID_DIFF,0)))</f>
        <v/>
      </c>
      <c r="H8" s="2418"/>
      <c r="I8" s="2417" t="str">
        <f>IF(I6="","",INDEX(DIFFERENTIATION_UNMERGE_AREA,MATCH(I6,DIFFERENTIATION_ID_DIFF,0)))</f>
        <v>Территория 1</v>
      </c>
      <c r="J8" s="2418"/>
      <c r="K8" s="2417" t="str">
        <f>IF(K6="","",INDEX(DIFFERENTIATION_UNMERGE_AREA,MATCH(K6,DIFFERENTIATION_ID_DIFF,0)))</f>
        <v>Территория 2</v>
      </c>
      <c r="L8" s="2418"/>
      <c r="M8" s="2417" t="str">
        <f>IF(M6="","",INDEX(DIFFERENTIATION_UNMERGE_AREA,MATCH(M6,DIFFERENTIATION_ID_DIFF,0)))</f>
        <v>Территория 2</v>
      </c>
      <c r="N8" s="2418"/>
      <c r="O8" s="2417" t="str">
        <f>IF(O6="","",INDEX(DIFFERENTIATION_UNMERGE_AREA,MATCH(O6,DIFFERENTIATION_ID_DIFF,0)))</f>
        <v>Территория 3</v>
      </c>
      <c r="P8" s="2418"/>
      <c r="Q8" s="2417" t="str">
        <f>IF(Q6="","",INDEX(DIFFERENTIATION_UNMERGE_AREA,MATCH(Q6,DIFFERENTIATION_ID_DIFF,0)))</f>
        <v>Территория 3</v>
      </c>
      <c r="R8" s="2418"/>
      <c r="S8" s="2417" t="str">
        <f>IF(S6="","",INDEX(DIFFERENTIATION_UNMERGE_AREA,MATCH(S6,DIFFERENTIATION_ID_DIFF,0)))</f>
        <v>Территория 3</v>
      </c>
      <c r="T8" s="2418"/>
      <c r="U8" s="2417" t="str">
        <f>IF(U6="","",INDEX(DIFFERENTIATION_UNMERGE_AREA,MATCH(U6,DIFFERENTIATION_ID_DIFF,0)))</f>
        <v>Территория 3</v>
      </c>
      <c r="V8" s="2418"/>
      <c r="W8" s="2417" t="str">
        <f>IF(W6="","",INDEX(DIFFERENTIATION_UNMERGE_AREA,MATCH(W6,DIFFERENTIATION_ID_DIFF,0)))</f>
        <v>Территория 4</v>
      </c>
      <c r="X8" s="2418"/>
      <c r="Y8" s="2417" t="str">
        <f>IF(Y6="","",INDEX(DIFFERENTIATION_UNMERGE_AREA,MATCH(Y6,DIFFERENTIATION_ID_DIFF,0)))</f>
        <v>Территория 5</v>
      </c>
      <c r="Z8" s="2418"/>
      <c r="AA8" s="2417" t="str">
        <f>IF(AA6="","",INDEX(DIFFERENTIATION_UNMERGE_AREA,MATCH(AA6,DIFFERENTIATION_ID_DIFF,0)))</f>
        <v>Территория 6</v>
      </c>
      <c r="AB8" s="2418"/>
      <c r="AC8" s="2417" t="str">
        <f>IF(AC6="","",INDEX(DIFFERENTIATION_UNMERGE_AREA,MATCH(AC6,DIFFERENTIATION_ID_DIFF,0)))</f>
        <v>Территория 7</v>
      </c>
      <c r="AD8" s="2418"/>
      <c r="AE8" s="2417" t="str">
        <f>IF(AE6="","",INDEX(DIFFERENTIATION_UNMERGE_AREA,MATCH(AE6,DIFFERENTIATION_ID_DIFF,0)))</f>
        <v>Территория 8</v>
      </c>
      <c r="AF8" s="2418"/>
      <c r="AG8" s="2417" t="str">
        <f>IF(AG6="","",INDEX(DIFFERENTIATION_UNMERGE_AREA,MATCH(AG6,DIFFERENTIATION_ID_DIFF,0)))</f>
        <v>Территория 8</v>
      </c>
      <c r="AH8" s="2418"/>
      <c r="AI8" s="2417" t="str">
        <f>IF(AI6="","",INDEX(DIFFERENTIATION_UNMERGE_AREA,MATCH(AI6,DIFFERENTIATION_ID_DIFF,0)))</f>
        <v>Территория 9</v>
      </c>
      <c r="AJ8" s="2418"/>
      <c r="AK8" s="2417" t="str">
        <f>IF(AK6="","",INDEX(DIFFERENTIATION_UNMERGE_AREA,MATCH(AK6,DIFFERENTIATION_ID_DIFF,0)))</f>
        <v>Территория 10</v>
      </c>
      <c r="AL8" s="2418"/>
      <c r="AM8" s="2223"/>
      <c r="AN8" s="533"/>
      <c r="AZ8" s="529">
        <v>11</v>
      </c>
    </row>
    <row customHeight="1" ht="11.549999999999999">
      <c r="A9" s="728"/>
      <c r="D9" s="735"/>
      <c r="E9" s="2391" t="s">
        <v>649</v>
      </c>
      <c r="F9" s="2392"/>
      <c r="G9" s="2417" t="str">
        <f>IF(G6="","",INDEX(DIFFERENTIATION_UNMERGE_SYSTEM,MATCH(G6,DIFFERENTIATION_ID_DIFF,0)))</f>
        <v/>
      </c>
      <c r="H9" s="2418"/>
      <c r="I9" s="2417" t="str">
        <f>IF(I6="","",INDEX(DIFFERENTIATION_UNMERGE_SYSTEM,MATCH(I6,DIFFERENTIATION_ID_DIFF,0)))</f>
        <v>Амурская ТЭЦ-1 (г. Амурск)</v>
      </c>
      <c r="J9" s="2418"/>
      <c r="K9" s="2417" t="str">
        <f>IF(K6="","",INDEX(DIFFERENTIATION_UNMERGE_SYSTEM,MATCH(K6,DIFFERENTIATION_ID_DIFF,0)))</f>
        <v>Николаевская ТЭЦ (г. Николаевск)</v>
      </c>
      <c r="L9" s="2418"/>
      <c r="M9" s="2417" t="str">
        <f>IF(M6="","",INDEX(DIFFERENTIATION_UNMERGE_SYSTEM,MATCH(M6,DIFFERENTIATION_ID_DIFF,0)))</f>
        <v>котельная "Аэропорт"</v>
      </c>
      <c r="N9" s="2418"/>
      <c r="O9" s="2417" t="str">
        <f>IF(O6="","",INDEX(DIFFERENTIATION_UNMERGE_SYSTEM,MATCH(O6,DIFFERENTIATION_ID_DIFF,0)))</f>
        <v>Комсомольская ТЭЦ-1 (г. Комсомольск)</v>
      </c>
      <c r="P9" s="2418"/>
      <c r="Q9" s="2417" t="str">
        <f>IF(Q6="","",INDEX(DIFFERENTIATION_UNMERGE_SYSTEM,MATCH(Q6,DIFFERENTIATION_ID_DIFF,0)))</f>
        <v>Комсомольская ТЭЦ-2 (г. Комсомольск)</v>
      </c>
      <c r="R9" s="2418"/>
      <c r="S9" s="2417" t="str">
        <f>IF(S6="","",INDEX(DIFFERENTIATION_UNMERGE_SYSTEM,MATCH(S6,DIFFERENTIATION_ID_DIFF,0)))</f>
        <v>Комсомольская ТЭЦ-3 (г. Комсомольск)</v>
      </c>
      <c r="T9" s="2418"/>
      <c r="U9" s="2417" t="str">
        <f>IF(U6="","",INDEX(DIFFERENTIATION_UNMERGE_SYSTEM,MATCH(U6,DIFFERENTIATION_ID_DIFF,0)))</f>
        <v>ВК "Дземги" (г. Комсомольск)</v>
      </c>
      <c r="V9" s="2418"/>
      <c r="W9" s="2417" t="str">
        <f>IF(W6="","",INDEX(DIFFERENTIATION_UNMERGE_SYSTEM,MATCH(W6,DIFFERENTIATION_ID_DIFF,0)))</f>
        <v>ТЭЦ в г. Советская Гавань</v>
      </c>
      <c r="X9" s="2418"/>
      <c r="Y9" s="2417" t="str">
        <f>IF(Y6="","",INDEX(DIFFERENTIATION_UNMERGE_SYSTEM,MATCH(Y6,DIFFERENTIATION_ID_DIFF,0)))</f>
        <v>Майская котельная </v>
      </c>
      <c r="Z9" s="2418"/>
      <c r="AA9" s="2417" t="str">
        <f>IF(AA6="","",INDEX(DIFFERENTIATION_UNMERGE_SYSTEM,MATCH(AA6,DIFFERENTIATION_ID_DIFF,0)))</f>
        <v>Ургальская котельная (п. Чегдомын)</v>
      </c>
      <c r="AB9" s="2418"/>
      <c r="AC9" s="2417" t="str">
        <f>IF(AC6="","",INDEX(DIFFERENTIATION_UNMERGE_SYSTEM,MATCH(AC6,DIFFERENTIATION_ID_DIFF,0)))</f>
        <v>Хабаровская ТЭЦ-1 (г. Хабаровск, с. Ильинское, п. Корфовский, с. Ракитненское)</v>
      </c>
      <c r="AD9" s="2418"/>
      <c r="AE9" s="2417" t="str">
        <f>IF(AE6="","",INDEX(DIFFERENTIATION_UNMERGE_SYSTEM,MATCH(AE6,DIFFERENTIATION_ID_DIFF,0)))</f>
        <v>Хабаровская ТЭЦ-2 (г. Хабаровск)</v>
      </c>
      <c r="AF9" s="2418"/>
      <c r="AG9" s="2417" t="str">
        <f>IF(AG6="","",INDEX(DIFFERENTIATION_UNMERGE_SYSTEM,MATCH(AG6,DIFFERENTIATION_ID_DIFF,0)))</f>
        <v>Котельная в Волочаевском городке</v>
      </c>
      <c r="AH9" s="2418"/>
      <c r="AI9" s="2417" t="str">
        <f>IF(AI6="","",INDEX(DIFFERENTIATION_UNMERGE_SYSTEM,MATCH(AI6,DIFFERENTIATION_ID_DIFF,0)))</f>
        <v>Хабаровская ТЭЦ-3 (г. Хабаровск, с. Восточное, с. Мирненское, с. Тополевское)</v>
      </c>
      <c r="AJ9" s="2418"/>
      <c r="AK9" s="2417" t="str">
        <f>IF(AK6="","",INDEX(DIFFERENTIATION_UNMERGE_SYSTEM,MATCH(AK6,DIFFERENTIATION_ID_DIFF,0)))</f>
        <v>Котельная в с. Некрасовка (с. Дружбинское, с. Некрасовское) </v>
      </c>
      <c r="AL9" s="2418"/>
      <c r="AM9" s="2223"/>
      <c r="AN9" s="533"/>
      <c r="AZ9" s="529">
        <v>11</v>
      </c>
    </row>
    <row s="1659" customFormat="1" customHeight="1" ht="11.549999999999999">
      <c r="A10" s="1045"/>
      <c r="B10" s="535"/>
      <c r="D10" s="2125" t="s">
        <v>384</v>
      </c>
      <c r="E10" s="2126"/>
      <c r="F10" s="2126"/>
      <c r="G10" s="2126"/>
      <c r="H10" s="2126"/>
      <c r="I10" s="2126"/>
      <c r="J10" s="2127"/>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23"/>
      <c r="AN10" s="533"/>
      <c r="AZ10" s="782">
        <v>11</v>
      </c>
    </row>
    <row s="1659" customFormat="1" customHeight="1" ht="24">
      <c r="A11" s="2409"/>
      <c r="B11" s="2409"/>
      <c r="C11" s="681"/>
      <c r="D11" s="727" t="s">
        <v>88</v>
      </c>
      <c r="E11" s="729" t="s">
        <v>904</v>
      </c>
      <c r="F11" s="729" t="s">
        <v>650</v>
      </c>
      <c r="G11" s="489" t="s">
        <v>387</v>
      </c>
      <c r="H11" s="489" t="s">
        <v>474</v>
      </c>
      <c r="I11" s="831" t="s">
        <v>387</v>
      </c>
      <c r="J11" s="832" t="s">
        <v>474</v>
      </c>
      <c r="K11" s="2336" t="s">
        <v>387</v>
      </c>
      <c r="L11" s="2336" t="s">
        <v>474</v>
      </c>
      <c r="M11" s="2336" t="s">
        <v>387</v>
      </c>
      <c r="N11" s="2336" t="s">
        <v>474</v>
      </c>
      <c r="O11" s="2336" t="s">
        <v>387</v>
      </c>
      <c r="P11" s="2336" t="s">
        <v>474</v>
      </c>
      <c r="Q11" s="2336" t="s">
        <v>387</v>
      </c>
      <c r="R11" s="2336" t="s">
        <v>474</v>
      </c>
      <c r="S11" s="2336" t="s">
        <v>387</v>
      </c>
      <c r="T11" s="2336" t="s">
        <v>474</v>
      </c>
      <c r="U11" s="2336" t="s">
        <v>387</v>
      </c>
      <c r="V11" s="2336" t="s">
        <v>474</v>
      </c>
      <c r="W11" s="2336" t="s">
        <v>387</v>
      </c>
      <c r="X11" s="2336" t="s">
        <v>474</v>
      </c>
      <c r="Y11" s="2336" t="s">
        <v>387</v>
      </c>
      <c r="Z11" s="2336" t="s">
        <v>474</v>
      </c>
      <c r="AA11" s="2336" t="s">
        <v>387</v>
      </c>
      <c r="AB11" s="2336" t="s">
        <v>474</v>
      </c>
      <c r="AC11" s="2336" t="s">
        <v>387</v>
      </c>
      <c r="AD11" s="2336" t="s">
        <v>474</v>
      </c>
      <c r="AE11" s="2336" t="s">
        <v>387</v>
      </c>
      <c r="AF11" s="2336" t="s">
        <v>474</v>
      </c>
      <c r="AG11" s="2336" t="s">
        <v>387</v>
      </c>
      <c r="AH11" s="2336" t="s">
        <v>474</v>
      </c>
      <c r="AI11" s="2336" t="s">
        <v>387</v>
      </c>
      <c r="AJ11" s="2336" t="s">
        <v>474</v>
      </c>
      <c r="AK11" s="2336" t="s">
        <v>387</v>
      </c>
      <c r="AL11" s="2336" t="s">
        <v>474</v>
      </c>
      <c r="AM11" s="2256"/>
      <c r="AN11" s="682"/>
      <c r="AZ11" s="533">
        <v>23</v>
      </c>
    </row>
    <row s="1666" customFormat="1" customHeight="1" ht="10.5">
      <c r="A12" s="976"/>
      <c r="D12" s="1049" t="s">
        <v>170</v>
      </c>
      <c r="E12" s="1049" t="s">
        <v>103</v>
      </c>
      <c r="F12" s="1049" t="s">
        <v>90</v>
      </c>
      <c r="G12" s="1050" t="str">
        <f>G1&amp;".1"</f>
        <v>4.1</v>
      </c>
      <c r="H12" s="1050" t="str">
        <f>G1&amp;".2"</f>
        <v>4.2</v>
      </c>
      <c r="I12" s="1050" t="str">
        <f>I1&amp;".1"</f>
        <v>4.1</v>
      </c>
      <c r="J12" s="1050" t="str">
        <f>I1&amp;".2"</f>
        <v>4.2</v>
      </c>
      <c r="K12" s="2398" t="str">
        <f>K1&amp;".1"</f>
        <v>4.1</v>
      </c>
      <c r="L12" s="2398" t="str">
        <f>K1&amp;".2"</f>
        <v>4.2</v>
      </c>
      <c r="M12" s="2398" t="str">
        <f>M1&amp;".1"</f>
        <v>4.1</v>
      </c>
      <c r="N12" s="2398" t="str">
        <f>M1&amp;".2"</f>
        <v>4.2</v>
      </c>
      <c r="O12" s="2398" t="str">
        <f>O1&amp;".1"</f>
        <v>4.1</v>
      </c>
      <c r="P12" s="2398" t="str">
        <f>O1&amp;".2"</f>
        <v>4.2</v>
      </c>
      <c r="Q12" s="2398" t="str">
        <f>Q1&amp;".1"</f>
        <v>4.1</v>
      </c>
      <c r="R12" s="2398" t="str">
        <f>Q1&amp;".2"</f>
        <v>4.2</v>
      </c>
      <c r="S12" s="2398" t="str">
        <f>S1&amp;".1"</f>
        <v>4.1</v>
      </c>
      <c r="T12" s="2398" t="str">
        <f>S1&amp;".2"</f>
        <v>4.2</v>
      </c>
      <c r="U12" s="2398" t="str">
        <f>U1&amp;".1"</f>
        <v>4.1</v>
      </c>
      <c r="V12" s="2398" t="str">
        <f>U1&amp;".2"</f>
        <v>4.2</v>
      </c>
      <c r="W12" s="2398" t="str">
        <f>W1&amp;".1"</f>
        <v>4.1</v>
      </c>
      <c r="X12" s="2398" t="str">
        <f>W1&amp;".2"</f>
        <v>4.2</v>
      </c>
      <c r="Y12" s="2398" t="str">
        <f>Y1&amp;".1"</f>
        <v>4.1</v>
      </c>
      <c r="Z12" s="2398" t="str">
        <f>Y1&amp;".2"</f>
        <v>4.2</v>
      </c>
      <c r="AA12" s="2398" t="str">
        <f>AA1&amp;".1"</f>
        <v>4.1</v>
      </c>
      <c r="AB12" s="2398" t="str">
        <f>AA1&amp;".2"</f>
        <v>4.2</v>
      </c>
      <c r="AC12" s="2398" t="str">
        <f>AC1&amp;".1"</f>
        <v>4.1</v>
      </c>
      <c r="AD12" s="2398" t="str">
        <f>AC1&amp;".2"</f>
        <v>4.2</v>
      </c>
      <c r="AE12" s="2398" t="str">
        <f>AE1&amp;".1"</f>
        <v>4.1</v>
      </c>
      <c r="AF12" s="2398" t="str">
        <f>AE1&amp;".2"</f>
        <v>4.2</v>
      </c>
      <c r="AG12" s="2398" t="str">
        <f>AG1&amp;".1"</f>
        <v>4.1</v>
      </c>
      <c r="AH12" s="2398" t="str">
        <f>AG1&amp;".2"</f>
        <v>4.2</v>
      </c>
      <c r="AI12" s="2398" t="str">
        <f>AI1&amp;".1"</f>
        <v>4.1</v>
      </c>
      <c r="AJ12" s="2398" t="str">
        <f>AI1&amp;".2"</f>
        <v>4.2</v>
      </c>
      <c r="AK12" s="2398" t="str">
        <f>AK1&amp;".1"</f>
        <v>4.1</v>
      </c>
      <c r="AL12" s="2398" t="str">
        <f>AK1&amp;".2"</f>
        <v>4.2</v>
      </c>
      <c r="AM12" s="1050"/>
      <c r="AZ12" s="535">
        <v>10</v>
      </c>
    </row>
    <row customHeight="1" ht="22.5">
      <c r="A13" s="2416" t="s">
        <v>905</v>
      </c>
      <c r="D13" s="977" t="s">
        <v>170</v>
      </c>
      <c r="E13" s="303" t="s">
        <v>906</v>
      </c>
      <c r="F13" s="684" t="s">
        <v>907</v>
      </c>
      <c r="G13" s="581"/>
      <c r="H13" s="685"/>
      <c r="I13" s="581"/>
      <c r="J13" s="685"/>
      <c r="K13" s="581"/>
      <c r="L13" s="686"/>
      <c r="M13" s="581"/>
      <c r="N13" s="686"/>
      <c r="O13" s="581"/>
      <c r="P13" s="686"/>
      <c r="Q13" s="581"/>
      <c r="R13" s="686"/>
      <c r="S13" s="581"/>
      <c r="T13" s="686"/>
      <c r="U13" s="581"/>
      <c r="V13" s="686"/>
      <c r="W13" s="581"/>
      <c r="X13" s="686"/>
      <c r="Y13" s="581"/>
      <c r="Z13" s="686"/>
      <c r="AA13" s="581"/>
      <c r="AB13" s="686"/>
      <c r="AC13" s="581"/>
      <c r="AD13" s="686"/>
      <c r="AE13" s="581"/>
      <c r="AF13" s="686"/>
      <c r="AG13" s="581"/>
      <c r="AH13" s="686"/>
      <c r="AI13" s="581"/>
      <c r="AJ13" s="686"/>
      <c r="AK13" s="581"/>
      <c r="AL13" s="686"/>
      <c r="AM13" s="313" t="s">
        <v>908</v>
      </c>
      <c r="AN13" s="744"/>
      <c r="AZ13" s="529">
        <v>0</v>
      </c>
    </row>
    <row customHeight="1" ht="22.5">
      <c r="A14" s="2416"/>
      <c r="D14" s="563" t="s">
        <v>103</v>
      </c>
      <c r="E14" s="303" t="s">
        <v>909</v>
      </c>
      <c r="F14" s="684" t="s">
        <v>910</v>
      </c>
      <c r="G14" s="581"/>
      <c r="H14" s="686"/>
      <c r="I14" s="581"/>
      <c r="J14" s="686"/>
      <c r="K14" s="581"/>
      <c r="L14" s="686"/>
      <c r="M14" s="581"/>
      <c r="N14" s="686"/>
      <c r="O14" s="581"/>
      <c r="P14" s="686"/>
      <c r="Q14" s="581"/>
      <c r="R14" s="686"/>
      <c r="S14" s="581"/>
      <c r="T14" s="686"/>
      <c r="U14" s="581"/>
      <c r="V14" s="686"/>
      <c r="W14" s="581"/>
      <c r="X14" s="686"/>
      <c r="Y14" s="581"/>
      <c r="Z14" s="686"/>
      <c r="AA14" s="581"/>
      <c r="AB14" s="686"/>
      <c r="AC14" s="581"/>
      <c r="AD14" s="686"/>
      <c r="AE14" s="581"/>
      <c r="AF14" s="686"/>
      <c r="AG14" s="581"/>
      <c r="AH14" s="686"/>
      <c r="AI14" s="581"/>
      <c r="AJ14" s="686"/>
      <c r="AK14" s="581"/>
      <c r="AL14" s="686"/>
      <c r="AM14" s="313" t="s">
        <v>911</v>
      </c>
      <c r="AN14" s="744"/>
      <c r="AZ14" s="529">
        <v>0</v>
      </c>
    </row>
    <row s="1659" customFormat="1" customHeight="1" ht="78.75">
      <c r="A15" s="2416"/>
      <c r="B15" s="535"/>
      <c r="D15" s="977" t="s">
        <v>90</v>
      </c>
      <c r="E15" s="731" t="s">
        <v>912</v>
      </c>
      <c r="F15" s="974" t="s">
        <v>390</v>
      </c>
      <c r="G15" s="974" t="s">
        <v>390</v>
      </c>
      <c r="H15" s="130"/>
      <c r="I15" s="974" t="s">
        <v>390</v>
      </c>
      <c r="J15" s="130"/>
      <c r="K15" s="2336" t="s">
        <v>390</v>
      </c>
      <c r="L15" s="2525"/>
      <c r="M15" s="2336" t="s">
        <v>390</v>
      </c>
      <c r="N15" s="2525"/>
      <c r="O15" s="2336" t="s">
        <v>390</v>
      </c>
      <c r="P15" s="2525"/>
      <c r="Q15" s="2336" t="s">
        <v>390</v>
      </c>
      <c r="R15" s="2525"/>
      <c r="S15" s="2336" t="s">
        <v>390</v>
      </c>
      <c r="T15" s="2525"/>
      <c r="U15" s="2336" t="s">
        <v>390</v>
      </c>
      <c r="V15" s="2525"/>
      <c r="W15" s="2336" t="s">
        <v>390</v>
      </c>
      <c r="X15" s="2525"/>
      <c r="Y15" s="2336" t="s">
        <v>390</v>
      </c>
      <c r="Z15" s="2525"/>
      <c r="AA15" s="2336" t="s">
        <v>390</v>
      </c>
      <c r="AB15" s="2525"/>
      <c r="AC15" s="2336" t="s">
        <v>390</v>
      </c>
      <c r="AD15" s="2525"/>
      <c r="AE15" s="2336" t="s">
        <v>390</v>
      </c>
      <c r="AF15" s="2525"/>
      <c r="AG15" s="2336" t="s">
        <v>390</v>
      </c>
      <c r="AH15" s="2525"/>
      <c r="AI15" s="2336" t="s">
        <v>390</v>
      </c>
      <c r="AJ15" s="2525"/>
      <c r="AK15" s="2336" t="s">
        <v>390</v>
      </c>
      <c r="AL15" s="2525"/>
      <c r="AM15" s="313" t="s">
        <v>913</v>
      </c>
      <c r="AN15" s="744"/>
      <c r="AZ15" s="782">
        <v>0</v>
      </c>
    </row>
    <row s="1659" customFormat="1" customHeight="1" ht="22.5">
      <c r="A16" s="2416"/>
      <c r="B16" s="535"/>
      <c r="D16" s="977" t="s">
        <v>408</v>
      </c>
      <c r="E16" s="978" t="s">
        <v>914</v>
      </c>
      <c r="F16" s="974" t="s">
        <v>915</v>
      </c>
      <c r="G16" s="841"/>
      <c r="H16" s="130"/>
      <c r="I16" s="841"/>
      <c r="J16" s="130"/>
      <c r="K16" s="841"/>
      <c r="L16" s="2525"/>
      <c r="M16" s="841"/>
      <c r="N16" s="2525"/>
      <c r="O16" s="841"/>
      <c r="P16" s="2525"/>
      <c r="Q16" s="841"/>
      <c r="R16" s="2525"/>
      <c r="S16" s="841"/>
      <c r="T16" s="2525"/>
      <c r="U16" s="841"/>
      <c r="V16" s="2525"/>
      <c r="W16" s="841"/>
      <c r="X16" s="2525"/>
      <c r="Y16" s="841"/>
      <c r="Z16" s="2525"/>
      <c r="AA16" s="841"/>
      <c r="AB16" s="2525"/>
      <c r="AC16" s="841"/>
      <c r="AD16" s="2525"/>
      <c r="AE16" s="841"/>
      <c r="AF16" s="2525"/>
      <c r="AG16" s="841"/>
      <c r="AH16" s="2525"/>
      <c r="AI16" s="841"/>
      <c r="AJ16" s="2525"/>
      <c r="AK16" s="841"/>
      <c r="AL16" s="2525"/>
      <c r="AM16" s="313"/>
      <c r="AN16" s="744"/>
      <c r="AZ16" s="782">
        <v>0</v>
      </c>
    </row>
    <row s="1659" customFormat="1" customHeight="1" ht="22.5">
      <c r="A17" s="2416"/>
      <c r="B17" s="535"/>
      <c r="D17" s="977" t="s">
        <v>416</v>
      </c>
      <c r="E17" s="978" t="s">
        <v>916</v>
      </c>
      <c r="F17" s="974" t="s">
        <v>917</v>
      </c>
      <c r="G17" s="841"/>
      <c r="H17" s="130"/>
      <c r="I17" s="841"/>
      <c r="J17" s="130"/>
      <c r="K17" s="841"/>
      <c r="L17" s="2525"/>
      <c r="M17" s="841"/>
      <c r="N17" s="2525"/>
      <c r="O17" s="841"/>
      <c r="P17" s="2525"/>
      <c r="Q17" s="841"/>
      <c r="R17" s="2525"/>
      <c r="S17" s="841"/>
      <c r="T17" s="2525"/>
      <c r="U17" s="841"/>
      <c r="V17" s="2525"/>
      <c r="W17" s="841"/>
      <c r="X17" s="2525"/>
      <c r="Y17" s="841"/>
      <c r="Z17" s="2525"/>
      <c r="AA17" s="841"/>
      <c r="AB17" s="2525"/>
      <c r="AC17" s="841"/>
      <c r="AD17" s="2525"/>
      <c r="AE17" s="841"/>
      <c r="AF17" s="2525"/>
      <c r="AG17" s="841"/>
      <c r="AH17" s="2525"/>
      <c r="AI17" s="841"/>
      <c r="AJ17" s="2525"/>
      <c r="AK17" s="841"/>
      <c r="AL17" s="2525"/>
      <c r="AM17" s="313"/>
      <c r="AN17" s="744"/>
      <c r="AZ17" s="782">
        <v>0</v>
      </c>
    </row>
    <row s="1659" customFormat="1" customHeight="1" ht="33.75">
      <c r="A18" s="2416"/>
      <c r="B18" s="535"/>
      <c r="D18" s="977" t="s">
        <v>418</v>
      </c>
      <c r="E18" s="978" t="s">
        <v>918</v>
      </c>
      <c r="F18" s="974" t="s">
        <v>655</v>
      </c>
      <c r="G18" s="704"/>
      <c r="H18" s="130"/>
      <c r="I18" s="704"/>
      <c r="J18" s="130"/>
      <c r="K18" s="704"/>
      <c r="L18" s="2525"/>
      <c r="M18" s="704"/>
      <c r="N18" s="2525"/>
      <c r="O18" s="704"/>
      <c r="P18" s="2525"/>
      <c r="Q18" s="704"/>
      <c r="R18" s="2525"/>
      <c r="S18" s="704"/>
      <c r="T18" s="2525"/>
      <c r="U18" s="704"/>
      <c r="V18" s="2525"/>
      <c r="W18" s="704"/>
      <c r="X18" s="2525"/>
      <c r="Y18" s="704"/>
      <c r="Z18" s="2525"/>
      <c r="AA18" s="704"/>
      <c r="AB18" s="2525"/>
      <c r="AC18" s="704"/>
      <c r="AD18" s="2525"/>
      <c r="AE18" s="704"/>
      <c r="AF18" s="2525"/>
      <c r="AG18" s="704"/>
      <c r="AH18" s="2525"/>
      <c r="AI18" s="704"/>
      <c r="AJ18" s="2525"/>
      <c r="AK18" s="704"/>
      <c r="AL18" s="2525"/>
      <c r="AM18" s="313"/>
      <c r="AN18" s="744"/>
      <c r="AZ18" s="782">
        <v>0</v>
      </c>
    </row>
    <row customHeight="1" ht="101.25">
      <c r="A19" s="2416"/>
      <c r="D19" s="977" t="s">
        <v>91</v>
      </c>
      <c r="E19" s="303" t="s">
        <v>919</v>
      </c>
      <c r="F19" s="684" t="s">
        <v>630</v>
      </c>
      <c r="G19" s="687"/>
      <c r="H19" s="686"/>
      <c r="I19" s="979"/>
      <c r="J19" s="686"/>
      <c r="K19" s="2541"/>
      <c r="L19" s="686"/>
      <c r="M19" s="2541"/>
      <c r="N19" s="686"/>
      <c r="O19" s="2541"/>
      <c r="P19" s="686"/>
      <c r="Q19" s="2541"/>
      <c r="R19" s="686"/>
      <c r="S19" s="2541"/>
      <c r="T19" s="686"/>
      <c r="U19" s="2541"/>
      <c r="V19" s="686"/>
      <c r="W19" s="2541"/>
      <c r="X19" s="686"/>
      <c r="Y19" s="2541"/>
      <c r="Z19" s="686"/>
      <c r="AA19" s="2541"/>
      <c r="AB19" s="686"/>
      <c r="AC19" s="2541"/>
      <c r="AD19" s="686"/>
      <c r="AE19" s="2541"/>
      <c r="AF19" s="686"/>
      <c r="AG19" s="2541"/>
      <c r="AH19" s="686"/>
      <c r="AI19" s="2541"/>
      <c r="AJ19" s="686"/>
      <c r="AK19" s="2541"/>
      <c r="AL19" s="686"/>
      <c r="AM19" s="313" t="s">
        <v>920</v>
      </c>
      <c r="AN19" s="744"/>
      <c r="AZ19" s="529">
        <v>0</v>
      </c>
    </row>
    <row s="1659" customFormat="1" customHeight="1" ht="18.75">
      <c r="A20" s="2416"/>
      <c r="C20" s="980"/>
      <c r="D20" s="977" t="s">
        <v>851</v>
      </c>
      <c r="E20" s="978" t="s">
        <v>921</v>
      </c>
      <c r="F20" s="974" t="s">
        <v>390</v>
      </c>
      <c r="G20" s="974" t="s">
        <v>390</v>
      </c>
      <c r="H20" s="973" t="s">
        <v>390</v>
      </c>
      <c r="I20" s="974" t="s">
        <v>390</v>
      </c>
      <c r="J20" s="973" t="s">
        <v>390</v>
      </c>
      <c r="K20" s="2336" t="s">
        <v>390</v>
      </c>
      <c r="L20" s="2284" t="s">
        <v>390</v>
      </c>
      <c r="M20" s="2336" t="s">
        <v>390</v>
      </c>
      <c r="N20" s="2284" t="s">
        <v>390</v>
      </c>
      <c r="O20" s="2336" t="s">
        <v>390</v>
      </c>
      <c r="P20" s="2284" t="s">
        <v>390</v>
      </c>
      <c r="Q20" s="2336" t="s">
        <v>390</v>
      </c>
      <c r="R20" s="2284" t="s">
        <v>390</v>
      </c>
      <c r="S20" s="2336" t="s">
        <v>390</v>
      </c>
      <c r="T20" s="2284" t="s">
        <v>390</v>
      </c>
      <c r="U20" s="2336" t="s">
        <v>390</v>
      </c>
      <c r="V20" s="2284" t="s">
        <v>390</v>
      </c>
      <c r="W20" s="2336" t="s">
        <v>390</v>
      </c>
      <c r="X20" s="2284" t="s">
        <v>390</v>
      </c>
      <c r="Y20" s="2336" t="s">
        <v>390</v>
      </c>
      <c r="Z20" s="2284" t="s">
        <v>390</v>
      </c>
      <c r="AA20" s="2336" t="s">
        <v>390</v>
      </c>
      <c r="AB20" s="2284" t="s">
        <v>390</v>
      </c>
      <c r="AC20" s="2336" t="s">
        <v>390</v>
      </c>
      <c r="AD20" s="2284" t="s">
        <v>390</v>
      </c>
      <c r="AE20" s="2336" t="s">
        <v>390</v>
      </c>
      <c r="AF20" s="2284" t="s">
        <v>390</v>
      </c>
      <c r="AG20" s="2336" t="s">
        <v>390</v>
      </c>
      <c r="AH20" s="2284" t="s">
        <v>390</v>
      </c>
      <c r="AI20" s="2336" t="s">
        <v>390</v>
      </c>
      <c r="AJ20" s="2284" t="s">
        <v>390</v>
      </c>
      <c r="AK20" s="2336" t="s">
        <v>390</v>
      </c>
      <c r="AL20" s="2284" t="s">
        <v>390</v>
      </c>
      <c r="AM20" s="972"/>
      <c r="AN20" s="744"/>
      <c r="AY20" s="699"/>
      <c r="AZ20" s="782">
        <v>0</v>
      </c>
    </row>
    <row s="1659" customFormat="1" customHeight="1" ht="33.75">
      <c r="A21" s="2416"/>
      <c r="C21" s="980"/>
      <c r="D21" s="977" t="s">
        <v>854</v>
      </c>
      <c r="E21" s="600" t="s">
        <v>922</v>
      </c>
      <c r="F21" s="974" t="s">
        <v>923</v>
      </c>
      <c r="G21" s="704"/>
      <c r="H21" s="130"/>
      <c r="I21" s="704"/>
      <c r="J21" s="130"/>
      <c r="K21" s="704"/>
      <c r="L21" s="2525"/>
      <c r="M21" s="704"/>
      <c r="N21" s="2525"/>
      <c r="O21" s="704"/>
      <c r="P21" s="2525"/>
      <c r="Q21" s="704"/>
      <c r="R21" s="2525"/>
      <c r="S21" s="704"/>
      <c r="T21" s="2525"/>
      <c r="U21" s="704"/>
      <c r="V21" s="2525"/>
      <c r="W21" s="704"/>
      <c r="X21" s="2525"/>
      <c r="Y21" s="704"/>
      <c r="Z21" s="2525"/>
      <c r="AA21" s="704"/>
      <c r="AB21" s="2525"/>
      <c r="AC21" s="704"/>
      <c r="AD21" s="2525"/>
      <c r="AE21" s="704"/>
      <c r="AF21" s="2525"/>
      <c r="AG21" s="704"/>
      <c r="AH21" s="2525"/>
      <c r="AI21" s="704"/>
      <c r="AJ21" s="2525"/>
      <c r="AK21" s="704"/>
      <c r="AL21" s="2525"/>
      <c r="AM21" s="972"/>
      <c r="AN21" s="744"/>
      <c r="AY21" s="699"/>
      <c r="AZ21" s="782">
        <v>0</v>
      </c>
    </row>
    <row s="1659" customFormat="1" customHeight="1" ht="33.75">
      <c r="A22" s="2416"/>
      <c r="C22" s="980"/>
      <c r="D22" s="977" t="s">
        <v>857</v>
      </c>
      <c r="E22" s="600" t="s">
        <v>924</v>
      </c>
      <c r="F22" s="974" t="s">
        <v>925</v>
      </c>
      <c r="G22" s="704"/>
      <c r="H22" s="130"/>
      <c r="I22" s="704"/>
      <c r="J22" s="130"/>
      <c r="K22" s="704"/>
      <c r="L22" s="2525"/>
      <c r="M22" s="704"/>
      <c r="N22" s="2525"/>
      <c r="O22" s="704"/>
      <c r="P22" s="2525"/>
      <c r="Q22" s="704"/>
      <c r="R22" s="2525"/>
      <c r="S22" s="704"/>
      <c r="T22" s="2525"/>
      <c r="U22" s="704"/>
      <c r="V22" s="2525"/>
      <c r="W22" s="704"/>
      <c r="X22" s="2525"/>
      <c r="Y22" s="704"/>
      <c r="Z22" s="2525"/>
      <c r="AA22" s="704"/>
      <c r="AB22" s="2525"/>
      <c r="AC22" s="704"/>
      <c r="AD22" s="2525"/>
      <c r="AE22" s="704"/>
      <c r="AF22" s="2525"/>
      <c r="AG22" s="704"/>
      <c r="AH22" s="2525"/>
      <c r="AI22" s="704"/>
      <c r="AJ22" s="2525"/>
      <c r="AK22" s="704"/>
      <c r="AL22" s="2525"/>
      <c r="AM22" s="972"/>
      <c r="AN22" s="744"/>
      <c r="AY22" s="699"/>
      <c r="AZ22" s="782">
        <v>0</v>
      </c>
    </row>
    <row s="1659" customFormat="1" customHeight="1" ht="22.5">
      <c r="A23" s="2416"/>
      <c r="C23" s="980"/>
      <c r="D23" s="977" t="s">
        <v>893</v>
      </c>
      <c r="E23" s="978" t="s">
        <v>926</v>
      </c>
      <c r="F23" s="974" t="s">
        <v>390</v>
      </c>
      <c r="G23" s="974" t="s">
        <v>390</v>
      </c>
      <c r="H23" s="973" t="s">
        <v>390</v>
      </c>
      <c r="I23" s="974" t="s">
        <v>390</v>
      </c>
      <c r="J23" s="973" t="s">
        <v>390</v>
      </c>
      <c r="K23" s="2336" t="s">
        <v>390</v>
      </c>
      <c r="L23" s="2284" t="s">
        <v>390</v>
      </c>
      <c r="M23" s="2336" t="s">
        <v>390</v>
      </c>
      <c r="N23" s="2284" t="s">
        <v>390</v>
      </c>
      <c r="O23" s="2336" t="s">
        <v>390</v>
      </c>
      <c r="P23" s="2284" t="s">
        <v>390</v>
      </c>
      <c r="Q23" s="2336" t="s">
        <v>390</v>
      </c>
      <c r="R23" s="2284" t="s">
        <v>390</v>
      </c>
      <c r="S23" s="2336" t="s">
        <v>390</v>
      </c>
      <c r="T23" s="2284" t="s">
        <v>390</v>
      </c>
      <c r="U23" s="2336" t="s">
        <v>390</v>
      </c>
      <c r="V23" s="2284" t="s">
        <v>390</v>
      </c>
      <c r="W23" s="2336" t="s">
        <v>390</v>
      </c>
      <c r="X23" s="2284" t="s">
        <v>390</v>
      </c>
      <c r="Y23" s="2336" t="s">
        <v>390</v>
      </c>
      <c r="Z23" s="2284" t="s">
        <v>390</v>
      </c>
      <c r="AA23" s="2336" t="s">
        <v>390</v>
      </c>
      <c r="AB23" s="2284" t="s">
        <v>390</v>
      </c>
      <c r="AC23" s="2336" t="s">
        <v>390</v>
      </c>
      <c r="AD23" s="2284" t="s">
        <v>390</v>
      </c>
      <c r="AE23" s="2336" t="s">
        <v>390</v>
      </c>
      <c r="AF23" s="2284" t="s">
        <v>390</v>
      </c>
      <c r="AG23" s="2336" t="s">
        <v>390</v>
      </c>
      <c r="AH23" s="2284" t="s">
        <v>390</v>
      </c>
      <c r="AI23" s="2336" t="s">
        <v>390</v>
      </c>
      <c r="AJ23" s="2284" t="s">
        <v>390</v>
      </c>
      <c r="AK23" s="2336" t="s">
        <v>390</v>
      </c>
      <c r="AL23" s="2284" t="s">
        <v>390</v>
      </c>
      <c r="AM23" s="972"/>
      <c r="AN23" s="744"/>
      <c r="AY23" s="699"/>
      <c r="AZ23" s="782">
        <v>0</v>
      </c>
    </row>
    <row s="1659" customFormat="1" customHeight="1" ht="22.5">
      <c r="A24" s="2416"/>
      <c r="C24" s="980"/>
      <c r="D24" s="977" t="s">
        <v>927</v>
      </c>
      <c r="E24" s="600" t="s">
        <v>928</v>
      </c>
      <c r="F24" s="974" t="s">
        <v>929</v>
      </c>
      <c r="G24" s="704"/>
      <c r="H24" s="710"/>
      <c r="I24" s="704"/>
      <c r="J24" s="710"/>
      <c r="K24" s="704"/>
      <c r="L24" s="2377"/>
      <c r="M24" s="704"/>
      <c r="N24" s="2377"/>
      <c r="O24" s="704"/>
      <c r="P24" s="2377"/>
      <c r="Q24" s="704"/>
      <c r="R24" s="2377"/>
      <c r="S24" s="704"/>
      <c r="T24" s="2377"/>
      <c r="U24" s="704"/>
      <c r="V24" s="2377"/>
      <c r="W24" s="704"/>
      <c r="X24" s="2377"/>
      <c r="Y24" s="704"/>
      <c r="Z24" s="2377"/>
      <c r="AA24" s="704"/>
      <c r="AB24" s="2377"/>
      <c r="AC24" s="704"/>
      <c r="AD24" s="2377"/>
      <c r="AE24" s="704"/>
      <c r="AF24" s="2377"/>
      <c r="AG24" s="704"/>
      <c r="AH24" s="2377"/>
      <c r="AI24" s="704"/>
      <c r="AJ24" s="2377"/>
      <c r="AK24" s="704"/>
      <c r="AL24" s="2377"/>
      <c r="AM24" s="972"/>
      <c r="AN24" s="744"/>
      <c r="AY24" s="699"/>
      <c r="AZ24" s="782">
        <v>0</v>
      </c>
    </row>
    <row s="1659" customFormat="1" customHeight="1" ht="22.5">
      <c r="A25" s="2416"/>
      <c r="C25" s="980"/>
      <c r="D25" s="977" t="s">
        <v>930</v>
      </c>
      <c r="E25" s="600" t="s">
        <v>931</v>
      </c>
      <c r="F25" s="974" t="s">
        <v>390</v>
      </c>
      <c r="G25" s="974" t="s">
        <v>390</v>
      </c>
      <c r="H25" s="973" t="s">
        <v>390</v>
      </c>
      <c r="I25" s="974" t="s">
        <v>390</v>
      </c>
      <c r="J25" s="973" t="s">
        <v>390</v>
      </c>
      <c r="K25" s="2336" t="s">
        <v>390</v>
      </c>
      <c r="L25" s="2284" t="s">
        <v>390</v>
      </c>
      <c r="M25" s="2336" t="s">
        <v>390</v>
      </c>
      <c r="N25" s="2284" t="s">
        <v>390</v>
      </c>
      <c r="O25" s="2336" t="s">
        <v>390</v>
      </c>
      <c r="P25" s="2284" t="s">
        <v>390</v>
      </c>
      <c r="Q25" s="2336" t="s">
        <v>390</v>
      </c>
      <c r="R25" s="2284" t="s">
        <v>390</v>
      </c>
      <c r="S25" s="2336" t="s">
        <v>390</v>
      </c>
      <c r="T25" s="2284" t="s">
        <v>390</v>
      </c>
      <c r="U25" s="2336" t="s">
        <v>390</v>
      </c>
      <c r="V25" s="2284" t="s">
        <v>390</v>
      </c>
      <c r="W25" s="2336" t="s">
        <v>390</v>
      </c>
      <c r="X25" s="2284" t="s">
        <v>390</v>
      </c>
      <c r="Y25" s="2336" t="s">
        <v>390</v>
      </c>
      <c r="Z25" s="2284" t="s">
        <v>390</v>
      </c>
      <c r="AA25" s="2336" t="s">
        <v>390</v>
      </c>
      <c r="AB25" s="2284" t="s">
        <v>390</v>
      </c>
      <c r="AC25" s="2336" t="s">
        <v>390</v>
      </c>
      <c r="AD25" s="2284" t="s">
        <v>390</v>
      </c>
      <c r="AE25" s="2336" t="s">
        <v>390</v>
      </c>
      <c r="AF25" s="2284" t="s">
        <v>390</v>
      </c>
      <c r="AG25" s="2336" t="s">
        <v>390</v>
      </c>
      <c r="AH25" s="2284" t="s">
        <v>390</v>
      </c>
      <c r="AI25" s="2336" t="s">
        <v>390</v>
      </c>
      <c r="AJ25" s="2284" t="s">
        <v>390</v>
      </c>
      <c r="AK25" s="2336" t="s">
        <v>390</v>
      </c>
      <c r="AL25" s="2284" t="s">
        <v>390</v>
      </c>
      <c r="AM25" s="972"/>
      <c r="AN25" s="744"/>
      <c r="AY25" s="699"/>
      <c r="AZ25" s="782">
        <v>0</v>
      </c>
    </row>
    <row s="1659" customFormat="1" customHeight="1" ht="18.75">
      <c r="A26" s="2416"/>
      <c r="C26" s="980"/>
      <c r="D26" s="977" t="s">
        <v>932</v>
      </c>
      <c r="E26" s="577" t="s">
        <v>933</v>
      </c>
      <c r="F26" s="974" t="s">
        <v>934</v>
      </c>
      <c r="G26" s="704"/>
      <c r="H26" s="710"/>
      <c r="I26" s="704"/>
      <c r="J26" s="710"/>
      <c r="K26" s="704"/>
      <c r="L26" s="2377"/>
      <c r="M26" s="704"/>
      <c r="N26" s="2377"/>
      <c r="O26" s="704"/>
      <c r="P26" s="2377"/>
      <c r="Q26" s="704"/>
      <c r="R26" s="2377"/>
      <c r="S26" s="704"/>
      <c r="T26" s="2377"/>
      <c r="U26" s="704"/>
      <c r="V26" s="2377"/>
      <c r="W26" s="704"/>
      <c r="X26" s="2377"/>
      <c r="Y26" s="704"/>
      <c r="Z26" s="2377"/>
      <c r="AA26" s="704"/>
      <c r="AB26" s="2377"/>
      <c r="AC26" s="704"/>
      <c r="AD26" s="2377"/>
      <c r="AE26" s="704"/>
      <c r="AF26" s="2377"/>
      <c r="AG26" s="704"/>
      <c r="AH26" s="2377"/>
      <c r="AI26" s="704"/>
      <c r="AJ26" s="2377"/>
      <c r="AK26" s="704"/>
      <c r="AL26" s="2377"/>
      <c r="AM26" s="972"/>
      <c r="AN26" s="744"/>
      <c r="AY26" s="699"/>
      <c r="AZ26" s="782">
        <v>0</v>
      </c>
    </row>
    <row s="1659" customFormat="1" customHeight="1" ht="18.75">
      <c r="A27" s="2416"/>
      <c r="C27" s="980"/>
      <c r="D27" s="977" t="s">
        <v>935</v>
      </c>
      <c r="E27" s="577" t="s">
        <v>936</v>
      </c>
      <c r="F27" s="974" t="s">
        <v>937</v>
      </c>
      <c r="G27" s="704"/>
      <c r="H27" s="710"/>
      <c r="I27" s="704"/>
      <c r="J27" s="710"/>
      <c r="K27" s="704"/>
      <c r="L27" s="2377"/>
      <c r="M27" s="704"/>
      <c r="N27" s="2377"/>
      <c r="O27" s="704"/>
      <c r="P27" s="2377"/>
      <c r="Q27" s="704"/>
      <c r="R27" s="2377"/>
      <c r="S27" s="704"/>
      <c r="T27" s="2377"/>
      <c r="U27" s="704"/>
      <c r="V27" s="2377"/>
      <c r="W27" s="704"/>
      <c r="X27" s="2377"/>
      <c r="Y27" s="704"/>
      <c r="Z27" s="2377"/>
      <c r="AA27" s="704"/>
      <c r="AB27" s="2377"/>
      <c r="AC27" s="704"/>
      <c r="AD27" s="2377"/>
      <c r="AE27" s="704"/>
      <c r="AF27" s="2377"/>
      <c r="AG27" s="704"/>
      <c r="AH27" s="2377"/>
      <c r="AI27" s="704"/>
      <c r="AJ27" s="2377"/>
      <c r="AK27" s="704"/>
      <c r="AL27" s="2377"/>
      <c r="AM27" s="972"/>
      <c r="AN27" s="744"/>
      <c r="AY27" s="699"/>
      <c r="AZ27" s="782">
        <v>0</v>
      </c>
    </row>
    <row s="1659" customFormat="1" customHeight="1" ht="18.75">
      <c r="A28" s="2416"/>
      <c r="C28" s="980"/>
      <c r="D28" s="977" t="s">
        <v>938</v>
      </c>
      <c r="E28" s="600" t="s">
        <v>939</v>
      </c>
      <c r="F28" s="974" t="s">
        <v>390</v>
      </c>
      <c r="G28" s="974" t="s">
        <v>390</v>
      </c>
      <c r="H28" s="973" t="s">
        <v>390</v>
      </c>
      <c r="I28" s="974" t="s">
        <v>390</v>
      </c>
      <c r="J28" s="973" t="s">
        <v>390</v>
      </c>
      <c r="K28" s="2336" t="s">
        <v>390</v>
      </c>
      <c r="L28" s="2284" t="s">
        <v>390</v>
      </c>
      <c r="M28" s="2336" t="s">
        <v>390</v>
      </c>
      <c r="N28" s="2284" t="s">
        <v>390</v>
      </c>
      <c r="O28" s="2336" t="s">
        <v>390</v>
      </c>
      <c r="P28" s="2284" t="s">
        <v>390</v>
      </c>
      <c r="Q28" s="2336" t="s">
        <v>390</v>
      </c>
      <c r="R28" s="2284" t="s">
        <v>390</v>
      </c>
      <c r="S28" s="2336" t="s">
        <v>390</v>
      </c>
      <c r="T28" s="2284" t="s">
        <v>390</v>
      </c>
      <c r="U28" s="2336" t="s">
        <v>390</v>
      </c>
      <c r="V28" s="2284" t="s">
        <v>390</v>
      </c>
      <c r="W28" s="2336" t="s">
        <v>390</v>
      </c>
      <c r="X28" s="2284" t="s">
        <v>390</v>
      </c>
      <c r="Y28" s="2336" t="s">
        <v>390</v>
      </c>
      <c r="Z28" s="2284" t="s">
        <v>390</v>
      </c>
      <c r="AA28" s="2336" t="s">
        <v>390</v>
      </c>
      <c r="AB28" s="2284" t="s">
        <v>390</v>
      </c>
      <c r="AC28" s="2336" t="s">
        <v>390</v>
      </c>
      <c r="AD28" s="2284" t="s">
        <v>390</v>
      </c>
      <c r="AE28" s="2336" t="s">
        <v>390</v>
      </c>
      <c r="AF28" s="2284" t="s">
        <v>390</v>
      </c>
      <c r="AG28" s="2336" t="s">
        <v>390</v>
      </c>
      <c r="AH28" s="2284" t="s">
        <v>390</v>
      </c>
      <c r="AI28" s="2336" t="s">
        <v>390</v>
      </c>
      <c r="AJ28" s="2284" t="s">
        <v>390</v>
      </c>
      <c r="AK28" s="2336" t="s">
        <v>390</v>
      </c>
      <c r="AL28" s="2284" t="s">
        <v>390</v>
      </c>
      <c r="AM28" s="972"/>
      <c r="AN28" s="744"/>
      <c r="AY28" s="699"/>
      <c r="AZ28" s="782">
        <v>0</v>
      </c>
    </row>
    <row s="1659" customFormat="1" customHeight="1" ht="18.75">
      <c r="A29" s="2416"/>
      <c r="C29" s="980"/>
      <c r="D29" s="977" t="s">
        <v>940</v>
      </c>
      <c r="E29" s="577" t="s">
        <v>933</v>
      </c>
      <c r="F29" s="974" t="s">
        <v>941</v>
      </c>
      <c r="G29" s="704"/>
      <c r="H29" s="710"/>
      <c r="I29" s="704"/>
      <c r="J29" s="710"/>
      <c r="K29" s="704"/>
      <c r="L29" s="2377"/>
      <c r="M29" s="704"/>
      <c r="N29" s="2377"/>
      <c r="O29" s="704"/>
      <c r="P29" s="2377"/>
      <c r="Q29" s="704"/>
      <c r="R29" s="2377"/>
      <c r="S29" s="704"/>
      <c r="T29" s="2377"/>
      <c r="U29" s="704"/>
      <c r="V29" s="2377"/>
      <c r="W29" s="704"/>
      <c r="X29" s="2377"/>
      <c r="Y29" s="704"/>
      <c r="Z29" s="2377"/>
      <c r="AA29" s="704"/>
      <c r="AB29" s="2377"/>
      <c r="AC29" s="704"/>
      <c r="AD29" s="2377"/>
      <c r="AE29" s="704"/>
      <c r="AF29" s="2377"/>
      <c r="AG29" s="704"/>
      <c r="AH29" s="2377"/>
      <c r="AI29" s="704"/>
      <c r="AJ29" s="2377"/>
      <c r="AK29" s="704"/>
      <c r="AL29" s="2377"/>
      <c r="AM29" s="972"/>
      <c r="AN29" s="744"/>
      <c r="AY29" s="699"/>
      <c r="AZ29" s="782">
        <v>0</v>
      </c>
    </row>
    <row s="1659" customFormat="1" customHeight="1" ht="18.75">
      <c r="A30" s="2416"/>
      <c r="C30" s="980"/>
      <c r="D30" s="977" t="s">
        <v>942</v>
      </c>
      <c r="E30" s="577" t="s">
        <v>943</v>
      </c>
      <c r="F30" s="974" t="s">
        <v>944</v>
      </c>
      <c r="G30" s="704"/>
      <c r="H30" s="710"/>
      <c r="I30" s="704"/>
      <c r="J30" s="710"/>
      <c r="K30" s="704"/>
      <c r="L30" s="2377"/>
      <c r="M30" s="704"/>
      <c r="N30" s="2377"/>
      <c r="O30" s="704"/>
      <c r="P30" s="2377"/>
      <c r="Q30" s="704"/>
      <c r="R30" s="2377"/>
      <c r="S30" s="704"/>
      <c r="T30" s="2377"/>
      <c r="U30" s="704"/>
      <c r="V30" s="2377"/>
      <c r="W30" s="704"/>
      <c r="X30" s="2377"/>
      <c r="Y30" s="704"/>
      <c r="Z30" s="2377"/>
      <c r="AA30" s="704"/>
      <c r="AB30" s="2377"/>
      <c r="AC30" s="704"/>
      <c r="AD30" s="2377"/>
      <c r="AE30" s="704"/>
      <c r="AF30" s="2377"/>
      <c r="AG30" s="704"/>
      <c r="AH30" s="2377"/>
      <c r="AI30" s="704"/>
      <c r="AJ30" s="2377"/>
      <c r="AK30" s="704"/>
      <c r="AL30" s="2377"/>
      <c r="AM30" s="972"/>
      <c r="AN30" s="744"/>
      <c r="AY30" s="699"/>
      <c r="AZ30" s="782">
        <v>0</v>
      </c>
    </row>
    <row customHeight="1" ht="126.75">
      <c r="A31" s="2416"/>
      <c r="D31" s="977" t="s">
        <v>119</v>
      </c>
      <c r="E31" s="303" t="s">
        <v>945</v>
      </c>
      <c r="F31" s="684" t="s">
        <v>642</v>
      </c>
      <c r="G31" s="581"/>
      <c r="H31" s="686"/>
      <c r="I31" s="581"/>
      <c r="J31" s="686"/>
      <c r="K31" s="581"/>
      <c r="L31" s="686"/>
      <c r="M31" s="581"/>
      <c r="N31" s="686"/>
      <c r="O31" s="581"/>
      <c r="P31" s="686"/>
      <c r="Q31" s="581"/>
      <c r="R31" s="686"/>
      <c r="S31" s="581"/>
      <c r="T31" s="686"/>
      <c r="U31" s="581"/>
      <c r="V31" s="686"/>
      <c r="W31" s="581"/>
      <c r="X31" s="686"/>
      <c r="Y31" s="581"/>
      <c r="Z31" s="686"/>
      <c r="AA31" s="581"/>
      <c r="AB31" s="686"/>
      <c r="AC31" s="581"/>
      <c r="AD31" s="686"/>
      <c r="AE31" s="581"/>
      <c r="AF31" s="686"/>
      <c r="AG31" s="581"/>
      <c r="AH31" s="686"/>
      <c r="AI31" s="581"/>
      <c r="AJ31" s="686"/>
      <c r="AK31" s="581"/>
      <c r="AL31" s="686"/>
      <c r="AM31" s="313" t="s">
        <v>946</v>
      </c>
      <c r="AN31" s="744"/>
      <c r="AZ31" s="529">
        <v>0</v>
      </c>
    </row>
    <row customHeight="1" ht="56.25">
      <c r="A32" s="2416"/>
      <c r="D32" s="977" t="s">
        <v>92</v>
      </c>
      <c r="E32" s="303" t="s">
        <v>947</v>
      </c>
      <c r="F32" s="563" t="s">
        <v>917</v>
      </c>
      <c r="G32" s="581"/>
      <c r="H32" s="686"/>
      <c r="I32" s="581"/>
      <c r="J32" s="686"/>
      <c r="K32" s="581"/>
      <c r="L32" s="686"/>
      <c r="M32" s="581"/>
      <c r="N32" s="686"/>
      <c r="O32" s="581"/>
      <c r="P32" s="686"/>
      <c r="Q32" s="581"/>
      <c r="R32" s="686"/>
      <c r="S32" s="581"/>
      <c r="T32" s="686"/>
      <c r="U32" s="581"/>
      <c r="V32" s="686"/>
      <c r="W32" s="581"/>
      <c r="X32" s="686"/>
      <c r="Y32" s="581"/>
      <c r="Z32" s="686"/>
      <c r="AA32" s="581"/>
      <c r="AB32" s="686"/>
      <c r="AC32" s="581"/>
      <c r="AD32" s="686"/>
      <c r="AE32" s="581"/>
      <c r="AF32" s="686"/>
      <c r="AG32" s="581"/>
      <c r="AH32" s="686"/>
      <c r="AI32" s="581"/>
      <c r="AJ32" s="686"/>
      <c r="AK32" s="581"/>
      <c r="AL32" s="686"/>
      <c r="AM32" s="313" t="s">
        <v>948</v>
      </c>
      <c r="AN32" s="744"/>
      <c r="AZ32" s="529">
        <v>0</v>
      </c>
    </row>
    <row customHeight="1" ht="11.25">
      <c r="A33" s="2416"/>
      <c r="E33" s="688"/>
      <c r="F33" s="205"/>
      <c r="G33" s="205"/>
      <c r="H33" s="205"/>
      <c r="I33" s="205"/>
      <c r="J33" s="205"/>
      <c r="K33" s="1088"/>
      <c r="L33" s="1088"/>
      <c r="M33" s="1088"/>
      <c r="N33" s="1088"/>
      <c r="O33" s="1088"/>
      <c r="P33" s="1088"/>
      <c r="Q33" s="1088"/>
      <c r="R33" s="1088"/>
      <c r="S33" s="1088"/>
      <c r="T33" s="1088"/>
      <c r="U33" s="1088"/>
      <c r="V33" s="1088"/>
      <c r="W33" s="1088"/>
      <c r="X33" s="1088"/>
      <c r="Y33" s="1088"/>
      <c r="Z33" s="1088"/>
      <c r="AA33" s="1088"/>
      <c r="AB33" s="1088"/>
      <c r="AC33" s="1088"/>
      <c r="AD33" s="1088"/>
      <c r="AE33" s="1088"/>
      <c r="AF33" s="1088"/>
      <c r="AG33" s="1088"/>
      <c r="AH33" s="1088"/>
      <c r="AI33" s="1088"/>
      <c r="AJ33" s="1088"/>
      <c r="AK33" s="1088"/>
      <c r="AL33" s="1088"/>
      <c r="AM33" s="205"/>
      <c r="AZ33" s="529">
        <v>0</v>
      </c>
    </row>
    <row customHeight="1" ht="12.75">
      <c r="A34" s="2416"/>
      <c r="D34" s="89">
        <v>1</v>
      </c>
      <c r="E34" s="359" t="s">
        <v>949</v>
      </c>
      <c r="K34" s="1659"/>
      <c r="L34" s="1659"/>
      <c r="M34" s="1659"/>
      <c r="N34" s="1659"/>
      <c r="O34" s="1659"/>
      <c r="P34" s="1659"/>
      <c r="Q34" s="1659"/>
      <c r="R34" s="1659"/>
      <c r="S34" s="1659"/>
      <c r="T34" s="1659"/>
      <c r="U34" s="1659"/>
      <c r="V34" s="1659"/>
      <c r="W34" s="1659"/>
      <c r="X34" s="1659"/>
      <c r="Y34" s="1659"/>
      <c r="Z34" s="1659"/>
      <c r="AA34" s="1659"/>
      <c r="AB34" s="1659"/>
      <c r="AC34" s="1659"/>
      <c r="AD34" s="1659"/>
      <c r="AE34" s="1659"/>
      <c r="AF34" s="1659"/>
      <c r="AG34" s="1659"/>
      <c r="AH34" s="1659"/>
      <c r="AI34" s="1659"/>
      <c r="AJ34" s="1659"/>
      <c r="AK34" s="1659"/>
      <c r="AL34" s="1659"/>
      <c r="AZ34" s="529">
        <v>0</v>
      </c>
    </row>
    <row customHeight="1" ht="11.25">
      <c r="A35" s="2416"/>
      <c r="D35" s="393"/>
      <c r="E35" s="359" t="s">
        <v>950</v>
      </c>
      <c r="K35" s="1659"/>
      <c r="L35" s="1659"/>
      <c r="M35" s="1659"/>
      <c r="N35" s="1659"/>
      <c r="O35" s="1659"/>
      <c r="P35" s="1659"/>
      <c r="Q35" s="1659"/>
      <c r="R35" s="1659"/>
      <c r="S35" s="1659"/>
      <c r="T35" s="1659"/>
      <c r="U35" s="1659"/>
      <c r="V35" s="1659"/>
      <c r="W35" s="1659"/>
      <c r="X35" s="1659"/>
      <c r="Y35" s="1659"/>
      <c r="Z35" s="1659"/>
      <c r="AA35" s="1659"/>
      <c r="AB35" s="1659"/>
      <c r="AC35" s="1659"/>
      <c r="AD35" s="1659"/>
      <c r="AE35" s="1659"/>
      <c r="AF35" s="1659"/>
      <c r="AG35" s="1659"/>
      <c r="AH35" s="1659"/>
      <c r="AI35" s="1659"/>
      <c r="AJ35" s="1659"/>
      <c r="AK35" s="1659"/>
      <c r="AL35" s="1659"/>
      <c r="AZ35" s="529">
        <v>0</v>
      </c>
    </row>
    <row s="1659" customFormat="1" customHeight="1" ht="11.549999999999999">
      <c r="A36" s="1057"/>
      <c r="B36" s="542"/>
      <c r="D36" s="1058"/>
      <c r="E36" s="1059"/>
      <c r="K36" s="1659"/>
      <c r="L36" s="1659"/>
      <c r="M36" s="1659"/>
      <c r="N36" s="1659"/>
      <c r="O36" s="1659"/>
      <c r="P36" s="1659"/>
      <c r="Q36" s="1659"/>
      <c r="R36" s="1659"/>
      <c r="S36" s="1659"/>
      <c r="T36" s="1659"/>
      <c r="U36" s="1659"/>
      <c r="V36" s="1659"/>
      <c r="W36" s="1659"/>
      <c r="X36" s="1659"/>
      <c r="Y36" s="1659"/>
      <c r="Z36" s="1659"/>
      <c r="AA36" s="1659"/>
      <c r="AB36" s="1659"/>
      <c r="AC36" s="1659"/>
      <c r="AD36" s="1659"/>
      <c r="AE36" s="1659"/>
      <c r="AF36" s="1659"/>
      <c r="AG36" s="1659"/>
      <c r="AH36" s="1659"/>
      <c r="AI36" s="1659"/>
      <c r="AJ36" s="1659"/>
      <c r="AK36" s="1659"/>
      <c r="AL36" s="1659"/>
      <c r="AZ36" s="533">
        <v>11</v>
      </c>
    </row>
    <row s="1659" customFormat="1" customHeight="1" ht="22.5" hidden="1">
      <c r="A37" s="2416" t="s">
        <v>951</v>
      </c>
      <c r="B37" s="535"/>
      <c r="D37" s="977">
        <v>1</v>
      </c>
      <c r="E37" s="731" t="s">
        <v>952</v>
      </c>
      <c r="F37" s="684" t="s">
        <v>907</v>
      </c>
      <c r="G37" s="581"/>
      <c r="H37" s="543"/>
      <c r="I37" s="581"/>
      <c r="J37" s="543"/>
      <c r="K37" s="581"/>
      <c r="L37" s="543"/>
      <c r="M37" s="581"/>
      <c r="N37" s="543"/>
      <c r="O37" s="581"/>
      <c r="P37" s="543"/>
      <c r="Q37" s="581"/>
      <c r="R37" s="543"/>
      <c r="S37" s="581"/>
      <c r="T37" s="543"/>
      <c r="U37" s="581"/>
      <c r="V37" s="543"/>
      <c r="W37" s="581"/>
      <c r="X37" s="543"/>
      <c r="Y37" s="581"/>
      <c r="Z37" s="543"/>
      <c r="AA37" s="581"/>
      <c r="AB37" s="543"/>
      <c r="AC37" s="581"/>
      <c r="AD37" s="543"/>
      <c r="AE37" s="581"/>
      <c r="AF37" s="543"/>
      <c r="AG37" s="581"/>
      <c r="AH37" s="543"/>
      <c r="AI37" s="581"/>
      <c r="AJ37" s="543"/>
      <c r="AK37" s="581"/>
      <c r="AL37" s="543"/>
      <c r="AM37" s="313" t="s">
        <v>953</v>
      </c>
      <c r="AZ37" s="782">
        <v>0</v>
      </c>
    </row>
    <row s="1659" customFormat="1" customHeight="1" ht="22.5" hidden="1">
      <c r="A38" s="2416"/>
      <c r="B38" s="535"/>
      <c r="D38" s="693" t="s">
        <v>103</v>
      </c>
      <c r="E38" s="1056" t="s">
        <v>954</v>
      </c>
      <c r="F38" s="1060" t="s">
        <v>630</v>
      </c>
      <c r="G38" s="1060" t="s">
        <v>630</v>
      </c>
      <c r="H38" s="1054"/>
      <c r="I38" s="1060" t="s">
        <v>630</v>
      </c>
      <c r="J38" s="1054"/>
      <c r="K38" s="1060" t="s">
        <v>630</v>
      </c>
      <c r="L38" s="1054"/>
      <c r="M38" s="1060" t="s">
        <v>630</v>
      </c>
      <c r="N38" s="1054"/>
      <c r="O38" s="1060" t="s">
        <v>630</v>
      </c>
      <c r="P38" s="1054"/>
      <c r="Q38" s="1060" t="s">
        <v>630</v>
      </c>
      <c r="R38" s="1054"/>
      <c r="S38" s="1060" t="s">
        <v>630</v>
      </c>
      <c r="T38" s="1054"/>
      <c r="U38" s="1060" t="s">
        <v>630</v>
      </c>
      <c r="V38" s="1054"/>
      <c r="W38" s="1060" t="s">
        <v>630</v>
      </c>
      <c r="X38" s="1054"/>
      <c r="Y38" s="1060" t="s">
        <v>630</v>
      </c>
      <c r="Z38" s="1054"/>
      <c r="AA38" s="1060" t="s">
        <v>630</v>
      </c>
      <c r="AB38" s="1054"/>
      <c r="AC38" s="1060" t="s">
        <v>630</v>
      </c>
      <c r="AD38" s="1054"/>
      <c r="AE38" s="1060" t="s">
        <v>630</v>
      </c>
      <c r="AF38" s="1054"/>
      <c r="AG38" s="1060" t="s">
        <v>630</v>
      </c>
      <c r="AH38" s="1054"/>
      <c r="AI38" s="1060" t="s">
        <v>630</v>
      </c>
      <c r="AJ38" s="1054"/>
      <c r="AK38" s="1060" t="s">
        <v>630</v>
      </c>
      <c r="AL38" s="1054"/>
      <c r="AM38" s="1055"/>
      <c r="AZ38" s="782">
        <v>0</v>
      </c>
    </row>
    <row s="1659" customFormat="1" customHeight="1" ht="33.75" hidden="1">
      <c r="A39" s="2416"/>
      <c r="B39" s="535"/>
      <c r="D39" s="689" t="s">
        <v>809</v>
      </c>
      <c r="E39" s="747" t="s">
        <v>955</v>
      </c>
      <c r="F39" s="684" t="s">
        <v>956</v>
      </c>
      <c r="G39" s="692"/>
      <c r="H39" s="1047"/>
      <c r="I39" s="692"/>
      <c r="J39" s="1047"/>
      <c r="K39" s="1193"/>
      <c r="L39" s="1047"/>
      <c r="M39" s="1193"/>
      <c r="N39" s="1047"/>
      <c r="O39" s="1193"/>
      <c r="P39" s="1047"/>
      <c r="Q39" s="1193"/>
      <c r="R39" s="1047"/>
      <c r="S39" s="1193"/>
      <c r="T39" s="1047"/>
      <c r="U39" s="1193"/>
      <c r="V39" s="1047"/>
      <c r="W39" s="1193"/>
      <c r="X39" s="1047"/>
      <c r="Y39" s="1193"/>
      <c r="Z39" s="1047"/>
      <c r="AA39" s="1193"/>
      <c r="AB39" s="1047"/>
      <c r="AC39" s="1193"/>
      <c r="AD39" s="1047"/>
      <c r="AE39" s="1193"/>
      <c r="AF39" s="1047"/>
      <c r="AG39" s="1193"/>
      <c r="AH39" s="1047"/>
      <c r="AI39" s="1193"/>
      <c r="AJ39" s="1047"/>
      <c r="AK39" s="1193"/>
      <c r="AL39" s="1047"/>
      <c r="AM39" s="313" t="s">
        <v>957</v>
      </c>
      <c r="AZ39" s="782">
        <v>0</v>
      </c>
    </row>
    <row s="1659" customFormat="1" customHeight="1" ht="33.75" hidden="1">
      <c r="A40" s="2416"/>
      <c r="B40" s="535"/>
      <c r="D40" s="689" t="s">
        <v>812</v>
      </c>
      <c r="E40" s="747" t="s">
        <v>958</v>
      </c>
      <c r="F40" s="1051" t="s">
        <v>959</v>
      </c>
      <c r="G40" s="765"/>
      <c r="H40" s="1047"/>
      <c r="I40" s="765"/>
      <c r="J40" s="1047"/>
      <c r="K40" s="765"/>
      <c r="L40" s="1047"/>
      <c r="M40" s="765"/>
      <c r="N40" s="1047"/>
      <c r="O40" s="765"/>
      <c r="P40" s="1047"/>
      <c r="Q40" s="765"/>
      <c r="R40" s="1047"/>
      <c r="S40" s="765"/>
      <c r="T40" s="1047"/>
      <c r="U40" s="765"/>
      <c r="V40" s="1047"/>
      <c r="W40" s="765"/>
      <c r="X40" s="1047"/>
      <c r="Y40" s="765"/>
      <c r="Z40" s="1047"/>
      <c r="AA40" s="765"/>
      <c r="AB40" s="1047"/>
      <c r="AC40" s="765"/>
      <c r="AD40" s="1047"/>
      <c r="AE40" s="765"/>
      <c r="AF40" s="1047"/>
      <c r="AG40" s="765"/>
      <c r="AH40" s="1047"/>
      <c r="AI40" s="765"/>
      <c r="AJ40" s="1047"/>
      <c r="AK40" s="765"/>
      <c r="AL40" s="1047"/>
      <c r="AM40" s="313" t="s">
        <v>960</v>
      </c>
      <c r="AZ40" s="782">
        <v>0</v>
      </c>
    </row>
    <row s="1659" customFormat="1" customHeight="1" ht="22.5" hidden="1">
      <c r="A41" s="2416"/>
      <c r="B41" s="535"/>
      <c r="D41" s="689" t="s">
        <v>90</v>
      </c>
      <c r="E41" s="746" t="s">
        <v>961</v>
      </c>
      <c r="F41" s="684" t="s">
        <v>630</v>
      </c>
      <c r="G41" s="684" t="s">
        <v>630</v>
      </c>
      <c r="H41" s="1048"/>
      <c r="I41" s="684" t="s">
        <v>630</v>
      </c>
      <c r="J41" s="1048"/>
      <c r="K41" s="2128" t="s">
        <v>630</v>
      </c>
      <c r="L41" s="1048"/>
      <c r="M41" s="2128" t="s">
        <v>630</v>
      </c>
      <c r="N41" s="1048"/>
      <c r="O41" s="2128" t="s">
        <v>630</v>
      </c>
      <c r="P41" s="1048"/>
      <c r="Q41" s="2128" t="s">
        <v>630</v>
      </c>
      <c r="R41" s="1048"/>
      <c r="S41" s="2128" t="s">
        <v>630</v>
      </c>
      <c r="T41" s="1048"/>
      <c r="U41" s="2128" t="s">
        <v>630</v>
      </c>
      <c r="V41" s="1048"/>
      <c r="W41" s="2128" t="s">
        <v>630</v>
      </c>
      <c r="X41" s="1048"/>
      <c r="Y41" s="2128" t="s">
        <v>630</v>
      </c>
      <c r="Z41" s="1048"/>
      <c r="AA41" s="2128" t="s">
        <v>630</v>
      </c>
      <c r="AB41" s="1048"/>
      <c r="AC41" s="2128" t="s">
        <v>630</v>
      </c>
      <c r="AD41" s="1048"/>
      <c r="AE41" s="2128" t="s">
        <v>630</v>
      </c>
      <c r="AF41" s="1048"/>
      <c r="AG41" s="2128" t="s">
        <v>630</v>
      </c>
      <c r="AH41" s="1048"/>
      <c r="AI41" s="2128" t="s">
        <v>630</v>
      </c>
      <c r="AJ41" s="1048"/>
      <c r="AK41" s="2128" t="s">
        <v>630</v>
      </c>
      <c r="AL41" s="1048"/>
      <c r="AM41" s="326"/>
      <c r="AZ41" s="782">
        <v>0</v>
      </c>
    </row>
    <row s="1659" customFormat="1" customHeight="1" ht="45" hidden="1">
      <c r="A42" s="2416"/>
      <c r="B42" s="535"/>
      <c r="D42" s="689" t="s">
        <v>408</v>
      </c>
      <c r="E42" s="747" t="s">
        <v>962</v>
      </c>
      <c r="F42" s="684" t="s">
        <v>642</v>
      </c>
      <c r="G42" s="581"/>
      <c r="H42" s="1048"/>
      <c r="I42" s="581"/>
      <c r="J42" s="1048"/>
      <c r="K42" s="581"/>
      <c r="L42" s="1048"/>
      <c r="M42" s="581"/>
      <c r="N42" s="1048"/>
      <c r="O42" s="581"/>
      <c r="P42" s="1048"/>
      <c r="Q42" s="581"/>
      <c r="R42" s="1048"/>
      <c r="S42" s="581"/>
      <c r="T42" s="1048"/>
      <c r="U42" s="581"/>
      <c r="V42" s="1048"/>
      <c r="W42" s="581"/>
      <c r="X42" s="1048"/>
      <c r="Y42" s="581"/>
      <c r="Z42" s="1048"/>
      <c r="AA42" s="581"/>
      <c r="AB42" s="1048"/>
      <c r="AC42" s="581"/>
      <c r="AD42" s="1048"/>
      <c r="AE42" s="581"/>
      <c r="AF42" s="1048"/>
      <c r="AG42" s="581"/>
      <c r="AH42" s="1048"/>
      <c r="AI42" s="581"/>
      <c r="AJ42" s="1048"/>
      <c r="AK42" s="581"/>
      <c r="AL42" s="1048"/>
      <c r="AM42" s="326" t="s">
        <v>963</v>
      </c>
      <c r="AZ42" s="782">
        <v>0</v>
      </c>
    </row>
    <row s="1659" customFormat="1" customHeight="1" ht="45" hidden="1">
      <c r="A43" s="2416"/>
      <c r="B43" s="535"/>
      <c r="D43" s="689" t="s">
        <v>416</v>
      </c>
      <c r="E43" s="691" t="s">
        <v>964</v>
      </c>
      <c r="F43" s="1052" t="s">
        <v>642</v>
      </c>
      <c r="G43" s="766"/>
      <c r="H43" s="1047"/>
      <c r="I43" s="766"/>
      <c r="J43" s="1047"/>
      <c r="K43" s="766"/>
      <c r="L43" s="1047"/>
      <c r="M43" s="766"/>
      <c r="N43" s="1047"/>
      <c r="O43" s="766"/>
      <c r="P43" s="1047"/>
      <c r="Q43" s="766"/>
      <c r="R43" s="1047"/>
      <c r="S43" s="766"/>
      <c r="T43" s="1047"/>
      <c r="U43" s="766"/>
      <c r="V43" s="1047"/>
      <c r="W43" s="766"/>
      <c r="X43" s="1047"/>
      <c r="Y43" s="766"/>
      <c r="Z43" s="1047"/>
      <c r="AA43" s="766"/>
      <c r="AB43" s="1047"/>
      <c r="AC43" s="766"/>
      <c r="AD43" s="1047"/>
      <c r="AE43" s="766"/>
      <c r="AF43" s="1047"/>
      <c r="AG43" s="766"/>
      <c r="AH43" s="1047"/>
      <c r="AI43" s="766"/>
      <c r="AJ43" s="1047"/>
      <c r="AK43" s="766"/>
      <c r="AL43" s="1047"/>
      <c r="AM43" s="326" t="s">
        <v>965</v>
      </c>
      <c r="AZ43" s="782">
        <v>0</v>
      </c>
    </row>
    <row s="1659" customFormat="1" customHeight="1" ht="11.25" hidden="1">
      <c r="A44" s="2416"/>
      <c r="B44" s="535"/>
      <c r="D44" s="689" t="s">
        <v>91</v>
      </c>
      <c r="E44" s="690" t="s">
        <v>966</v>
      </c>
      <c r="F44" s="684" t="s">
        <v>956</v>
      </c>
      <c r="G44" s="692"/>
      <c r="H44" s="1047"/>
      <c r="I44" s="692"/>
      <c r="J44" s="1047"/>
      <c r="K44" s="1193"/>
      <c r="L44" s="1047"/>
      <c r="M44" s="1193"/>
      <c r="N44" s="1047"/>
      <c r="O44" s="1193"/>
      <c r="P44" s="1047"/>
      <c r="Q44" s="1193"/>
      <c r="R44" s="1047"/>
      <c r="S44" s="1193"/>
      <c r="T44" s="1047"/>
      <c r="U44" s="1193"/>
      <c r="V44" s="1047"/>
      <c r="W44" s="1193"/>
      <c r="X44" s="1047"/>
      <c r="Y44" s="1193"/>
      <c r="Z44" s="1047"/>
      <c r="AA44" s="1193"/>
      <c r="AB44" s="1047"/>
      <c r="AC44" s="1193"/>
      <c r="AD44" s="1047"/>
      <c r="AE44" s="1193"/>
      <c r="AF44" s="1047"/>
      <c r="AG44" s="1193"/>
      <c r="AH44" s="1047"/>
      <c r="AI44" s="1193"/>
      <c r="AJ44" s="1047"/>
      <c r="AK44" s="1193"/>
      <c r="AL44" s="1047"/>
      <c r="AM44" s="313"/>
      <c r="AZ44" s="782">
        <v>0</v>
      </c>
    </row>
    <row s="1659" customFormat="1" customHeight="1" ht="11.25" hidden="1">
      <c r="A45" s="2416"/>
      <c r="B45" s="535"/>
      <c r="D45" s="689" t="s">
        <v>851</v>
      </c>
      <c r="E45" s="691" t="s">
        <v>967</v>
      </c>
      <c r="F45" s="684" t="s">
        <v>956</v>
      </c>
      <c r="G45" s="692"/>
      <c r="H45" s="1047"/>
      <c r="I45" s="692"/>
      <c r="J45" s="1047"/>
      <c r="K45" s="1193"/>
      <c r="L45" s="1047"/>
      <c r="M45" s="1193"/>
      <c r="N45" s="1047"/>
      <c r="O45" s="1193"/>
      <c r="P45" s="1047"/>
      <c r="Q45" s="1193"/>
      <c r="R45" s="1047"/>
      <c r="S45" s="1193"/>
      <c r="T45" s="1047"/>
      <c r="U45" s="1193"/>
      <c r="V45" s="1047"/>
      <c r="W45" s="1193"/>
      <c r="X45" s="1047"/>
      <c r="Y45" s="1193"/>
      <c r="Z45" s="1047"/>
      <c r="AA45" s="1193"/>
      <c r="AB45" s="1047"/>
      <c r="AC45" s="1193"/>
      <c r="AD45" s="1047"/>
      <c r="AE45" s="1193"/>
      <c r="AF45" s="1047"/>
      <c r="AG45" s="1193"/>
      <c r="AH45" s="1047"/>
      <c r="AI45" s="1193"/>
      <c r="AJ45" s="1047"/>
      <c r="AK45" s="1193"/>
      <c r="AL45" s="1047"/>
      <c r="AM45" s="313"/>
      <c r="AZ45" s="782">
        <v>0</v>
      </c>
    </row>
    <row s="1659" customFormat="1" customHeight="1" ht="11.25" hidden="1">
      <c r="A46" s="2416"/>
      <c r="B46" s="535"/>
      <c r="D46" s="689" t="s">
        <v>893</v>
      </c>
      <c r="E46" s="691" t="s">
        <v>968</v>
      </c>
      <c r="F46" s="684" t="s">
        <v>956</v>
      </c>
      <c r="G46" s="692"/>
      <c r="H46" s="1047"/>
      <c r="I46" s="692"/>
      <c r="J46" s="1047"/>
      <c r="K46" s="1193"/>
      <c r="L46" s="1047"/>
      <c r="M46" s="1193"/>
      <c r="N46" s="1047"/>
      <c r="O46" s="1193"/>
      <c r="P46" s="1047"/>
      <c r="Q46" s="1193"/>
      <c r="R46" s="1047"/>
      <c r="S46" s="1193"/>
      <c r="T46" s="1047"/>
      <c r="U46" s="1193"/>
      <c r="V46" s="1047"/>
      <c r="W46" s="1193"/>
      <c r="X46" s="1047"/>
      <c r="Y46" s="1193"/>
      <c r="Z46" s="1047"/>
      <c r="AA46" s="1193"/>
      <c r="AB46" s="1047"/>
      <c r="AC46" s="1193"/>
      <c r="AD46" s="1047"/>
      <c r="AE46" s="1193"/>
      <c r="AF46" s="1047"/>
      <c r="AG46" s="1193"/>
      <c r="AH46" s="1047"/>
      <c r="AI46" s="1193"/>
      <c r="AJ46" s="1047"/>
      <c r="AK46" s="1193"/>
      <c r="AL46" s="1047"/>
      <c r="AM46" s="313"/>
      <c r="AZ46" s="782">
        <v>0</v>
      </c>
    </row>
    <row s="1659" customFormat="1" customHeight="1" ht="11.25" hidden="1">
      <c r="A47" s="2416"/>
      <c r="B47" s="535"/>
      <c r="D47" s="689" t="s">
        <v>896</v>
      </c>
      <c r="E47" s="691" t="s">
        <v>969</v>
      </c>
      <c r="F47" s="684" t="s">
        <v>956</v>
      </c>
      <c r="G47" s="692"/>
      <c r="H47" s="1047"/>
      <c r="I47" s="692"/>
      <c r="J47" s="1047"/>
      <c r="K47" s="1193"/>
      <c r="L47" s="1047"/>
      <c r="M47" s="1193"/>
      <c r="N47" s="1047"/>
      <c r="O47" s="1193"/>
      <c r="P47" s="1047"/>
      <c r="Q47" s="1193"/>
      <c r="R47" s="1047"/>
      <c r="S47" s="1193"/>
      <c r="T47" s="1047"/>
      <c r="U47" s="1193"/>
      <c r="V47" s="1047"/>
      <c r="W47" s="1193"/>
      <c r="X47" s="1047"/>
      <c r="Y47" s="1193"/>
      <c r="Z47" s="1047"/>
      <c r="AA47" s="1193"/>
      <c r="AB47" s="1047"/>
      <c r="AC47" s="1193"/>
      <c r="AD47" s="1047"/>
      <c r="AE47" s="1193"/>
      <c r="AF47" s="1047"/>
      <c r="AG47" s="1193"/>
      <c r="AH47" s="1047"/>
      <c r="AI47" s="1193"/>
      <c r="AJ47" s="1047"/>
      <c r="AK47" s="1193"/>
      <c r="AL47" s="1047"/>
      <c r="AM47" s="313"/>
      <c r="AZ47" s="782">
        <v>0</v>
      </c>
    </row>
    <row s="1659" customFormat="1" customHeight="1" ht="11.25" hidden="1">
      <c r="A48" s="2416"/>
      <c r="B48" s="535"/>
      <c r="D48" s="689" t="s">
        <v>970</v>
      </c>
      <c r="E48" s="695" t="s">
        <v>971</v>
      </c>
      <c r="F48" s="684" t="s">
        <v>956</v>
      </c>
      <c r="G48" s="692"/>
      <c r="H48" s="1047"/>
      <c r="I48" s="692"/>
      <c r="J48" s="1047"/>
      <c r="K48" s="1193"/>
      <c r="L48" s="1047"/>
      <c r="M48" s="1193"/>
      <c r="N48" s="1047"/>
      <c r="O48" s="1193"/>
      <c r="P48" s="1047"/>
      <c r="Q48" s="1193"/>
      <c r="R48" s="1047"/>
      <c r="S48" s="1193"/>
      <c r="T48" s="1047"/>
      <c r="U48" s="1193"/>
      <c r="V48" s="1047"/>
      <c r="W48" s="1193"/>
      <c r="X48" s="1047"/>
      <c r="Y48" s="1193"/>
      <c r="Z48" s="1047"/>
      <c r="AA48" s="1193"/>
      <c r="AB48" s="1047"/>
      <c r="AC48" s="1193"/>
      <c r="AD48" s="1047"/>
      <c r="AE48" s="1193"/>
      <c r="AF48" s="1047"/>
      <c r="AG48" s="1193"/>
      <c r="AH48" s="1047"/>
      <c r="AI48" s="1193"/>
      <c r="AJ48" s="1047"/>
      <c r="AK48" s="1193"/>
      <c r="AL48" s="1047"/>
      <c r="AM48" s="313"/>
      <c r="AZ48" s="782">
        <v>0</v>
      </c>
    </row>
    <row s="1659" customFormat="1" customHeight="1" ht="11.25" hidden="1">
      <c r="A49" s="2416"/>
      <c r="B49" s="535"/>
      <c r="D49" s="689" t="s">
        <v>972</v>
      </c>
      <c r="E49" s="695" t="s">
        <v>973</v>
      </c>
      <c r="F49" s="684" t="s">
        <v>956</v>
      </c>
      <c r="G49" s="692"/>
      <c r="H49" s="1047"/>
      <c r="I49" s="692"/>
      <c r="J49" s="1047"/>
      <c r="K49" s="1193"/>
      <c r="L49" s="1047"/>
      <c r="M49" s="1193"/>
      <c r="N49" s="1047"/>
      <c r="O49" s="1193"/>
      <c r="P49" s="1047"/>
      <c r="Q49" s="1193"/>
      <c r="R49" s="1047"/>
      <c r="S49" s="1193"/>
      <c r="T49" s="1047"/>
      <c r="U49" s="1193"/>
      <c r="V49" s="1047"/>
      <c r="W49" s="1193"/>
      <c r="X49" s="1047"/>
      <c r="Y49" s="1193"/>
      <c r="Z49" s="1047"/>
      <c r="AA49" s="1193"/>
      <c r="AB49" s="1047"/>
      <c r="AC49" s="1193"/>
      <c r="AD49" s="1047"/>
      <c r="AE49" s="1193"/>
      <c r="AF49" s="1047"/>
      <c r="AG49" s="1193"/>
      <c r="AH49" s="1047"/>
      <c r="AI49" s="1193"/>
      <c r="AJ49" s="1047"/>
      <c r="AK49" s="1193"/>
      <c r="AL49" s="1047"/>
      <c r="AM49" s="313"/>
      <c r="AZ49" s="782">
        <v>0</v>
      </c>
    </row>
    <row s="1659" customFormat="1" customHeight="1" ht="11.25" hidden="1">
      <c r="A50" s="2416"/>
      <c r="B50" s="535"/>
      <c r="D50" s="689" t="s">
        <v>974</v>
      </c>
      <c r="E50" s="691" t="s">
        <v>975</v>
      </c>
      <c r="F50" s="684" t="s">
        <v>956</v>
      </c>
      <c r="G50" s="692"/>
      <c r="H50" s="1047"/>
      <c r="I50" s="692"/>
      <c r="J50" s="1047"/>
      <c r="K50" s="1193"/>
      <c r="L50" s="1047"/>
      <c r="M50" s="1193"/>
      <c r="N50" s="1047"/>
      <c r="O50" s="1193"/>
      <c r="P50" s="1047"/>
      <c r="Q50" s="1193"/>
      <c r="R50" s="1047"/>
      <c r="S50" s="1193"/>
      <c r="T50" s="1047"/>
      <c r="U50" s="1193"/>
      <c r="V50" s="1047"/>
      <c r="W50" s="1193"/>
      <c r="X50" s="1047"/>
      <c r="Y50" s="1193"/>
      <c r="Z50" s="1047"/>
      <c r="AA50" s="1193"/>
      <c r="AB50" s="1047"/>
      <c r="AC50" s="1193"/>
      <c r="AD50" s="1047"/>
      <c r="AE50" s="1193"/>
      <c r="AF50" s="1047"/>
      <c r="AG50" s="1193"/>
      <c r="AH50" s="1047"/>
      <c r="AI50" s="1193"/>
      <c r="AJ50" s="1047"/>
      <c r="AK50" s="1193"/>
      <c r="AL50" s="1047"/>
      <c r="AM50" s="313"/>
      <c r="AZ50" s="782">
        <v>0</v>
      </c>
    </row>
    <row s="1659" customFormat="1" customHeight="1" ht="11.25" hidden="1">
      <c r="A51" s="2416"/>
      <c r="B51" s="535"/>
      <c r="D51" s="689" t="s">
        <v>976</v>
      </c>
      <c r="E51" s="691" t="s">
        <v>977</v>
      </c>
      <c r="F51" s="684" t="s">
        <v>956</v>
      </c>
      <c r="G51" s="692"/>
      <c r="H51" s="1047"/>
      <c r="I51" s="692"/>
      <c r="J51" s="1047"/>
      <c r="K51" s="1193"/>
      <c r="L51" s="1047"/>
      <c r="M51" s="1193"/>
      <c r="N51" s="1047"/>
      <c r="O51" s="1193"/>
      <c r="P51" s="1047"/>
      <c r="Q51" s="1193"/>
      <c r="R51" s="1047"/>
      <c r="S51" s="1193"/>
      <c r="T51" s="1047"/>
      <c r="U51" s="1193"/>
      <c r="V51" s="1047"/>
      <c r="W51" s="1193"/>
      <c r="X51" s="1047"/>
      <c r="Y51" s="1193"/>
      <c r="Z51" s="1047"/>
      <c r="AA51" s="1193"/>
      <c r="AB51" s="1047"/>
      <c r="AC51" s="1193"/>
      <c r="AD51" s="1047"/>
      <c r="AE51" s="1193"/>
      <c r="AF51" s="1047"/>
      <c r="AG51" s="1193"/>
      <c r="AH51" s="1047"/>
      <c r="AI51" s="1193"/>
      <c r="AJ51" s="1047"/>
      <c r="AK51" s="1193"/>
      <c r="AL51" s="1047"/>
      <c r="AM51" s="313"/>
      <c r="AZ51" s="782">
        <v>0</v>
      </c>
    </row>
    <row s="1659" customFormat="1" customHeight="1" ht="45" hidden="1">
      <c r="A52" s="2416"/>
      <c r="B52" s="535"/>
      <c r="D52" s="689" t="s">
        <v>119</v>
      </c>
      <c r="E52" s="690" t="s">
        <v>978</v>
      </c>
      <c r="F52" s="684" t="s">
        <v>956</v>
      </c>
      <c r="G52" s="692"/>
      <c r="H52" s="1047"/>
      <c r="I52" s="692"/>
      <c r="J52" s="1047"/>
      <c r="K52" s="1193"/>
      <c r="L52" s="1047"/>
      <c r="M52" s="1193"/>
      <c r="N52" s="1047"/>
      <c r="O52" s="1193"/>
      <c r="P52" s="1047"/>
      <c r="Q52" s="1193"/>
      <c r="R52" s="1047"/>
      <c r="S52" s="1193"/>
      <c r="T52" s="1047"/>
      <c r="U52" s="1193"/>
      <c r="V52" s="1047"/>
      <c r="W52" s="1193"/>
      <c r="X52" s="1047"/>
      <c r="Y52" s="1193"/>
      <c r="Z52" s="1047"/>
      <c r="AA52" s="1193"/>
      <c r="AB52" s="1047"/>
      <c r="AC52" s="1193"/>
      <c r="AD52" s="1047"/>
      <c r="AE52" s="1193"/>
      <c r="AF52" s="1047"/>
      <c r="AG52" s="1193"/>
      <c r="AH52" s="1047"/>
      <c r="AI52" s="1193"/>
      <c r="AJ52" s="1047"/>
      <c r="AK52" s="1193"/>
      <c r="AL52" s="1047"/>
      <c r="AM52" s="313"/>
      <c r="AZ52" s="782">
        <v>0</v>
      </c>
    </row>
    <row s="1659" customFormat="1" customHeight="1" ht="11.25" hidden="1">
      <c r="A53" s="2416"/>
      <c r="B53" s="535"/>
      <c r="D53" s="689" t="s">
        <v>397</v>
      </c>
      <c r="E53" s="691" t="s">
        <v>967</v>
      </c>
      <c r="F53" s="684" t="s">
        <v>956</v>
      </c>
      <c r="G53" s="692"/>
      <c r="H53" s="1047"/>
      <c r="I53" s="692"/>
      <c r="J53" s="1047"/>
      <c r="K53" s="1193"/>
      <c r="L53" s="1047"/>
      <c r="M53" s="1193"/>
      <c r="N53" s="1047"/>
      <c r="O53" s="1193"/>
      <c r="P53" s="1047"/>
      <c r="Q53" s="1193"/>
      <c r="R53" s="1047"/>
      <c r="S53" s="1193"/>
      <c r="T53" s="1047"/>
      <c r="U53" s="1193"/>
      <c r="V53" s="1047"/>
      <c r="W53" s="1193"/>
      <c r="X53" s="1047"/>
      <c r="Y53" s="1193"/>
      <c r="Z53" s="1047"/>
      <c r="AA53" s="1193"/>
      <c r="AB53" s="1047"/>
      <c r="AC53" s="1193"/>
      <c r="AD53" s="1047"/>
      <c r="AE53" s="1193"/>
      <c r="AF53" s="1047"/>
      <c r="AG53" s="1193"/>
      <c r="AH53" s="1047"/>
      <c r="AI53" s="1193"/>
      <c r="AJ53" s="1047"/>
      <c r="AK53" s="1193"/>
      <c r="AL53" s="1047"/>
      <c r="AM53" s="313"/>
      <c r="AZ53" s="782">
        <v>0</v>
      </c>
    </row>
    <row s="1659" customFormat="1" customHeight="1" ht="11.25" hidden="1">
      <c r="A54" s="2416"/>
      <c r="B54" s="535"/>
      <c r="D54" s="689" t="s">
        <v>979</v>
      </c>
      <c r="E54" s="691" t="s">
        <v>968</v>
      </c>
      <c r="F54" s="684" t="s">
        <v>956</v>
      </c>
      <c r="G54" s="692"/>
      <c r="H54" s="1047"/>
      <c r="I54" s="692"/>
      <c r="J54" s="1047"/>
      <c r="K54" s="1193"/>
      <c r="L54" s="1047"/>
      <c r="M54" s="1193"/>
      <c r="N54" s="1047"/>
      <c r="O54" s="1193"/>
      <c r="P54" s="1047"/>
      <c r="Q54" s="1193"/>
      <c r="R54" s="1047"/>
      <c r="S54" s="1193"/>
      <c r="T54" s="1047"/>
      <c r="U54" s="1193"/>
      <c r="V54" s="1047"/>
      <c r="W54" s="1193"/>
      <c r="X54" s="1047"/>
      <c r="Y54" s="1193"/>
      <c r="Z54" s="1047"/>
      <c r="AA54" s="1193"/>
      <c r="AB54" s="1047"/>
      <c r="AC54" s="1193"/>
      <c r="AD54" s="1047"/>
      <c r="AE54" s="1193"/>
      <c r="AF54" s="1047"/>
      <c r="AG54" s="1193"/>
      <c r="AH54" s="1047"/>
      <c r="AI54" s="1193"/>
      <c r="AJ54" s="1047"/>
      <c r="AK54" s="1193"/>
      <c r="AL54" s="1047"/>
      <c r="AM54" s="313"/>
      <c r="AZ54" s="782">
        <v>0</v>
      </c>
    </row>
    <row s="1659" customFormat="1" customHeight="1" ht="11.25" hidden="1">
      <c r="A55" s="2416"/>
      <c r="B55" s="535"/>
      <c r="D55" s="689" t="s">
        <v>980</v>
      </c>
      <c r="E55" s="691" t="s">
        <v>969</v>
      </c>
      <c r="F55" s="684" t="s">
        <v>956</v>
      </c>
      <c r="G55" s="692"/>
      <c r="H55" s="1047"/>
      <c r="I55" s="692"/>
      <c r="J55" s="1047"/>
      <c r="K55" s="1193"/>
      <c r="L55" s="1047"/>
      <c r="M55" s="1193"/>
      <c r="N55" s="1047"/>
      <c r="O55" s="1193"/>
      <c r="P55" s="1047"/>
      <c r="Q55" s="1193"/>
      <c r="R55" s="1047"/>
      <c r="S55" s="1193"/>
      <c r="T55" s="1047"/>
      <c r="U55" s="1193"/>
      <c r="V55" s="1047"/>
      <c r="W55" s="1193"/>
      <c r="X55" s="1047"/>
      <c r="Y55" s="1193"/>
      <c r="Z55" s="1047"/>
      <c r="AA55" s="1193"/>
      <c r="AB55" s="1047"/>
      <c r="AC55" s="1193"/>
      <c r="AD55" s="1047"/>
      <c r="AE55" s="1193"/>
      <c r="AF55" s="1047"/>
      <c r="AG55" s="1193"/>
      <c r="AH55" s="1047"/>
      <c r="AI55" s="1193"/>
      <c r="AJ55" s="1047"/>
      <c r="AK55" s="1193"/>
      <c r="AL55" s="1047"/>
      <c r="AM55" s="313"/>
      <c r="AZ55" s="782">
        <v>0</v>
      </c>
    </row>
    <row s="1659" customFormat="1" customHeight="1" ht="11.25" hidden="1">
      <c r="A56" s="2416"/>
      <c r="B56" s="535"/>
      <c r="D56" s="689" t="s">
        <v>981</v>
      </c>
      <c r="E56" s="695" t="s">
        <v>971</v>
      </c>
      <c r="F56" s="684" t="s">
        <v>956</v>
      </c>
      <c r="G56" s="692"/>
      <c r="H56" s="1047"/>
      <c r="I56" s="692"/>
      <c r="J56" s="1047"/>
      <c r="K56" s="1193"/>
      <c r="L56" s="1047"/>
      <c r="M56" s="1193"/>
      <c r="N56" s="1047"/>
      <c r="O56" s="1193"/>
      <c r="P56" s="1047"/>
      <c r="Q56" s="1193"/>
      <c r="R56" s="1047"/>
      <c r="S56" s="1193"/>
      <c r="T56" s="1047"/>
      <c r="U56" s="1193"/>
      <c r="V56" s="1047"/>
      <c r="W56" s="1193"/>
      <c r="X56" s="1047"/>
      <c r="Y56" s="1193"/>
      <c r="Z56" s="1047"/>
      <c r="AA56" s="1193"/>
      <c r="AB56" s="1047"/>
      <c r="AC56" s="1193"/>
      <c r="AD56" s="1047"/>
      <c r="AE56" s="1193"/>
      <c r="AF56" s="1047"/>
      <c r="AG56" s="1193"/>
      <c r="AH56" s="1047"/>
      <c r="AI56" s="1193"/>
      <c r="AJ56" s="1047"/>
      <c r="AK56" s="1193"/>
      <c r="AL56" s="1047"/>
      <c r="AM56" s="313"/>
      <c r="AZ56" s="782">
        <v>0</v>
      </c>
    </row>
    <row s="1659" customFormat="1" customHeight="1" ht="11.25" hidden="1">
      <c r="A57" s="2416"/>
      <c r="B57" s="535"/>
      <c r="D57" s="689" t="s">
        <v>982</v>
      </c>
      <c r="E57" s="695" t="s">
        <v>973</v>
      </c>
      <c r="F57" s="684" t="s">
        <v>956</v>
      </c>
      <c r="G57" s="692"/>
      <c r="H57" s="1047"/>
      <c r="I57" s="692"/>
      <c r="J57" s="1047"/>
      <c r="K57" s="1193"/>
      <c r="L57" s="1047"/>
      <c r="M57" s="1193"/>
      <c r="N57" s="1047"/>
      <c r="O57" s="1193"/>
      <c r="P57" s="1047"/>
      <c r="Q57" s="1193"/>
      <c r="R57" s="1047"/>
      <c r="S57" s="1193"/>
      <c r="T57" s="1047"/>
      <c r="U57" s="1193"/>
      <c r="V57" s="1047"/>
      <c r="W57" s="1193"/>
      <c r="X57" s="1047"/>
      <c r="Y57" s="1193"/>
      <c r="Z57" s="1047"/>
      <c r="AA57" s="1193"/>
      <c r="AB57" s="1047"/>
      <c r="AC57" s="1193"/>
      <c r="AD57" s="1047"/>
      <c r="AE57" s="1193"/>
      <c r="AF57" s="1047"/>
      <c r="AG57" s="1193"/>
      <c r="AH57" s="1047"/>
      <c r="AI57" s="1193"/>
      <c r="AJ57" s="1047"/>
      <c r="AK57" s="1193"/>
      <c r="AL57" s="1047"/>
      <c r="AM57" s="313"/>
      <c r="AZ57" s="782">
        <v>0</v>
      </c>
    </row>
    <row s="1659" customFormat="1" customHeight="1" ht="11.25" hidden="1">
      <c r="A58" s="2416"/>
      <c r="B58" s="535"/>
      <c r="D58" s="689" t="s">
        <v>983</v>
      </c>
      <c r="E58" s="691" t="s">
        <v>975</v>
      </c>
      <c r="F58" s="684" t="s">
        <v>956</v>
      </c>
      <c r="G58" s="692"/>
      <c r="H58" s="1047"/>
      <c r="I58" s="692"/>
      <c r="J58" s="1047"/>
      <c r="K58" s="1193"/>
      <c r="L58" s="1047"/>
      <c r="M58" s="1193"/>
      <c r="N58" s="1047"/>
      <c r="O58" s="1193"/>
      <c r="P58" s="1047"/>
      <c r="Q58" s="1193"/>
      <c r="R58" s="1047"/>
      <c r="S58" s="1193"/>
      <c r="T58" s="1047"/>
      <c r="U58" s="1193"/>
      <c r="V58" s="1047"/>
      <c r="W58" s="1193"/>
      <c r="X58" s="1047"/>
      <c r="Y58" s="1193"/>
      <c r="Z58" s="1047"/>
      <c r="AA58" s="1193"/>
      <c r="AB58" s="1047"/>
      <c r="AC58" s="1193"/>
      <c r="AD58" s="1047"/>
      <c r="AE58" s="1193"/>
      <c r="AF58" s="1047"/>
      <c r="AG58" s="1193"/>
      <c r="AH58" s="1047"/>
      <c r="AI58" s="1193"/>
      <c r="AJ58" s="1047"/>
      <c r="AK58" s="1193"/>
      <c r="AL58" s="1047"/>
      <c r="AM58" s="313"/>
      <c r="AZ58" s="782">
        <v>0</v>
      </c>
    </row>
    <row s="1659" customFormat="1" customHeight="1" ht="11.25" hidden="1">
      <c r="A59" s="2416"/>
      <c r="B59" s="535"/>
      <c r="D59" s="689" t="s">
        <v>984</v>
      </c>
      <c r="E59" s="691" t="s">
        <v>977</v>
      </c>
      <c r="F59" s="684" t="s">
        <v>956</v>
      </c>
      <c r="G59" s="692"/>
      <c r="H59" s="1047"/>
      <c r="I59" s="692"/>
      <c r="J59" s="1047"/>
      <c r="K59" s="1193"/>
      <c r="L59" s="1047"/>
      <c r="M59" s="1193"/>
      <c r="N59" s="1047"/>
      <c r="O59" s="1193"/>
      <c r="P59" s="1047"/>
      <c r="Q59" s="1193"/>
      <c r="R59" s="1047"/>
      <c r="S59" s="1193"/>
      <c r="T59" s="1047"/>
      <c r="U59" s="1193"/>
      <c r="V59" s="1047"/>
      <c r="W59" s="1193"/>
      <c r="X59" s="1047"/>
      <c r="Y59" s="1193"/>
      <c r="Z59" s="1047"/>
      <c r="AA59" s="1193"/>
      <c r="AB59" s="1047"/>
      <c r="AC59" s="1193"/>
      <c r="AD59" s="1047"/>
      <c r="AE59" s="1193"/>
      <c r="AF59" s="1047"/>
      <c r="AG59" s="1193"/>
      <c r="AH59" s="1047"/>
      <c r="AI59" s="1193"/>
      <c r="AJ59" s="1047"/>
      <c r="AK59" s="1193"/>
      <c r="AL59" s="1047"/>
      <c r="AM59" s="313"/>
      <c r="AZ59" s="782">
        <v>0</v>
      </c>
    </row>
    <row s="1659" customFormat="1" customHeight="1" ht="33.75" hidden="1">
      <c r="A60" s="2416"/>
      <c r="B60" s="535"/>
      <c r="D60" s="689" t="s">
        <v>92</v>
      </c>
      <c r="E60" s="690" t="s">
        <v>985</v>
      </c>
      <c r="F60" s="745" t="s">
        <v>642</v>
      </c>
      <c r="G60" s="766"/>
      <c r="H60" s="1047"/>
      <c r="I60" s="766"/>
      <c r="J60" s="1047"/>
      <c r="K60" s="766"/>
      <c r="L60" s="1047"/>
      <c r="M60" s="766"/>
      <c r="N60" s="1047"/>
      <c r="O60" s="766"/>
      <c r="P60" s="1047"/>
      <c r="Q60" s="766"/>
      <c r="R60" s="1047"/>
      <c r="S60" s="766"/>
      <c r="T60" s="1047"/>
      <c r="U60" s="766"/>
      <c r="V60" s="1047"/>
      <c r="W60" s="766"/>
      <c r="X60" s="1047"/>
      <c r="Y60" s="766"/>
      <c r="Z60" s="1047"/>
      <c r="AA60" s="766"/>
      <c r="AB60" s="1047"/>
      <c r="AC60" s="766"/>
      <c r="AD60" s="1047"/>
      <c r="AE60" s="766"/>
      <c r="AF60" s="1047"/>
      <c r="AG60" s="766"/>
      <c r="AH60" s="1047"/>
      <c r="AI60" s="766"/>
      <c r="AJ60" s="1047"/>
      <c r="AK60" s="766"/>
      <c r="AL60" s="1047"/>
      <c r="AM60" s="326" t="s">
        <v>986</v>
      </c>
      <c r="AZ60" s="782">
        <v>0</v>
      </c>
    </row>
    <row s="1659" customFormat="1" customHeight="1" ht="33.75" hidden="1">
      <c r="A61" s="2416"/>
      <c r="B61" s="535"/>
      <c r="D61" s="689" t="s">
        <v>93</v>
      </c>
      <c r="E61" s="690" t="s">
        <v>987</v>
      </c>
      <c r="F61" s="750" t="s">
        <v>917</v>
      </c>
      <c r="G61" s="692"/>
      <c r="H61" s="1047"/>
      <c r="I61" s="692"/>
      <c r="J61" s="1047"/>
      <c r="K61" s="1193"/>
      <c r="L61" s="1047"/>
      <c r="M61" s="1193"/>
      <c r="N61" s="1047"/>
      <c r="O61" s="1193"/>
      <c r="P61" s="1047"/>
      <c r="Q61" s="1193"/>
      <c r="R61" s="1047"/>
      <c r="S61" s="1193"/>
      <c r="T61" s="1047"/>
      <c r="U61" s="1193"/>
      <c r="V61" s="1047"/>
      <c r="W61" s="1193"/>
      <c r="X61" s="1047"/>
      <c r="Y61" s="1193"/>
      <c r="Z61" s="1047"/>
      <c r="AA61" s="1193"/>
      <c r="AB61" s="1047"/>
      <c r="AC61" s="1193"/>
      <c r="AD61" s="1047"/>
      <c r="AE61" s="1193"/>
      <c r="AF61" s="1047"/>
      <c r="AG61" s="1193"/>
      <c r="AH61" s="1047"/>
      <c r="AI61" s="1193"/>
      <c r="AJ61" s="1047"/>
      <c r="AK61" s="1193"/>
      <c r="AL61" s="1047"/>
      <c r="AM61" s="313"/>
      <c r="AZ61" s="782">
        <v>0</v>
      </c>
    </row>
    <row s="1659" customFormat="1" customHeight="1" ht="22.5" hidden="1">
      <c r="A62" s="2416"/>
      <c r="B62" s="535" t="s">
        <v>672</v>
      </c>
      <c r="D62" s="689" t="s">
        <v>143</v>
      </c>
      <c r="E62" s="690" t="s">
        <v>988</v>
      </c>
      <c r="F62" s="750" t="s">
        <v>390</v>
      </c>
      <c r="G62" s="406"/>
      <c r="H62" s="1047"/>
      <c r="I62" s="406"/>
      <c r="J62" s="1047"/>
      <c r="K62" s="1188"/>
      <c r="L62" s="1047"/>
      <c r="M62" s="1188"/>
      <c r="N62" s="1047"/>
      <c r="O62" s="1188"/>
      <c r="P62" s="1047"/>
      <c r="Q62" s="1188"/>
      <c r="R62" s="1047"/>
      <c r="S62" s="1188"/>
      <c r="T62" s="1047"/>
      <c r="U62" s="1188"/>
      <c r="V62" s="1047"/>
      <c r="W62" s="1188"/>
      <c r="X62" s="1047"/>
      <c r="Y62" s="1188"/>
      <c r="Z62" s="1047"/>
      <c r="AA62" s="1188"/>
      <c r="AB62" s="1047"/>
      <c r="AC62" s="1188"/>
      <c r="AD62" s="1047"/>
      <c r="AE62" s="1188"/>
      <c r="AF62" s="1047"/>
      <c r="AG62" s="1188"/>
      <c r="AH62" s="1047"/>
      <c r="AI62" s="1188"/>
      <c r="AJ62" s="1047"/>
      <c r="AK62" s="1188"/>
      <c r="AL62" s="1047"/>
      <c r="AM62" s="313" t="s">
        <v>729</v>
      </c>
      <c r="AZ62" s="782">
        <v>0</v>
      </c>
    </row>
    <row s="1659" customFormat="1" customHeight="1" ht="45" hidden="1">
      <c r="A63" s="2416"/>
      <c r="B63" s="535" t="s">
        <v>672</v>
      </c>
      <c r="D63" s="689" t="s">
        <v>989</v>
      </c>
      <c r="E63" s="691" t="s">
        <v>990</v>
      </c>
      <c r="F63" s="745" t="s">
        <v>390</v>
      </c>
      <c r="G63" s="406"/>
      <c r="H63" s="1047"/>
      <c r="I63" s="406"/>
      <c r="J63" s="1047"/>
      <c r="K63" s="1188"/>
      <c r="L63" s="1047"/>
      <c r="M63" s="1188"/>
      <c r="N63" s="1047"/>
      <c r="O63" s="1188"/>
      <c r="P63" s="1047"/>
      <c r="Q63" s="1188"/>
      <c r="R63" s="1047"/>
      <c r="S63" s="1188"/>
      <c r="T63" s="1047"/>
      <c r="U63" s="1188"/>
      <c r="V63" s="1047"/>
      <c r="W63" s="1188"/>
      <c r="X63" s="1047"/>
      <c r="Y63" s="1188"/>
      <c r="Z63" s="1047"/>
      <c r="AA63" s="1188"/>
      <c r="AB63" s="1047"/>
      <c r="AC63" s="1188"/>
      <c r="AD63" s="1047"/>
      <c r="AE63" s="1188"/>
      <c r="AF63" s="1047"/>
      <c r="AG63" s="1188"/>
      <c r="AH63" s="1047"/>
      <c r="AI63" s="1188"/>
      <c r="AJ63" s="1047"/>
      <c r="AK63" s="1188"/>
      <c r="AL63" s="1047"/>
      <c r="AM63" s="313" t="s">
        <v>729</v>
      </c>
      <c r="AZ63" s="782">
        <v>0</v>
      </c>
    </row>
    <row s="1659" customFormat="1" customHeight="1" ht="11.549999999999999">
      <c r="A64" s="1057"/>
      <c r="B64" s="542"/>
      <c r="D64" s="1058"/>
      <c r="E64" s="1059"/>
      <c r="K64" s="1659"/>
      <c r="L64" s="1659"/>
      <c r="M64" s="1659"/>
      <c r="N64" s="1659"/>
      <c r="O64" s="1659"/>
      <c r="P64" s="1659"/>
      <c r="Q64" s="1659"/>
      <c r="R64" s="1659"/>
      <c r="S64" s="1659"/>
      <c r="T64" s="1659"/>
      <c r="U64" s="1659"/>
      <c r="V64" s="1659"/>
      <c r="W64" s="1659"/>
      <c r="X64" s="1659"/>
      <c r="Y64" s="1659"/>
      <c r="Z64" s="1659"/>
      <c r="AA64" s="1659"/>
      <c r="AB64" s="1659"/>
      <c r="AC64" s="1659"/>
      <c r="AD64" s="1659"/>
      <c r="AE64" s="1659"/>
      <c r="AF64" s="1659"/>
      <c r="AG64" s="1659"/>
      <c r="AH64" s="1659"/>
      <c r="AI64" s="1659"/>
      <c r="AJ64" s="1659"/>
      <c r="AK64" s="1659"/>
      <c r="AL64" s="1659"/>
      <c r="AZ64" s="533">
        <v>11</v>
      </c>
    </row>
    <row s="1659" customFormat="1" customHeight="1" ht="22.5" hidden="1">
      <c r="A65" s="2416" t="s">
        <v>991</v>
      </c>
      <c r="B65" s="535"/>
      <c r="D65" s="689">
        <v>1</v>
      </c>
      <c r="E65" s="768" t="s">
        <v>992</v>
      </c>
      <c r="F65" s="764" t="s">
        <v>907</v>
      </c>
      <c r="G65" s="765"/>
      <c r="H65" s="1053"/>
      <c r="I65" s="765"/>
      <c r="J65" s="1053"/>
      <c r="K65" s="765"/>
      <c r="L65" s="1053"/>
      <c r="M65" s="765"/>
      <c r="N65" s="1053"/>
      <c r="O65" s="765"/>
      <c r="P65" s="1053"/>
      <c r="Q65" s="765"/>
      <c r="R65" s="1053"/>
      <c r="S65" s="765"/>
      <c r="T65" s="1053"/>
      <c r="U65" s="765"/>
      <c r="V65" s="1053"/>
      <c r="W65" s="765"/>
      <c r="X65" s="1053"/>
      <c r="Y65" s="765"/>
      <c r="Z65" s="1053"/>
      <c r="AA65" s="765"/>
      <c r="AB65" s="1053"/>
      <c r="AC65" s="765"/>
      <c r="AD65" s="1053"/>
      <c r="AE65" s="765"/>
      <c r="AF65" s="1053"/>
      <c r="AG65" s="765"/>
      <c r="AH65" s="1053"/>
      <c r="AI65" s="765"/>
      <c r="AJ65" s="1053"/>
      <c r="AK65" s="765"/>
      <c r="AL65" s="1053"/>
      <c r="AM65" s="325" t="s">
        <v>993</v>
      </c>
      <c r="AZ65" s="782">
        <v>0</v>
      </c>
    </row>
    <row s="1659" customFormat="1" customHeight="1" ht="56.25" hidden="1">
      <c r="A66" s="2416"/>
      <c r="B66" s="535"/>
      <c r="D66" s="767" t="s">
        <v>103</v>
      </c>
      <c r="E66" s="731" t="s">
        <v>994</v>
      </c>
      <c r="F66" s="684" t="s">
        <v>630</v>
      </c>
      <c r="G66" s="684" t="s">
        <v>630</v>
      </c>
      <c r="H66" s="543"/>
      <c r="I66" s="684" t="s">
        <v>630</v>
      </c>
      <c r="J66" s="543"/>
      <c r="K66" s="2128" t="s">
        <v>630</v>
      </c>
      <c r="L66" s="543"/>
      <c r="M66" s="2128" t="s">
        <v>630</v>
      </c>
      <c r="N66" s="543"/>
      <c r="O66" s="2128" t="s">
        <v>630</v>
      </c>
      <c r="P66" s="543"/>
      <c r="Q66" s="2128" t="s">
        <v>630</v>
      </c>
      <c r="R66" s="543"/>
      <c r="S66" s="2128" t="s">
        <v>630</v>
      </c>
      <c r="T66" s="543"/>
      <c r="U66" s="2128" t="s">
        <v>630</v>
      </c>
      <c r="V66" s="543"/>
      <c r="W66" s="2128" t="s">
        <v>630</v>
      </c>
      <c r="X66" s="543"/>
      <c r="Y66" s="2128" t="s">
        <v>630</v>
      </c>
      <c r="Z66" s="543"/>
      <c r="AA66" s="2128" t="s">
        <v>630</v>
      </c>
      <c r="AB66" s="543"/>
      <c r="AC66" s="2128" t="s">
        <v>630</v>
      </c>
      <c r="AD66" s="543"/>
      <c r="AE66" s="2128" t="s">
        <v>630</v>
      </c>
      <c r="AF66" s="543"/>
      <c r="AG66" s="2128" t="s">
        <v>630</v>
      </c>
      <c r="AH66" s="543"/>
      <c r="AI66" s="2128" t="s">
        <v>630</v>
      </c>
      <c r="AJ66" s="543"/>
      <c r="AK66" s="2128" t="s">
        <v>630</v>
      </c>
      <c r="AL66" s="543"/>
      <c r="AM66" s="313"/>
      <c r="AZ66" s="782">
        <v>0</v>
      </c>
    </row>
    <row s="1659" customFormat="1" customHeight="1" ht="33.75" hidden="1">
      <c r="A67" s="2416"/>
      <c r="B67" s="535"/>
      <c r="D67" s="767" t="s">
        <v>806</v>
      </c>
      <c r="E67" s="978" t="s">
        <v>995</v>
      </c>
      <c r="F67" s="684" t="s">
        <v>959</v>
      </c>
      <c r="G67" s="751"/>
      <c r="H67" s="543"/>
      <c r="I67" s="751"/>
      <c r="J67" s="543"/>
      <c r="K67" s="751"/>
      <c r="L67" s="543"/>
      <c r="M67" s="751"/>
      <c r="N67" s="543"/>
      <c r="O67" s="751"/>
      <c r="P67" s="543"/>
      <c r="Q67" s="751"/>
      <c r="R67" s="543"/>
      <c r="S67" s="751"/>
      <c r="T67" s="543"/>
      <c r="U67" s="751"/>
      <c r="V67" s="543"/>
      <c r="W67" s="751"/>
      <c r="X67" s="543"/>
      <c r="Y67" s="751"/>
      <c r="Z67" s="543"/>
      <c r="AA67" s="751"/>
      <c r="AB67" s="543"/>
      <c r="AC67" s="751"/>
      <c r="AD67" s="543"/>
      <c r="AE67" s="751"/>
      <c r="AF67" s="543"/>
      <c r="AG67" s="751"/>
      <c r="AH67" s="543"/>
      <c r="AI67" s="751"/>
      <c r="AJ67" s="543"/>
      <c r="AK67" s="751"/>
      <c r="AL67" s="543"/>
      <c r="AM67" s="313"/>
      <c r="AZ67" s="782">
        <v>0</v>
      </c>
    </row>
    <row s="1659" customFormat="1" customHeight="1" ht="22.5" hidden="1">
      <c r="A68" s="2416"/>
      <c r="B68" s="535"/>
      <c r="D68" s="767" t="s">
        <v>391</v>
      </c>
      <c r="E68" s="978" t="s">
        <v>996</v>
      </c>
      <c r="F68" s="684" t="s">
        <v>959</v>
      </c>
      <c r="G68" s="751"/>
      <c r="H68" s="543"/>
      <c r="I68" s="751"/>
      <c r="J68" s="543"/>
      <c r="K68" s="751"/>
      <c r="L68" s="543"/>
      <c r="M68" s="751"/>
      <c r="N68" s="543"/>
      <c r="O68" s="751"/>
      <c r="P68" s="543"/>
      <c r="Q68" s="751"/>
      <c r="R68" s="543"/>
      <c r="S68" s="751"/>
      <c r="T68" s="543"/>
      <c r="U68" s="751"/>
      <c r="V68" s="543"/>
      <c r="W68" s="751"/>
      <c r="X68" s="543"/>
      <c r="Y68" s="751"/>
      <c r="Z68" s="543"/>
      <c r="AA68" s="751"/>
      <c r="AB68" s="543"/>
      <c r="AC68" s="751"/>
      <c r="AD68" s="543"/>
      <c r="AE68" s="751"/>
      <c r="AF68" s="543"/>
      <c r="AG68" s="751"/>
      <c r="AH68" s="543"/>
      <c r="AI68" s="751"/>
      <c r="AJ68" s="543"/>
      <c r="AK68" s="751"/>
      <c r="AL68" s="543"/>
      <c r="AM68" s="313"/>
      <c r="AZ68" s="782">
        <v>0</v>
      </c>
    </row>
    <row s="1659" customFormat="1" customHeight="1" ht="22.5" hidden="1">
      <c r="A69" s="2416"/>
      <c r="B69" s="535"/>
      <c r="D69" s="767" t="s">
        <v>394</v>
      </c>
      <c r="E69" s="978" t="s">
        <v>997</v>
      </c>
      <c r="F69" s="745" t="s">
        <v>642</v>
      </c>
      <c r="G69" s="766"/>
      <c r="H69" s="543"/>
      <c r="I69" s="766"/>
      <c r="J69" s="543"/>
      <c r="K69" s="766"/>
      <c r="L69" s="543"/>
      <c r="M69" s="766"/>
      <c r="N69" s="543"/>
      <c r="O69" s="766"/>
      <c r="P69" s="543"/>
      <c r="Q69" s="766"/>
      <c r="R69" s="543"/>
      <c r="S69" s="766"/>
      <c r="T69" s="543"/>
      <c r="U69" s="766"/>
      <c r="V69" s="543"/>
      <c r="W69" s="766"/>
      <c r="X69" s="543"/>
      <c r="Y69" s="766"/>
      <c r="Z69" s="543"/>
      <c r="AA69" s="766"/>
      <c r="AB69" s="543"/>
      <c r="AC69" s="766"/>
      <c r="AD69" s="543"/>
      <c r="AE69" s="766"/>
      <c r="AF69" s="543"/>
      <c r="AG69" s="766"/>
      <c r="AH69" s="543"/>
      <c r="AI69" s="766"/>
      <c r="AJ69" s="543"/>
      <c r="AK69" s="766"/>
      <c r="AL69" s="543"/>
      <c r="AM69" s="313"/>
      <c r="AZ69" s="782">
        <v>0</v>
      </c>
    </row>
    <row s="1659" customFormat="1" customHeight="1" ht="22.5" hidden="1">
      <c r="A70" s="2416"/>
      <c r="B70" s="535"/>
      <c r="D70" s="767" t="s">
        <v>826</v>
      </c>
      <c r="E70" s="978" t="s">
        <v>998</v>
      </c>
      <c r="F70" s="745" t="s">
        <v>642</v>
      </c>
      <c r="G70" s="766"/>
      <c r="H70" s="543"/>
      <c r="I70" s="766"/>
      <c r="J70" s="543"/>
      <c r="K70" s="766"/>
      <c r="L70" s="543"/>
      <c r="M70" s="766"/>
      <c r="N70" s="543"/>
      <c r="O70" s="766"/>
      <c r="P70" s="543"/>
      <c r="Q70" s="766"/>
      <c r="R70" s="543"/>
      <c r="S70" s="766"/>
      <c r="T70" s="543"/>
      <c r="U70" s="766"/>
      <c r="V70" s="543"/>
      <c r="W70" s="766"/>
      <c r="X70" s="543"/>
      <c r="Y70" s="766"/>
      <c r="Z70" s="543"/>
      <c r="AA70" s="766"/>
      <c r="AB70" s="543"/>
      <c r="AC70" s="766"/>
      <c r="AD70" s="543"/>
      <c r="AE70" s="766"/>
      <c r="AF70" s="543"/>
      <c r="AG70" s="766"/>
      <c r="AH70" s="543"/>
      <c r="AI70" s="766"/>
      <c r="AJ70" s="543"/>
      <c r="AK70" s="766"/>
      <c r="AL70" s="543"/>
      <c r="AM70" s="313"/>
      <c r="AZ70" s="782">
        <v>0</v>
      </c>
    </row>
    <row s="1659" customFormat="1" customHeight="1" ht="22.5" hidden="1">
      <c r="A71" s="2416"/>
      <c r="B71" s="535"/>
      <c r="D71" s="689" t="s">
        <v>90</v>
      </c>
      <c r="E71" s="690" t="s">
        <v>999</v>
      </c>
      <c r="F71" s="684" t="s">
        <v>959</v>
      </c>
      <c r="G71" s="581"/>
      <c r="H71" s="1054"/>
      <c r="I71" s="581"/>
      <c r="J71" s="1054"/>
      <c r="K71" s="581"/>
      <c r="L71" s="1054"/>
      <c r="M71" s="581"/>
      <c r="N71" s="1054"/>
      <c r="O71" s="581"/>
      <c r="P71" s="1054"/>
      <c r="Q71" s="581"/>
      <c r="R71" s="1054"/>
      <c r="S71" s="581"/>
      <c r="T71" s="1054"/>
      <c r="U71" s="581"/>
      <c r="V71" s="1054"/>
      <c r="W71" s="581"/>
      <c r="X71" s="1054"/>
      <c r="Y71" s="581"/>
      <c r="Z71" s="1054"/>
      <c r="AA71" s="581"/>
      <c r="AB71" s="1054"/>
      <c r="AC71" s="581"/>
      <c r="AD71" s="1054"/>
      <c r="AE71" s="581"/>
      <c r="AF71" s="1054"/>
      <c r="AG71" s="581"/>
      <c r="AH71" s="1054"/>
      <c r="AI71" s="581"/>
      <c r="AJ71" s="1054"/>
      <c r="AK71" s="581"/>
      <c r="AL71" s="1054"/>
      <c r="AM71" s="326"/>
      <c r="AZ71" s="782">
        <v>0</v>
      </c>
    </row>
    <row s="1659" customFormat="1" customHeight="1" ht="56.25" hidden="1">
      <c r="A72" s="2416"/>
      <c r="B72" s="535"/>
      <c r="D72" s="689" t="s">
        <v>91</v>
      </c>
      <c r="E72" s="690" t="s">
        <v>1000</v>
      </c>
      <c r="F72" s="745" t="s">
        <v>642</v>
      </c>
      <c r="G72" s="766"/>
      <c r="H72" s="1047"/>
      <c r="I72" s="766"/>
      <c r="J72" s="1047"/>
      <c r="K72" s="766"/>
      <c r="L72" s="1047"/>
      <c r="M72" s="766"/>
      <c r="N72" s="1047"/>
      <c r="O72" s="766"/>
      <c r="P72" s="1047"/>
      <c r="Q72" s="766"/>
      <c r="R72" s="1047"/>
      <c r="S72" s="766"/>
      <c r="T72" s="1047"/>
      <c r="U72" s="766"/>
      <c r="V72" s="1047"/>
      <c r="W72" s="766"/>
      <c r="X72" s="1047"/>
      <c r="Y72" s="766"/>
      <c r="Z72" s="1047"/>
      <c r="AA72" s="766"/>
      <c r="AB72" s="1047"/>
      <c r="AC72" s="766"/>
      <c r="AD72" s="1047"/>
      <c r="AE72" s="766"/>
      <c r="AF72" s="1047"/>
      <c r="AG72" s="766"/>
      <c r="AH72" s="1047"/>
      <c r="AI72" s="766"/>
      <c r="AJ72" s="1047"/>
      <c r="AK72" s="766"/>
      <c r="AL72" s="1047"/>
      <c r="AM72" s="326"/>
      <c r="AZ72" s="782">
        <v>0</v>
      </c>
    </row>
    <row s="1659" customFormat="1" customHeight="1" ht="33.75" hidden="1">
      <c r="A73" s="2416"/>
      <c r="B73" s="535"/>
      <c r="D73" s="689" t="s">
        <v>119</v>
      </c>
      <c r="E73" s="690" t="s">
        <v>1001</v>
      </c>
      <c r="F73" s="750" t="s">
        <v>917</v>
      </c>
      <c r="G73" s="692"/>
      <c r="H73" s="1047"/>
      <c r="I73" s="692"/>
      <c r="J73" s="1047"/>
      <c r="K73" s="1193"/>
      <c r="L73" s="1047"/>
      <c r="M73" s="1193"/>
      <c r="N73" s="1047"/>
      <c r="O73" s="1193"/>
      <c r="P73" s="1047"/>
      <c r="Q73" s="1193"/>
      <c r="R73" s="1047"/>
      <c r="S73" s="1193"/>
      <c r="T73" s="1047"/>
      <c r="U73" s="1193"/>
      <c r="V73" s="1047"/>
      <c r="W73" s="1193"/>
      <c r="X73" s="1047"/>
      <c r="Y73" s="1193"/>
      <c r="Z73" s="1047"/>
      <c r="AA73" s="1193"/>
      <c r="AB73" s="1047"/>
      <c r="AC73" s="1193"/>
      <c r="AD73" s="1047"/>
      <c r="AE73" s="1193"/>
      <c r="AF73" s="1047"/>
      <c r="AG73" s="1193"/>
      <c r="AH73" s="1047"/>
      <c r="AI73" s="1193"/>
      <c r="AJ73" s="1047"/>
      <c r="AK73" s="1193"/>
      <c r="AL73" s="1047"/>
      <c r="AM73" s="313"/>
      <c r="AZ73" s="782">
        <v>0</v>
      </c>
    </row>
    <row s="1659" customFormat="1" customHeight="1" ht="22.5" hidden="1">
      <c r="A74" s="2416"/>
      <c r="B74" s="535" t="s">
        <v>672</v>
      </c>
      <c r="D74" s="689" t="s">
        <v>92</v>
      </c>
      <c r="E74" s="690" t="s">
        <v>1002</v>
      </c>
      <c r="F74" s="750" t="s">
        <v>390</v>
      </c>
      <c r="G74" s="406"/>
      <c r="H74" s="1047"/>
      <c r="I74" s="406"/>
      <c r="J74" s="1047"/>
      <c r="K74" s="1188"/>
      <c r="L74" s="1047"/>
      <c r="M74" s="1188"/>
      <c r="N74" s="1047"/>
      <c r="O74" s="1188"/>
      <c r="P74" s="1047"/>
      <c r="Q74" s="1188"/>
      <c r="R74" s="1047"/>
      <c r="S74" s="1188"/>
      <c r="T74" s="1047"/>
      <c r="U74" s="1188"/>
      <c r="V74" s="1047"/>
      <c r="W74" s="1188"/>
      <c r="X74" s="1047"/>
      <c r="Y74" s="1188"/>
      <c r="Z74" s="1047"/>
      <c r="AA74" s="1188"/>
      <c r="AB74" s="1047"/>
      <c r="AC74" s="1188"/>
      <c r="AD74" s="1047"/>
      <c r="AE74" s="1188"/>
      <c r="AF74" s="1047"/>
      <c r="AG74" s="1188"/>
      <c r="AH74" s="1047"/>
      <c r="AI74" s="1188"/>
      <c r="AJ74" s="1047"/>
      <c r="AK74" s="1188"/>
      <c r="AL74" s="1047"/>
      <c r="AM74" s="313" t="s">
        <v>729</v>
      </c>
      <c r="AZ74" s="782">
        <v>0</v>
      </c>
    </row>
    <row s="1659" customFormat="1" customHeight="1" ht="45" hidden="1">
      <c r="A75" s="2416"/>
      <c r="B75" s="535" t="s">
        <v>672</v>
      </c>
      <c r="D75" s="689" t="s">
        <v>750</v>
      </c>
      <c r="E75" s="691" t="s">
        <v>1003</v>
      </c>
      <c r="F75" s="745" t="s">
        <v>390</v>
      </c>
      <c r="G75" s="406"/>
      <c r="H75" s="1047"/>
      <c r="I75" s="406"/>
      <c r="J75" s="1047"/>
      <c r="K75" s="1188"/>
      <c r="L75" s="1047"/>
      <c r="M75" s="1188"/>
      <c r="N75" s="1047"/>
      <c r="O75" s="1188"/>
      <c r="P75" s="1047"/>
      <c r="Q75" s="1188"/>
      <c r="R75" s="1047"/>
      <c r="S75" s="1188"/>
      <c r="T75" s="1047"/>
      <c r="U75" s="1188"/>
      <c r="V75" s="1047"/>
      <c r="W75" s="1188"/>
      <c r="X75" s="1047"/>
      <c r="Y75" s="1188"/>
      <c r="Z75" s="1047"/>
      <c r="AA75" s="1188"/>
      <c r="AB75" s="1047"/>
      <c r="AC75" s="1188"/>
      <c r="AD75" s="1047"/>
      <c r="AE75" s="1188"/>
      <c r="AF75" s="1047"/>
      <c r="AG75" s="1188"/>
      <c r="AH75" s="1047"/>
      <c r="AI75" s="1188"/>
      <c r="AJ75" s="1047"/>
      <c r="AK75" s="1188"/>
      <c r="AL75" s="1047"/>
      <c r="AM75" s="313" t="s">
        <v>729</v>
      </c>
      <c r="AZ75" s="782">
        <v>0</v>
      </c>
    </row>
    <row s="1659" customFormat="1" customHeight="1" ht="11.549999999999999">
      <c r="A76" s="1057"/>
      <c r="B76" s="542"/>
      <c r="D76" s="1058"/>
      <c r="E76" s="1059"/>
      <c r="K76" s="1659"/>
      <c r="L76" s="1659"/>
      <c r="M76" s="1659"/>
      <c r="N76" s="1659"/>
      <c r="O76" s="1659"/>
      <c r="P76" s="1659"/>
      <c r="Q76" s="1659"/>
      <c r="R76" s="1659"/>
      <c r="S76" s="1659"/>
      <c r="T76" s="1659"/>
      <c r="U76" s="1659"/>
      <c r="V76" s="1659"/>
      <c r="W76" s="1659"/>
      <c r="X76" s="1659"/>
      <c r="Y76" s="1659"/>
      <c r="Z76" s="1659"/>
      <c r="AA76" s="1659"/>
      <c r="AB76" s="1659"/>
      <c r="AC76" s="1659"/>
      <c r="AD76" s="1659"/>
      <c r="AE76" s="1659"/>
      <c r="AF76" s="1659"/>
      <c r="AG76" s="1659"/>
      <c r="AH76" s="1659"/>
      <c r="AI76" s="1659"/>
      <c r="AJ76" s="1659"/>
      <c r="AK76" s="1659"/>
      <c r="AL76" s="1659"/>
      <c r="AZ76" s="533">
        <v>11</v>
      </c>
    </row>
    <row s="1659" customFormat="1" customHeight="1" ht="11.25" hidden="1">
      <c r="A77" s="2416" t="s">
        <v>1004</v>
      </c>
      <c r="B77" s="535"/>
      <c r="D77" s="689">
        <v>1</v>
      </c>
      <c r="E77" s="690" t="s">
        <v>1005</v>
      </c>
      <c r="F77" s="745" t="s">
        <v>907</v>
      </c>
      <c r="G77" s="748"/>
      <c r="H77" s="1047"/>
      <c r="I77" s="748"/>
      <c r="J77" s="1047"/>
      <c r="K77" s="748"/>
      <c r="L77" s="1047"/>
      <c r="M77" s="748"/>
      <c r="N77" s="1047"/>
      <c r="O77" s="748"/>
      <c r="P77" s="1047"/>
      <c r="Q77" s="748"/>
      <c r="R77" s="1047"/>
      <c r="S77" s="748"/>
      <c r="T77" s="1047"/>
      <c r="U77" s="748"/>
      <c r="V77" s="1047"/>
      <c r="W77" s="748"/>
      <c r="X77" s="1047"/>
      <c r="Y77" s="748"/>
      <c r="Z77" s="1047"/>
      <c r="AA77" s="748"/>
      <c r="AB77" s="1047"/>
      <c r="AC77" s="748"/>
      <c r="AD77" s="1047"/>
      <c r="AE77" s="748"/>
      <c r="AF77" s="1047"/>
      <c r="AG77" s="748"/>
      <c r="AH77" s="1047"/>
      <c r="AI77" s="748"/>
      <c r="AJ77" s="1047"/>
      <c r="AK77" s="748"/>
      <c r="AL77" s="1047"/>
      <c r="AM77" s="313" t="s">
        <v>1006</v>
      </c>
      <c r="AZ77" s="782">
        <v>0</v>
      </c>
    </row>
    <row s="1659" customFormat="1" customHeight="1" ht="11.25" hidden="1">
      <c r="A78" s="2416"/>
      <c r="B78" s="535"/>
      <c r="D78" s="689" t="s">
        <v>103</v>
      </c>
      <c r="E78" s="690" t="s">
        <v>1007</v>
      </c>
      <c r="F78" s="745" t="s">
        <v>907</v>
      </c>
      <c r="G78" s="748"/>
      <c r="H78" s="1047"/>
      <c r="I78" s="748"/>
      <c r="J78" s="1047"/>
      <c r="K78" s="748"/>
      <c r="L78" s="1047"/>
      <c r="M78" s="748"/>
      <c r="N78" s="1047"/>
      <c r="O78" s="748"/>
      <c r="P78" s="1047"/>
      <c r="Q78" s="748"/>
      <c r="R78" s="1047"/>
      <c r="S78" s="748"/>
      <c r="T78" s="1047"/>
      <c r="U78" s="748"/>
      <c r="V78" s="1047"/>
      <c r="W78" s="748"/>
      <c r="X78" s="1047"/>
      <c r="Y78" s="748"/>
      <c r="Z78" s="1047"/>
      <c r="AA78" s="748"/>
      <c r="AB78" s="1047"/>
      <c r="AC78" s="748"/>
      <c r="AD78" s="1047"/>
      <c r="AE78" s="748"/>
      <c r="AF78" s="1047"/>
      <c r="AG78" s="748"/>
      <c r="AH78" s="1047"/>
      <c r="AI78" s="748"/>
      <c r="AJ78" s="1047"/>
      <c r="AK78" s="748"/>
      <c r="AL78" s="1047"/>
      <c r="AM78" s="313" t="s">
        <v>1008</v>
      </c>
      <c r="AZ78" s="782">
        <v>0</v>
      </c>
    </row>
    <row s="1659" customFormat="1" customHeight="1" ht="22.5" hidden="1">
      <c r="A79" s="2416"/>
      <c r="B79" s="535"/>
      <c r="D79" s="689" t="s">
        <v>90</v>
      </c>
      <c r="E79" s="746" t="s">
        <v>1009</v>
      </c>
      <c r="F79" s="684" t="s">
        <v>956</v>
      </c>
      <c r="G79" s="748"/>
      <c r="H79" s="1047"/>
      <c r="I79" s="748"/>
      <c r="J79" s="1047"/>
      <c r="K79" s="748"/>
      <c r="L79" s="1047"/>
      <c r="M79" s="748"/>
      <c r="N79" s="1047"/>
      <c r="O79" s="748"/>
      <c r="P79" s="1047"/>
      <c r="Q79" s="748"/>
      <c r="R79" s="1047"/>
      <c r="S79" s="748"/>
      <c r="T79" s="1047"/>
      <c r="U79" s="748"/>
      <c r="V79" s="1047"/>
      <c r="W79" s="748"/>
      <c r="X79" s="1047"/>
      <c r="Y79" s="748"/>
      <c r="Z79" s="1047"/>
      <c r="AA79" s="748"/>
      <c r="AB79" s="1047"/>
      <c r="AC79" s="748"/>
      <c r="AD79" s="1047"/>
      <c r="AE79" s="748"/>
      <c r="AF79" s="1047"/>
      <c r="AG79" s="748"/>
      <c r="AH79" s="1047"/>
      <c r="AI79" s="748"/>
      <c r="AJ79" s="1047"/>
      <c r="AK79" s="748"/>
      <c r="AL79" s="1047"/>
      <c r="AM79" s="313" t="s">
        <v>1010</v>
      </c>
      <c r="AZ79" s="782">
        <v>0</v>
      </c>
    </row>
    <row s="1659" customFormat="1" customHeight="1" ht="11.25" hidden="1">
      <c r="A80" s="2416"/>
      <c r="B80" s="535"/>
      <c r="D80" s="689" t="s">
        <v>408</v>
      </c>
      <c r="E80" s="747" t="s">
        <v>1011</v>
      </c>
      <c r="F80" s="684" t="s">
        <v>956</v>
      </c>
      <c r="G80" s="748"/>
      <c r="H80" s="1047"/>
      <c r="I80" s="748"/>
      <c r="J80" s="1047"/>
      <c r="K80" s="748"/>
      <c r="L80" s="1047"/>
      <c r="M80" s="748"/>
      <c r="N80" s="1047"/>
      <c r="O80" s="748"/>
      <c r="P80" s="1047"/>
      <c r="Q80" s="748"/>
      <c r="R80" s="1047"/>
      <c r="S80" s="748"/>
      <c r="T80" s="1047"/>
      <c r="U80" s="748"/>
      <c r="V80" s="1047"/>
      <c r="W80" s="748"/>
      <c r="X80" s="1047"/>
      <c r="Y80" s="748"/>
      <c r="Z80" s="1047"/>
      <c r="AA80" s="748"/>
      <c r="AB80" s="1047"/>
      <c r="AC80" s="748"/>
      <c r="AD80" s="1047"/>
      <c r="AE80" s="748"/>
      <c r="AF80" s="1047"/>
      <c r="AG80" s="748"/>
      <c r="AH80" s="1047"/>
      <c r="AI80" s="748"/>
      <c r="AJ80" s="1047"/>
      <c r="AK80" s="748"/>
      <c r="AL80" s="1047"/>
      <c r="AM80" s="313"/>
      <c r="AZ80" s="782">
        <v>0</v>
      </c>
    </row>
    <row s="1659" customFormat="1" customHeight="1" ht="11.25" hidden="1">
      <c r="A81" s="2416"/>
      <c r="B81" s="535"/>
      <c r="D81" s="689" t="s">
        <v>416</v>
      </c>
      <c r="E81" s="747" t="s">
        <v>1012</v>
      </c>
      <c r="F81" s="684" t="s">
        <v>956</v>
      </c>
      <c r="G81" s="748"/>
      <c r="H81" s="1047"/>
      <c r="I81" s="748"/>
      <c r="J81" s="1047"/>
      <c r="K81" s="748"/>
      <c r="L81" s="1047"/>
      <c r="M81" s="748"/>
      <c r="N81" s="1047"/>
      <c r="O81" s="748"/>
      <c r="P81" s="1047"/>
      <c r="Q81" s="748"/>
      <c r="R81" s="1047"/>
      <c r="S81" s="748"/>
      <c r="T81" s="1047"/>
      <c r="U81" s="748"/>
      <c r="V81" s="1047"/>
      <c r="W81" s="748"/>
      <c r="X81" s="1047"/>
      <c r="Y81" s="748"/>
      <c r="Z81" s="1047"/>
      <c r="AA81" s="748"/>
      <c r="AB81" s="1047"/>
      <c r="AC81" s="748"/>
      <c r="AD81" s="1047"/>
      <c r="AE81" s="748"/>
      <c r="AF81" s="1047"/>
      <c r="AG81" s="748"/>
      <c r="AH81" s="1047"/>
      <c r="AI81" s="748"/>
      <c r="AJ81" s="1047"/>
      <c r="AK81" s="748"/>
      <c r="AL81" s="1047"/>
      <c r="AM81" s="313"/>
      <c r="AZ81" s="782">
        <v>0</v>
      </c>
    </row>
    <row s="1659" customFormat="1" customHeight="1" ht="11.25" hidden="1">
      <c r="A82" s="2416"/>
      <c r="B82" s="535"/>
      <c r="D82" s="689" t="s">
        <v>418</v>
      </c>
      <c r="E82" s="747" t="s">
        <v>1013</v>
      </c>
      <c r="F82" s="684" t="s">
        <v>956</v>
      </c>
      <c r="G82" s="748"/>
      <c r="H82" s="1047"/>
      <c r="I82" s="748"/>
      <c r="J82" s="1047"/>
      <c r="K82" s="748"/>
      <c r="L82" s="1047"/>
      <c r="M82" s="748"/>
      <c r="N82" s="1047"/>
      <c r="O82" s="748"/>
      <c r="P82" s="1047"/>
      <c r="Q82" s="748"/>
      <c r="R82" s="1047"/>
      <c r="S82" s="748"/>
      <c r="T82" s="1047"/>
      <c r="U82" s="748"/>
      <c r="V82" s="1047"/>
      <c r="W82" s="748"/>
      <c r="X82" s="1047"/>
      <c r="Y82" s="748"/>
      <c r="Z82" s="1047"/>
      <c r="AA82" s="748"/>
      <c r="AB82" s="1047"/>
      <c r="AC82" s="748"/>
      <c r="AD82" s="1047"/>
      <c r="AE82" s="748"/>
      <c r="AF82" s="1047"/>
      <c r="AG82" s="748"/>
      <c r="AH82" s="1047"/>
      <c r="AI82" s="748"/>
      <c r="AJ82" s="1047"/>
      <c r="AK82" s="748"/>
      <c r="AL82" s="1047"/>
      <c r="AM82" s="313"/>
      <c r="AZ82" s="782">
        <v>0</v>
      </c>
    </row>
    <row s="1659" customFormat="1" customHeight="1" ht="11.25" hidden="1">
      <c r="A83" s="2416"/>
      <c r="B83" s="535"/>
      <c r="D83" s="689" t="s">
        <v>420</v>
      </c>
      <c r="E83" s="747" t="s">
        <v>1014</v>
      </c>
      <c r="F83" s="684" t="s">
        <v>956</v>
      </c>
      <c r="G83" s="748"/>
      <c r="H83" s="1047"/>
      <c r="I83" s="748"/>
      <c r="J83" s="1047"/>
      <c r="K83" s="748"/>
      <c r="L83" s="1047"/>
      <c r="M83" s="748"/>
      <c r="N83" s="1047"/>
      <c r="O83" s="748"/>
      <c r="P83" s="1047"/>
      <c r="Q83" s="748"/>
      <c r="R83" s="1047"/>
      <c r="S83" s="748"/>
      <c r="T83" s="1047"/>
      <c r="U83" s="748"/>
      <c r="V83" s="1047"/>
      <c r="W83" s="748"/>
      <c r="X83" s="1047"/>
      <c r="Y83" s="748"/>
      <c r="Z83" s="1047"/>
      <c r="AA83" s="748"/>
      <c r="AB83" s="1047"/>
      <c r="AC83" s="748"/>
      <c r="AD83" s="1047"/>
      <c r="AE83" s="748"/>
      <c r="AF83" s="1047"/>
      <c r="AG83" s="748"/>
      <c r="AH83" s="1047"/>
      <c r="AI83" s="748"/>
      <c r="AJ83" s="1047"/>
      <c r="AK83" s="748"/>
      <c r="AL83" s="1047"/>
      <c r="AM83" s="313"/>
      <c r="AZ83" s="782">
        <v>0</v>
      </c>
    </row>
    <row s="1659" customFormat="1" customHeight="1" ht="11.25" hidden="1">
      <c r="A84" s="2416"/>
      <c r="B84" s="535"/>
      <c r="D84" s="689" t="s">
        <v>1015</v>
      </c>
      <c r="E84" s="747" t="s">
        <v>1016</v>
      </c>
      <c r="F84" s="684" t="s">
        <v>956</v>
      </c>
      <c r="G84" s="748"/>
      <c r="H84" s="1047"/>
      <c r="I84" s="748"/>
      <c r="J84" s="1047"/>
      <c r="K84" s="748"/>
      <c r="L84" s="1047"/>
      <c r="M84" s="748"/>
      <c r="N84" s="1047"/>
      <c r="O84" s="748"/>
      <c r="P84" s="1047"/>
      <c r="Q84" s="748"/>
      <c r="R84" s="1047"/>
      <c r="S84" s="748"/>
      <c r="T84" s="1047"/>
      <c r="U84" s="748"/>
      <c r="V84" s="1047"/>
      <c r="W84" s="748"/>
      <c r="X84" s="1047"/>
      <c r="Y84" s="748"/>
      <c r="Z84" s="1047"/>
      <c r="AA84" s="748"/>
      <c r="AB84" s="1047"/>
      <c r="AC84" s="748"/>
      <c r="AD84" s="1047"/>
      <c r="AE84" s="748"/>
      <c r="AF84" s="1047"/>
      <c r="AG84" s="748"/>
      <c r="AH84" s="1047"/>
      <c r="AI84" s="748"/>
      <c r="AJ84" s="1047"/>
      <c r="AK84" s="748"/>
      <c r="AL84" s="1047"/>
      <c r="AM84" s="313"/>
      <c r="AZ84" s="782">
        <v>0</v>
      </c>
    </row>
    <row s="1659" customFormat="1" customHeight="1" ht="11.25" hidden="1">
      <c r="A85" s="2416"/>
      <c r="B85" s="535"/>
      <c r="D85" s="689" t="s">
        <v>1017</v>
      </c>
      <c r="E85" s="747" t="s">
        <v>1018</v>
      </c>
      <c r="F85" s="684" t="s">
        <v>956</v>
      </c>
      <c r="G85" s="748"/>
      <c r="H85" s="1047"/>
      <c r="I85" s="748"/>
      <c r="J85" s="1047"/>
      <c r="K85" s="748"/>
      <c r="L85" s="1047"/>
      <c r="M85" s="748"/>
      <c r="N85" s="1047"/>
      <c r="O85" s="748"/>
      <c r="P85" s="1047"/>
      <c r="Q85" s="748"/>
      <c r="R85" s="1047"/>
      <c r="S85" s="748"/>
      <c r="T85" s="1047"/>
      <c r="U85" s="748"/>
      <c r="V85" s="1047"/>
      <c r="W85" s="748"/>
      <c r="X85" s="1047"/>
      <c r="Y85" s="748"/>
      <c r="Z85" s="1047"/>
      <c r="AA85" s="748"/>
      <c r="AB85" s="1047"/>
      <c r="AC85" s="748"/>
      <c r="AD85" s="1047"/>
      <c r="AE85" s="748"/>
      <c r="AF85" s="1047"/>
      <c r="AG85" s="748"/>
      <c r="AH85" s="1047"/>
      <c r="AI85" s="748"/>
      <c r="AJ85" s="1047"/>
      <c r="AK85" s="748"/>
      <c r="AL85" s="1047"/>
      <c r="AM85" s="313"/>
      <c r="AZ85" s="782">
        <v>0</v>
      </c>
    </row>
    <row s="1659" customFormat="1" customHeight="1" ht="11.25" hidden="1">
      <c r="A86" s="2416"/>
      <c r="B86" s="535"/>
      <c r="D86" s="689" t="s">
        <v>1019</v>
      </c>
      <c r="E86" s="747" t="s">
        <v>1020</v>
      </c>
      <c r="F86" s="684" t="s">
        <v>956</v>
      </c>
      <c r="G86" s="748"/>
      <c r="H86" s="1047"/>
      <c r="I86" s="748"/>
      <c r="J86" s="1047"/>
      <c r="K86" s="748"/>
      <c r="L86" s="1047"/>
      <c r="M86" s="748"/>
      <c r="N86" s="1047"/>
      <c r="O86" s="748"/>
      <c r="P86" s="1047"/>
      <c r="Q86" s="748"/>
      <c r="R86" s="1047"/>
      <c r="S86" s="748"/>
      <c r="T86" s="1047"/>
      <c r="U86" s="748"/>
      <c r="V86" s="1047"/>
      <c r="W86" s="748"/>
      <c r="X86" s="1047"/>
      <c r="Y86" s="748"/>
      <c r="Z86" s="1047"/>
      <c r="AA86" s="748"/>
      <c r="AB86" s="1047"/>
      <c r="AC86" s="748"/>
      <c r="AD86" s="1047"/>
      <c r="AE86" s="748"/>
      <c r="AF86" s="1047"/>
      <c r="AG86" s="748"/>
      <c r="AH86" s="1047"/>
      <c r="AI86" s="748"/>
      <c r="AJ86" s="1047"/>
      <c r="AK86" s="748"/>
      <c r="AL86" s="1047"/>
      <c r="AM86" s="313"/>
      <c r="AZ86" s="782">
        <v>0</v>
      </c>
    </row>
    <row s="1659" customFormat="1" customHeight="1" ht="45" hidden="1">
      <c r="A87" s="2416"/>
      <c r="B87" s="535"/>
      <c r="D87" s="689" t="s">
        <v>91</v>
      </c>
      <c r="E87" s="690" t="s">
        <v>1021</v>
      </c>
      <c r="F87" s="684" t="s">
        <v>956</v>
      </c>
      <c r="G87" s="748"/>
      <c r="H87" s="1047"/>
      <c r="I87" s="748"/>
      <c r="J87" s="1047"/>
      <c r="K87" s="748"/>
      <c r="L87" s="1047"/>
      <c r="M87" s="748"/>
      <c r="N87" s="1047"/>
      <c r="O87" s="748"/>
      <c r="P87" s="1047"/>
      <c r="Q87" s="748"/>
      <c r="R87" s="1047"/>
      <c r="S87" s="748"/>
      <c r="T87" s="1047"/>
      <c r="U87" s="748"/>
      <c r="V87" s="1047"/>
      <c r="W87" s="748"/>
      <c r="X87" s="1047"/>
      <c r="Y87" s="748"/>
      <c r="Z87" s="1047"/>
      <c r="AA87" s="748"/>
      <c r="AB87" s="1047"/>
      <c r="AC87" s="748"/>
      <c r="AD87" s="1047"/>
      <c r="AE87" s="748"/>
      <c r="AF87" s="1047"/>
      <c r="AG87" s="748"/>
      <c r="AH87" s="1047"/>
      <c r="AI87" s="748"/>
      <c r="AJ87" s="1047"/>
      <c r="AK87" s="748"/>
      <c r="AL87" s="1047"/>
      <c r="AM87" s="313" t="s">
        <v>1022</v>
      </c>
      <c r="AZ87" s="782">
        <v>0</v>
      </c>
    </row>
    <row s="1659" customFormat="1" customHeight="1" ht="11.25" hidden="1">
      <c r="A88" s="2416"/>
      <c r="B88" s="535"/>
      <c r="D88" s="689" t="s">
        <v>851</v>
      </c>
      <c r="E88" s="747" t="s">
        <v>1011</v>
      </c>
      <c r="F88" s="684" t="s">
        <v>956</v>
      </c>
      <c r="G88" s="748"/>
      <c r="H88" s="1047"/>
      <c r="I88" s="748"/>
      <c r="J88" s="1047"/>
      <c r="K88" s="748"/>
      <c r="L88" s="1047"/>
      <c r="M88" s="748"/>
      <c r="N88" s="1047"/>
      <c r="O88" s="748"/>
      <c r="P88" s="1047"/>
      <c r="Q88" s="748"/>
      <c r="R88" s="1047"/>
      <c r="S88" s="748"/>
      <c r="T88" s="1047"/>
      <c r="U88" s="748"/>
      <c r="V88" s="1047"/>
      <c r="W88" s="748"/>
      <c r="X88" s="1047"/>
      <c r="Y88" s="748"/>
      <c r="Z88" s="1047"/>
      <c r="AA88" s="748"/>
      <c r="AB88" s="1047"/>
      <c r="AC88" s="748"/>
      <c r="AD88" s="1047"/>
      <c r="AE88" s="748"/>
      <c r="AF88" s="1047"/>
      <c r="AG88" s="748"/>
      <c r="AH88" s="1047"/>
      <c r="AI88" s="748"/>
      <c r="AJ88" s="1047"/>
      <c r="AK88" s="748"/>
      <c r="AL88" s="1047"/>
      <c r="AM88" s="313"/>
      <c r="AZ88" s="782">
        <v>0</v>
      </c>
    </row>
    <row s="1659" customFormat="1" customHeight="1" ht="11.25" hidden="1">
      <c r="A89" s="2416"/>
      <c r="B89" s="535"/>
      <c r="D89" s="689" t="s">
        <v>893</v>
      </c>
      <c r="E89" s="747" t="s">
        <v>1012</v>
      </c>
      <c r="F89" s="684" t="s">
        <v>956</v>
      </c>
      <c r="G89" s="748"/>
      <c r="H89" s="1047"/>
      <c r="I89" s="748"/>
      <c r="J89" s="1047"/>
      <c r="K89" s="748"/>
      <c r="L89" s="1047"/>
      <c r="M89" s="748"/>
      <c r="N89" s="1047"/>
      <c r="O89" s="748"/>
      <c r="P89" s="1047"/>
      <c r="Q89" s="748"/>
      <c r="R89" s="1047"/>
      <c r="S89" s="748"/>
      <c r="T89" s="1047"/>
      <c r="U89" s="748"/>
      <c r="V89" s="1047"/>
      <c r="W89" s="748"/>
      <c r="X89" s="1047"/>
      <c r="Y89" s="748"/>
      <c r="Z89" s="1047"/>
      <c r="AA89" s="748"/>
      <c r="AB89" s="1047"/>
      <c r="AC89" s="748"/>
      <c r="AD89" s="1047"/>
      <c r="AE89" s="748"/>
      <c r="AF89" s="1047"/>
      <c r="AG89" s="748"/>
      <c r="AH89" s="1047"/>
      <c r="AI89" s="748"/>
      <c r="AJ89" s="1047"/>
      <c r="AK89" s="748"/>
      <c r="AL89" s="1047"/>
      <c r="AM89" s="313"/>
      <c r="AZ89" s="782">
        <v>0</v>
      </c>
    </row>
    <row s="1659" customFormat="1" customHeight="1" ht="11.25" hidden="1">
      <c r="A90" s="2416"/>
      <c r="B90" s="535"/>
      <c r="D90" s="689" t="s">
        <v>896</v>
      </c>
      <c r="E90" s="747" t="s">
        <v>1013</v>
      </c>
      <c r="F90" s="684" t="s">
        <v>956</v>
      </c>
      <c r="G90" s="748"/>
      <c r="H90" s="1047"/>
      <c r="I90" s="748"/>
      <c r="J90" s="1047"/>
      <c r="K90" s="748"/>
      <c r="L90" s="1047"/>
      <c r="M90" s="748"/>
      <c r="N90" s="1047"/>
      <c r="O90" s="748"/>
      <c r="P90" s="1047"/>
      <c r="Q90" s="748"/>
      <c r="R90" s="1047"/>
      <c r="S90" s="748"/>
      <c r="T90" s="1047"/>
      <c r="U90" s="748"/>
      <c r="V90" s="1047"/>
      <c r="W90" s="748"/>
      <c r="X90" s="1047"/>
      <c r="Y90" s="748"/>
      <c r="Z90" s="1047"/>
      <c r="AA90" s="748"/>
      <c r="AB90" s="1047"/>
      <c r="AC90" s="748"/>
      <c r="AD90" s="1047"/>
      <c r="AE90" s="748"/>
      <c r="AF90" s="1047"/>
      <c r="AG90" s="748"/>
      <c r="AH90" s="1047"/>
      <c r="AI90" s="748"/>
      <c r="AJ90" s="1047"/>
      <c r="AK90" s="748"/>
      <c r="AL90" s="1047"/>
      <c r="AM90" s="313"/>
      <c r="AZ90" s="782">
        <v>0</v>
      </c>
    </row>
    <row s="1659" customFormat="1" customHeight="1" ht="11.25" hidden="1">
      <c r="A91" s="2416"/>
      <c r="B91" s="535"/>
      <c r="D91" s="689" t="s">
        <v>974</v>
      </c>
      <c r="E91" s="747" t="s">
        <v>1014</v>
      </c>
      <c r="F91" s="684" t="s">
        <v>956</v>
      </c>
      <c r="G91" s="748"/>
      <c r="H91" s="1047"/>
      <c r="I91" s="748"/>
      <c r="J91" s="1047"/>
      <c r="K91" s="748"/>
      <c r="L91" s="1047"/>
      <c r="M91" s="748"/>
      <c r="N91" s="1047"/>
      <c r="O91" s="748"/>
      <c r="P91" s="1047"/>
      <c r="Q91" s="748"/>
      <c r="R91" s="1047"/>
      <c r="S91" s="748"/>
      <c r="T91" s="1047"/>
      <c r="U91" s="748"/>
      <c r="V91" s="1047"/>
      <c r="W91" s="748"/>
      <c r="X91" s="1047"/>
      <c r="Y91" s="748"/>
      <c r="Z91" s="1047"/>
      <c r="AA91" s="748"/>
      <c r="AB91" s="1047"/>
      <c r="AC91" s="748"/>
      <c r="AD91" s="1047"/>
      <c r="AE91" s="748"/>
      <c r="AF91" s="1047"/>
      <c r="AG91" s="748"/>
      <c r="AH91" s="1047"/>
      <c r="AI91" s="748"/>
      <c r="AJ91" s="1047"/>
      <c r="AK91" s="748"/>
      <c r="AL91" s="1047"/>
      <c r="AM91" s="313"/>
      <c r="AZ91" s="782">
        <v>0</v>
      </c>
    </row>
    <row s="1659" customFormat="1" customHeight="1" ht="11.25" hidden="1">
      <c r="A92" s="2416"/>
      <c r="B92" s="535"/>
      <c r="D92" s="689" t="s">
        <v>976</v>
      </c>
      <c r="E92" s="747" t="s">
        <v>1016</v>
      </c>
      <c r="F92" s="684" t="s">
        <v>956</v>
      </c>
      <c r="G92" s="748"/>
      <c r="H92" s="1047"/>
      <c r="I92" s="748"/>
      <c r="J92" s="1047"/>
      <c r="K92" s="748"/>
      <c r="L92" s="1047"/>
      <c r="M92" s="748"/>
      <c r="N92" s="1047"/>
      <c r="O92" s="748"/>
      <c r="P92" s="1047"/>
      <c r="Q92" s="748"/>
      <c r="R92" s="1047"/>
      <c r="S92" s="748"/>
      <c r="T92" s="1047"/>
      <c r="U92" s="748"/>
      <c r="V92" s="1047"/>
      <c r="W92" s="748"/>
      <c r="X92" s="1047"/>
      <c r="Y92" s="748"/>
      <c r="Z92" s="1047"/>
      <c r="AA92" s="748"/>
      <c r="AB92" s="1047"/>
      <c r="AC92" s="748"/>
      <c r="AD92" s="1047"/>
      <c r="AE92" s="748"/>
      <c r="AF92" s="1047"/>
      <c r="AG92" s="748"/>
      <c r="AH92" s="1047"/>
      <c r="AI92" s="748"/>
      <c r="AJ92" s="1047"/>
      <c r="AK92" s="748"/>
      <c r="AL92" s="1047"/>
      <c r="AM92" s="313"/>
      <c r="AZ92" s="782">
        <v>0</v>
      </c>
    </row>
    <row s="1659" customFormat="1" customHeight="1" ht="11.25" hidden="1">
      <c r="A93" s="2416"/>
      <c r="B93" s="535"/>
      <c r="D93" s="689" t="s">
        <v>1023</v>
      </c>
      <c r="E93" s="747" t="s">
        <v>1018</v>
      </c>
      <c r="F93" s="684" t="s">
        <v>956</v>
      </c>
      <c r="G93" s="748"/>
      <c r="H93" s="1047"/>
      <c r="I93" s="748"/>
      <c r="J93" s="1047"/>
      <c r="K93" s="748"/>
      <c r="L93" s="1047"/>
      <c r="M93" s="748"/>
      <c r="N93" s="1047"/>
      <c r="O93" s="748"/>
      <c r="P93" s="1047"/>
      <c r="Q93" s="748"/>
      <c r="R93" s="1047"/>
      <c r="S93" s="748"/>
      <c r="T93" s="1047"/>
      <c r="U93" s="748"/>
      <c r="V93" s="1047"/>
      <c r="W93" s="748"/>
      <c r="X93" s="1047"/>
      <c r="Y93" s="748"/>
      <c r="Z93" s="1047"/>
      <c r="AA93" s="748"/>
      <c r="AB93" s="1047"/>
      <c r="AC93" s="748"/>
      <c r="AD93" s="1047"/>
      <c r="AE93" s="748"/>
      <c r="AF93" s="1047"/>
      <c r="AG93" s="748"/>
      <c r="AH93" s="1047"/>
      <c r="AI93" s="748"/>
      <c r="AJ93" s="1047"/>
      <c r="AK93" s="748"/>
      <c r="AL93" s="1047"/>
      <c r="AM93" s="313"/>
      <c r="AZ93" s="782">
        <v>0</v>
      </c>
    </row>
    <row s="1659" customFormat="1" customHeight="1" ht="11.25" hidden="1">
      <c r="A94" s="2416"/>
      <c r="B94" s="535"/>
      <c r="D94" s="689" t="s">
        <v>1024</v>
      </c>
      <c r="E94" s="747" t="s">
        <v>1020</v>
      </c>
      <c r="F94" s="684" t="s">
        <v>956</v>
      </c>
      <c r="G94" s="748"/>
      <c r="H94" s="1047"/>
      <c r="I94" s="748"/>
      <c r="J94" s="1047"/>
      <c r="K94" s="748"/>
      <c r="L94" s="1047"/>
      <c r="M94" s="748"/>
      <c r="N94" s="1047"/>
      <c r="O94" s="748"/>
      <c r="P94" s="1047"/>
      <c r="Q94" s="748"/>
      <c r="R94" s="1047"/>
      <c r="S94" s="748"/>
      <c r="T94" s="1047"/>
      <c r="U94" s="748"/>
      <c r="V94" s="1047"/>
      <c r="W94" s="748"/>
      <c r="X94" s="1047"/>
      <c r="Y94" s="748"/>
      <c r="Z94" s="1047"/>
      <c r="AA94" s="748"/>
      <c r="AB94" s="1047"/>
      <c r="AC94" s="748"/>
      <c r="AD94" s="1047"/>
      <c r="AE94" s="748"/>
      <c r="AF94" s="1047"/>
      <c r="AG94" s="748"/>
      <c r="AH94" s="1047"/>
      <c r="AI94" s="748"/>
      <c r="AJ94" s="1047"/>
      <c r="AK94" s="748"/>
      <c r="AL94" s="1047"/>
      <c r="AM94" s="313"/>
      <c r="AZ94" s="782">
        <v>0</v>
      </c>
    </row>
    <row s="1659" customFormat="1" customHeight="1" ht="24.75" hidden="1">
      <c r="A95" s="2416"/>
      <c r="B95" s="535"/>
      <c r="D95" s="689" t="s">
        <v>119</v>
      </c>
      <c r="E95" s="690" t="s">
        <v>1025</v>
      </c>
      <c r="F95" s="749" t="s">
        <v>642</v>
      </c>
      <c r="G95" s="751"/>
      <c r="H95" s="1047"/>
      <c r="I95" s="751"/>
      <c r="J95" s="1047"/>
      <c r="K95" s="751"/>
      <c r="L95" s="1047"/>
      <c r="M95" s="751"/>
      <c r="N95" s="1047"/>
      <c r="O95" s="751"/>
      <c r="P95" s="1047"/>
      <c r="Q95" s="751"/>
      <c r="R95" s="1047"/>
      <c r="S95" s="751"/>
      <c r="T95" s="1047"/>
      <c r="U95" s="751"/>
      <c r="V95" s="1047"/>
      <c r="W95" s="751"/>
      <c r="X95" s="1047"/>
      <c r="Y95" s="751"/>
      <c r="Z95" s="1047"/>
      <c r="AA95" s="751"/>
      <c r="AB95" s="1047"/>
      <c r="AC95" s="751"/>
      <c r="AD95" s="1047"/>
      <c r="AE95" s="751"/>
      <c r="AF95" s="1047"/>
      <c r="AG95" s="751"/>
      <c r="AH95" s="1047"/>
      <c r="AI95" s="751"/>
      <c r="AJ95" s="1047"/>
      <c r="AK95" s="751"/>
      <c r="AL95" s="1047"/>
      <c r="AM95" s="313" t="s">
        <v>1026</v>
      </c>
      <c r="AZ95" s="782">
        <v>0</v>
      </c>
    </row>
    <row s="1659" customFormat="1" customHeight="1" ht="33.75" hidden="1">
      <c r="A96" s="2416"/>
      <c r="B96" s="535"/>
      <c r="D96" s="689" t="s">
        <v>92</v>
      </c>
      <c r="E96" s="690" t="s">
        <v>1027</v>
      </c>
      <c r="F96" s="750" t="s">
        <v>917</v>
      </c>
      <c r="G96" s="752"/>
      <c r="H96" s="1047"/>
      <c r="I96" s="752"/>
      <c r="J96" s="1047"/>
      <c r="K96" s="752"/>
      <c r="L96" s="1047"/>
      <c r="M96" s="752"/>
      <c r="N96" s="1047"/>
      <c r="O96" s="752"/>
      <c r="P96" s="1047"/>
      <c r="Q96" s="752"/>
      <c r="R96" s="1047"/>
      <c r="S96" s="752"/>
      <c r="T96" s="1047"/>
      <c r="U96" s="752"/>
      <c r="V96" s="1047"/>
      <c r="W96" s="752"/>
      <c r="X96" s="1047"/>
      <c r="Y96" s="752"/>
      <c r="Z96" s="1047"/>
      <c r="AA96" s="752"/>
      <c r="AB96" s="1047"/>
      <c r="AC96" s="752"/>
      <c r="AD96" s="1047"/>
      <c r="AE96" s="752"/>
      <c r="AF96" s="1047"/>
      <c r="AG96" s="752"/>
      <c r="AH96" s="1047"/>
      <c r="AI96" s="752"/>
      <c r="AJ96" s="1047"/>
      <c r="AK96" s="752"/>
      <c r="AL96" s="1047"/>
      <c r="AM96" s="313"/>
      <c r="AZ96" s="782">
        <v>0</v>
      </c>
    </row>
    <row s="1659" customFormat="1" customHeight="1" ht="22.5" hidden="1">
      <c r="A97" s="2416"/>
      <c r="B97" s="535" t="s">
        <v>672</v>
      </c>
      <c r="D97" s="689" t="s">
        <v>93</v>
      </c>
      <c r="E97" s="690" t="s">
        <v>1028</v>
      </c>
      <c r="F97" s="750" t="s">
        <v>390</v>
      </c>
      <c r="G97" s="409"/>
      <c r="H97" s="1047"/>
      <c r="I97" s="409"/>
      <c r="J97" s="1047"/>
      <c r="K97" s="409"/>
      <c r="L97" s="1047"/>
      <c r="M97" s="409"/>
      <c r="N97" s="1047"/>
      <c r="O97" s="409"/>
      <c r="P97" s="1047"/>
      <c r="Q97" s="409"/>
      <c r="R97" s="1047"/>
      <c r="S97" s="409"/>
      <c r="T97" s="1047"/>
      <c r="U97" s="409"/>
      <c r="V97" s="1047"/>
      <c r="W97" s="409"/>
      <c r="X97" s="1047"/>
      <c r="Y97" s="409"/>
      <c r="Z97" s="1047"/>
      <c r="AA97" s="409"/>
      <c r="AB97" s="1047"/>
      <c r="AC97" s="409"/>
      <c r="AD97" s="1047"/>
      <c r="AE97" s="409"/>
      <c r="AF97" s="1047"/>
      <c r="AG97" s="409"/>
      <c r="AH97" s="1047"/>
      <c r="AI97" s="409"/>
      <c r="AJ97" s="1047"/>
      <c r="AK97" s="409"/>
      <c r="AL97" s="1047"/>
      <c r="AM97" s="313" t="s">
        <v>729</v>
      </c>
      <c r="AZ97" s="782">
        <v>0</v>
      </c>
    </row>
    <row s="1659" customFormat="1" customHeight="1" ht="45" hidden="1">
      <c r="A98" s="2416"/>
      <c r="B98" s="535" t="s">
        <v>672</v>
      </c>
      <c r="D98" s="689" t="s">
        <v>1029</v>
      </c>
      <c r="E98" s="691" t="s">
        <v>1030</v>
      </c>
      <c r="F98" s="745" t="s">
        <v>390</v>
      </c>
      <c r="G98" s="409"/>
      <c r="H98" s="1047"/>
      <c r="I98" s="409"/>
      <c r="J98" s="1047"/>
      <c r="K98" s="409"/>
      <c r="L98" s="1047"/>
      <c r="M98" s="409"/>
      <c r="N98" s="1047"/>
      <c r="O98" s="409"/>
      <c r="P98" s="1047"/>
      <c r="Q98" s="409"/>
      <c r="R98" s="1047"/>
      <c r="S98" s="409"/>
      <c r="T98" s="1047"/>
      <c r="U98" s="409"/>
      <c r="V98" s="1047"/>
      <c r="W98" s="409"/>
      <c r="X98" s="1047"/>
      <c r="Y98" s="409"/>
      <c r="Z98" s="1047"/>
      <c r="AA98" s="409"/>
      <c r="AB98" s="1047"/>
      <c r="AC98" s="409"/>
      <c r="AD98" s="1047"/>
      <c r="AE98" s="409"/>
      <c r="AF98" s="1047"/>
      <c r="AG98" s="409"/>
      <c r="AH98" s="1047"/>
      <c r="AI98" s="409"/>
      <c r="AJ98" s="1047"/>
      <c r="AK98" s="409"/>
      <c r="AL98" s="1047"/>
      <c r="AM98" s="313" t="s">
        <v>729</v>
      </c>
      <c r="AZ98" s="782">
        <v>0</v>
      </c>
    </row>
    <row s="1659" customFormat="1" customHeight="1" ht="95.25" hidden="1">
      <c r="A99" s="2416"/>
      <c r="B99" s="535" t="s">
        <v>672</v>
      </c>
      <c r="D99" s="689" t="s">
        <v>143</v>
      </c>
      <c r="E99" s="690" t="s">
        <v>1031</v>
      </c>
      <c r="F99" s="745" t="s">
        <v>390</v>
      </c>
      <c r="G99" s="409"/>
      <c r="H99" s="1047"/>
      <c r="I99" s="409"/>
      <c r="J99" s="1047"/>
      <c r="K99" s="409"/>
      <c r="L99" s="1047"/>
      <c r="M99" s="409"/>
      <c r="N99" s="1047"/>
      <c r="O99" s="409"/>
      <c r="P99" s="1047"/>
      <c r="Q99" s="409"/>
      <c r="R99" s="1047"/>
      <c r="S99" s="409"/>
      <c r="T99" s="1047"/>
      <c r="U99" s="409"/>
      <c r="V99" s="1047"/>
      <c r="W99" s="409"/>
      <c r="X99" s="1047"/>
      <c r="Y99" s="409"/>
      <c r="Z99" s="1047"/>
      <c r="AA99" s="409"/>
      <c r="AB99" s="1047"/>
      <c r="AC99" s="409"/>
      <c r="AD99" s="1047"/>
      <c r="AE99" s="409"/>
      <c r="AF99" s="1047"/>
      <c r="AG99" s="409"/>
      <c r="AH99" s="1047"/>
      <c r="AI99" s="409"/>
      <c r="AJ99" s="1047"/>
      <c r="AK99" s="409"/>
      <c r="AL99" s="1047"/>
      <c r="AM99" s="313" t="s">
        <v>729</v>
      </c>
      <c r="AZ99" s="782">
        <v>0</v>
      </c>
    </row>
    <row s="1659" customFormat="1" customHeight="1" ht="22.5" hidden="1">
      <c r="A100" s="2416"/>
      <c r="B100" s="535" t="s">
        <v>672</v>
      </c>
      <c r="D100" s="689" t="s">
        <v>145</v>
      </c>
      <c r="E100" s="690" t="s">
        <v>1032</v>
      </c>
      <c r="F100" s="745" t="s">
        <v>390</v>
      </c>
      <c r="G100" s="409"/>
      <c r="H100" s="1047"/>
      <c r="I100" s="409"/>
      <c r="J100" s="1047"/>
      <c r="K100" s="409"/>
      <c r="L100" s="1047"/>
      <c r="M100" s="409"/>
      <c r="N100" s="1047"/>
      <c r="O100" s="409"/>
      <c r="P100" s="1047"/>
      <c r="Q100" s="409"/>
      <c r="R100" s="1047"/>
      <c r="S100" s="409"/>
      <c r="T100" s="1047"/>
      <c r="U100" s="409"/>
      <c r="V100" s="1047"/>
      <c r="W100" s="409"/>
      <c r="X100" s="1047"/>
      <c r="Y100" s="409"/>
      <c r="Z100" s="1047"/>
      <c r="AA100" s="409"/>
      <c r="AB100" s="1047"/>
      <c r="AC100" s="409"/>
      <c r="AD100" s="1047"/>
      <c r="AE100" s="409"/>
      <c r="AF100" s="1047"/>
      <c r="AG100" s="409"/>
      <c r="AH100" s="1047"/>
      <c r="AI100" s="409"/>
      <c r="AJ100" s="1047"/>
      <c r="AK100" s="409"/>
      <c r="AL100" s="1047"/>
      <c r="AM100" s="313" t="s">
        <v>729</v>
      </c>
      <c r="AZ100" s="782">
        <v>0</v>
      </c>
    </row>
    <row s="1659" customFormat="1" customHeight="1" ht="11.549999999999999">
      <c r="A101" s="1057"/>
      <c r="B101" s="542"/>
      <c r="D101" s="1058"/>
      <c r="E101" s="1059"/>
      <c r="K101" s="1659"/>
      <c r="L101" s="1659"/>
      <c r="M101" s="1659"/>
      <c r="N101" s="1659"/>
      <c r="O101" s="1659"/>
      <c r="P101" s="1659"/>
      <c r="Q101" s="1659"/>
      <c r="R101" s="1659"/>
      <c r="S101" s="1659"/>
      <c r="T101" s="1659"/>
      <c r="U101" s="1659"/>
      <c r="V101" s="1659"/>
      <c r="W101" s="1659"/>
      <c r="X101" s="1659"/>
      <c r="Y101" s="1659"/>
      <c r="Z101" s="1659"/>
      <c r="AA101" s="1659"/>
      <c r="AB101" s="1659"/>
      <c r="AC101" s="1659"/>
      <c r="AD101" s="1659"/>
      <c r="AE101" s="1659"/>
      <c r="AF101" s="1659"/>
      <c r="AG101" s="1659"/>
      <c r="AH101" s="1659"/>
      <c r="AI101" s="1659"/>
      <c r="AJ101" s="1659"/>
      <c r="AK101" s="1659"/>
      <c r="AL101" s="1659"/>
      <c r="AZ101" s="533">
        <v>11</v>
      </c>
    </row>
    <row customHeight="1" ht="22.5" hidden="1">
      <c r="A102" s="560" t="s">
        <v>82</v>
      </c>
      <c r="B102" s="535">
        <v>0</v>
      </c>
      <c r="C102" s="529">
        <v>3</v>
      </c>
      <c r="D102" s="529">
        <v>7</v>
      </c>
      <c r="E102" s="529">
        <v>69</v>
      </c>
      <c r="F102" s="529">
        <v>10</v>
      </c>
      <c r="G102" s="529">
        <v>0</v>
      </c>
      <c r="H102" s="529">
        <v>0</v>
      </c>
      <c r="I102" s="782">
        <v>43</v>
      </c>
      <c r="J102" s="782">
        <v>43</v>
      </c>
      <c r="K102" s="1659">
        <v>0</v>
      </c>
      <c r="L102" s="1659">
        <v>0</v>
      </c>
      <c r="M102" s="1659">
        <v>0</v>
      </c>
      <c r="N102" s="1659">
        <v>0</v>
      </c>
      <c r="O102" s="1659">
        <v>0</v>
      </c>
      <c r="P102" s="1659">
        <v>0</v>
      </c>
      <c r="Q102" s="1659">
        <v>0</v>
      </c>
      <c r="R102" s="1659">
        <v>0</v>
      </c>
      <c r="S102" s="1659">
        <v>0</v>
      </c>
      <c r="T102" s="1659">
        <v>0</v>
      </c>
      <c r="U102" s="1659">
        <v>0</v>
      </c>
      <c r="V102" s="1659">
        <v>0</v>
      </c>
      <c r="W102" s="1659">
        <v>0</v>
      </c>
      <c r="X102" s="1659">
        <v>0</v>
      </c>
      <c r="Y102" s="1659">
        <v>0</v>
      </c>
      <c r="Z102" s="1659">
        <v>0</v>
      </c>
      <c r="AA102" s="1659">
        <v>0</v>
      </c>
      <c r="AB102" s="1659">
        <v>0</v>
      </c>
      <c r="AC102" s="1659">
        <v>0</v>
      </c>
      <c r="AD102" s="1659">
        <v>0</v>
      </c>
      <c r="AE102" s="1659">
        <v>0</v>
      </c>
      <c r="AF102" s="1659">
        <v>0</v>
      </c>
      <c r="AG102" s="1659">
        <v>0</v>
      </c>
      <c r="AH102" s="1659">
        <v>0</v>
      </c>
      <c r="AI102" s="1659">
        <v>0</v>
      </c>
      <c r="AJ102" s="1659">
        <v>0</v>
      </c>
      <c r="AK102" s="1659">
        <v>0</v>
      </c>
      <c r="AL102" s="1659">
        <v>0</v>
      </c>
      <c r="AM102" s="529">
        <v>73</v>
      </c>
      <c r="AN102" s="529">
        <v>3</v>
      </c>
      <c r="AO102" s="529">
        <v>10</v>
      </c>
      <c r="AP102" s="529">
        <v>10</v>
      </c>
      <c r="AQ102" s="529">
        <v>10</v>
      </c>
      <c r="AR102" s="529">
        <v>10</v>
      </c>
      <c r="AS102" s="529">
        <v>10</v>
      </c>
      <c r="AT102" s="529">
        <v>10</v>
      </c>
      <c r="AU102" s="529">
        <v>10</v>
      </c>
      <c r="AV102" s="529">
        <v>10</v>
      </c>
      <c r="AW102" s="529">
        <v>10</v>
      </c>
      <c r="AX102" s="529">
        <v>10</v>
      </c>
      <c r="AY102" s="529">
        <v>10</v>
      </c>
      <c r="AZ102" s="529">
        <v>23</v>
      </c>
    </row>
  </sheetData>
  <sheetProtection sheet="1" formatColumns="0" formatRows="0" autoFilter="0" sort="1" insertRows="1" insertColumns="1" deleteRows="1" deleteColumns="1"/>
  <mergeCells count="60">
    <mergeCell ref="D3:F3"/>
    <mergeCell ref="AM7:A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 ref="W7:X7"/>
    <mergeCell ref="W8:X8"/>
    <mergeCell ref="W9:X9"/>
    <mergeCell ref="Y7:Z7"/>
    <mergeCell ref="Y8:Z8"/>
    <mergeCell ref="Y9:Z9"/>
    <mergeCell ref="AA7:AB7"/>
    <mergeCell ref="AA8:AB8"/>
    <mergeCell ref="AA9:AB9"/>
    <mergeCell ref="AC7:AD7"/>
    <mergeCell ref="AC8:AD8"/>
    <mergeCell ref="AC9:AD9"/>
    <mergeCell ref="AE7:AF7"/>
    <mergeCell ref="AE8:AF8"/>
    <mergeCell ref="AE9:AF9"/>
    <mergeCell ref="AG7:AH7"/>
    <mergeCell ref="AG8:AH8"/>
    <mergeCell ref="AG9:AH9"/>
    <mergeCell ref="AI7:AJ7"/>
    <mergeCell ref="AI8:AJ8"/>
    <mergeCell ref="AI9:AJ9"/>
    <mergeCell ref="AK7:AL7"/>
    <mergeCell ref="AK8:AL8"/>
    <mergeCell ref="AK9:A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W19 Y19 AA19 AC19 AE19 AG19 AI19 AK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W31 W42 W43 W60 W69 W70 W72 W95 Y31 Y42 Y43 Y60 Y69 Y70 Y72 Y95 AA31 AA42 AA43 AA60 AA69 AA70 AA72 AA95 AC31 AC42 AC43 AC60 AC69 AC70 AC72 AC95 AE31 AE42 AE43 AE60 AE69 AE70 AE72 AE95 AG31 AG42 AG43 AG60 AG69 AG70 AG72 AG95 AI31 AI42 AI43 AI60 AI69 AI70 AI72 AI95 AK31 AK42 AK43 AK60 AK69 AK70 AK72 AK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X31:X32 Z31:Z32 AB31:AB32 AD31:AD32 AF31:AF32 AH31:AH32 AJ31:AJ32 AL31:AL32 G62:G63 G74:G75 G97:G100 I62:I63 I74:I75 I97:I100 H13:H14 H19 J19 L19 N19 P19 R19 T19 V19 X19 Z19 AB19 AD19 AF19 AH19 AJ19 AL19 J13:J14 L13:L14 N13:N14 P13:P14 R13:R14 T13:T14 V13:V14 X13:X14 Z13:Z14 AB13:AB14 AD13:AD14 AF13:AF14 AH13:AH14 AJ13:AJ14 AL13:AL14 K62 K63 K74 K75 K97 K98 K99 K100 M62 M63 M74 M75 M97 M98 M99 M100 O62 O63 O74 O75 O97 O98 O99 O100 Q62 Q63 Q74 Q75 Q97 Q98 Q99 Q100 S62 S63 S74 S75 S97 S98 S99 S100 U62 U63 U74 U75 U97 U98 U99 U100 W62 W63 W74 W75 W97 W98 W99 W100 Y62 Y63 Y74 Y75 Y97 Y98 Y99 Y100 AA62 AA63 AA74 AA75 AA97 AA98 AA99 AA100 AC62 AC63 AC74 AC75 AC97 AC98 AC99 AC100 AE62 AE63 AE74 AE75 AE97 AE98 AE99 AE100 AG62 AG63 AG74 AG75 AG97 AG98 AG99 AG100 AI62 AI63 AI74 AI75 AI97 AI98 AI99 AI100 AK62 AK63 AK74 AK75 AK97 AK98 AK99 AK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W13 W14 W18 W21 W22 W24 W26 W27 W29 W30 W32 W37 W39 W40 W44 W45 W46 W47 W48 W49 W50 W51 W52 W53 W54 W55 W56 W57 W58 W59 W61 W65 W67 W68 W71 W73 W77 W78 W79 W80 W81 W82 W83 W84 W85 W86 W87 W88 W89 W90 W91 W92 W93 W94 W96 Y13 Y14 Y18 Y21 Y22 Y24 Y26 Y27 Y29 Y30 Y32 Y37 Y39 Y40 Y44 Y45 Y46 Y47 Y48 Y49 Y50 Y51 Y52 Y53 Y54 Y55 Y56 Y57 Y58 Y59 Y61 Y65 Y67 Y68 Y71 Y73 Y77 Y78 Y79 Y80 Y81 Y82 Y83 Y84 Y85 Y86 Y87 Y88 Y89 Y90 Y91 Y92 Y93 Y94 Y96 AA13 AA14 AA18 AA21 AA22 AA24 AA26 AA27 AA29 AA30 AA32 AA37 AA39 AA40 AA44 AA45 AA46 AA47 AA48 AA49 AA50 AA51 AA52 AA53 AA54 AA55 AA56 AA57 AA58 AA59 AA61 AA65 AA67 AA68 AA71 AA73 AA77 AA78 AA79 AA80 AA81 AA82 AA83 AA84 AA85 AA86 AA87 AA88 AA89 AA90 AA91 AA92 AA93 AA94 AA96 AC13 AC14 AC18 AC21 AC22 AC24 AC26 AC27 AC29 AC30 AC32 AC37 AC39 AC40 AC44 AC45 AC46 AC47 AC48 AC49 AC50 AC51 AC52 AC53 AC54 AC55 AC56 AC57 AC58 AC59 AC61 AC65 AC67 AC68 AC71 AC73 AC77 AC78 AC79 AC80 AC81 AC82 AC83 AC84 AC85 AC86 AC87 AC88 AC89 AC90 AC91 AC92 AC93 AC94 AC96 AE13 AE14 AE18 AE21 AE22 AE24 AE26 AE27 AE29 AE30 AE32 AE37 AE39 AE40 AE44 AE45 AE46 AE47 AE48 AE49 AE50 AE51 AE52 AE53 AE54 AE55 AE56 AE57 AE58 AE59 AE61 AE65 AE67 AE68 AE71 AE73 AE77 AE78 AE79 AE80 AE81 AE82 AE83 AE84 AE85 AE86 AE87 AE88 AE89 AE90 AE91 AE92 AE93 AE94 AE96 AG13 AG14 AG18 AG21 AG22 AG24 AG26 AG27 AG29 AG30 AG32 AG37 AG39 AG40 AG44 AG45 AG46 AG47 AG48 AG49 AG50 AG51 AG52 AG53 AG54 AG55 AG56 AG57 AG58 AG59 AG61 AG65 AG67 AG68 AG71 AG73 AG77 AG78 AG79 AG80 AG81 AG82 AG83 AG84 AG85 AG86 AG87 AG88 AG89 AG90 AG91 AG92 AG93 AG94 AG96 AI13 AI14 AI18 AI21 AI22 AI24 AI26 AI27 AI29 AI30 AI32 AI37 AI39 AI40 AI44 AI45 AI46 AI47 AI48 AI49 AI50 AI51 AI52 AI53 AI54 AI55 AI56 AI57 AI58 AI59 AI61 AI65 AI67 AI68 AI71 AI73 AI77 AI78 AI79 AI80 AI81 AI82 AI83 AI84 AI85 AI86 AI87 AI88 AI89 AI90 AI91 AI92 AI93 AI94 AI96 AK13 AK14 AK18 AK21 AK22 AK24 AK26 AK27 AK29 AK30 AK32 AK37 AK39 AK40 AK44 AK45 AK46 AK47 AK48 AK49 AK50 AK51 AK52 AK53 AK54 AK55 AK56 AK57 AK58 AK59 AK61 AK65 AK67 AK68 AK71 AK73 AK77 AK78 AK79 AK80 AK81 AK82 AK83 AK84 AK85 AK86 AK87 AK88 AK89 AK90 AK91 AK92 AK93 AK94 AK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U16 U17 W16 W17 Y16 Y17 AA16 AA17 AC16 AC17 AE16 AE17 AG16 AG17 AI16 AI17 AK16 AK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X26:X27 Z26:Z27 AB26:AB27 AD26:AD27 AF26:AF27 AH26:AH27 AJ26:AJ27 AL26:AL27 J15:J18 L15:L18 N15:N18 P15:P18 R15:R18 T15:T18 V15:V18 X15:X18 Z15:Z18 AB15:AB18 AD15:AD18 AF15:AF18 AH15:AH18 AJ15:AJ18 AL15:AL18 J21:J22 L21:L22 N21:N22 P21:P22 R21:R22 T21:T22 V21:V22 X21:X22 Z21:Z22 AB21:AB22 AD21:AD22 AF21:AF22 AH21:AH22 AJ21:AJ22 AL21:AL22 J29:J30 L29:L30 N29:N30 P29:P30 R29:R30 T29:T30 V29:V30 X29:X30 Z29:Z30 AB29:AB30 AD29:AD30 AF29:AF30 AH29:AH30 AJ29:AJ30 AL29:AL30 J24 L24 N24 P24 R24 T24 V24 X24 Z24 AB24 AD24 AF24 AH24 AJ24 AL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EAEE55-718D-53F6-6FAB-0.828E89E}" mc:Ignorable="x14ac xr xr2 xr3">
  <sheetPr>
    <tabColor rgb="FFCCCCFF"/>
  </sheetPr>
  <dimension ref="A1:AM40"/>
  <sheetViews>
    <sheetView showGridLines="0" workbookViewId="0">
      <pane xSplit="4" ySplit="12" topLeftCell="E13" activePane="bottomRight" state="frozen"/>
      <selection pane="bottomLeft" activeCell="A13" sqref="A13"/>
      <selection pane="topRight" activeCell="E1" sqref="E1"/>
      <selection pane="bottomRight" activeCell="AL28" sqref="AL28"/>
    </sheetView>
  </sheetViews>
  <sheetFormatPr defaultColWidth="9.140625" customHeight="1" defaultRowHeight="11.25"/>
  <cols>
    <col min="1" max="1" style="1877" width="6.421875" hidden="1" customWidth="1"/>
    <col min="2" max="2" style="1877" width="2.00390625" hidden="1" customWidth="1"/>
    <col min="3" max="3" style="1877" width="3.00390625" customWidth="1"/>
    <col min="4" max="4" style="1877" width="4.00390625" customWidth="1"/>
    <col min="5" max="5" style="1877" width="44.00390625" customWidth="1"/>
    <col min="6" max="6" style="1877" width="6.421875" customWidth="1"/>
    <col min="7" max="7" style="1877" width="4.00390625" customWidth="1"/>
    <col min="8" max="8" style="1877" width="5.00390625" customWidth="1"/>
    <col min="9" max="9" style="1877" width="52.00390625" customWidth="1"/>
    <col min="10" max="10" style="1877" width="7.00390625" customWidth="1"/>
    <col min="11" max="11" style="1877" width="3.00390625" customWidth="1"/>
    <col min="12" max="12" style="1877" width="6.00390625" customWidth="1"/>
    <col min="13" max="13" style="1877" width="56.00390625" customWidth="1"/>
    <col min="14" max="14" style="1394" width="8.00390625" customWidth="1"/>
    <col min="15" max="20" style="1648" width="9.140625" hidden="1"/>
    <col min="21" max="24" style="1290" width="9.140625" hidden="1"/>
    <col min="25" max="37" style="1394" width="9.140625" hidden="1"/>
    <col min="38" max="38" style="1394" width="8.00390625" customWidth="1"/>
    <col min="39" max="39" style="1877" width="9.140625" hidden="1"/>
  </cols>
  <sheetData>
    <row customHeight="1" ht="11.25" hidden="1">
      <c r="AM1" s="607" t="s">
        <v>14</v>
      </c>
    </row>
    <row customHeight="1" ht="11.25" hidden="1">
      <c r="AM2" s="607">
        <v>0</v>
      </c>
    </row>
    <row customHeight="1" ht="11.549999999999999">
      <c r="AM3" s="607">
        <v>11</v>
      </c>
    </row>
    <row customHeight="1" ht="35.699999999999996">
      <c r="A4" s="609"/>
      <c r="B4" s="609"/>
      <c r="D4" s="2143"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44"/>
      <c r="F4" s="2144"/>
      <c r="G4" s="2144"/>
      <c r="H4" s="2144"/>
      <c r="I4" s="2145"/>
      <c r="J4" s="608"/>
      <c r="K4" s="608"/>
      <c r="L4" s="608"/>
      <c r="M4" s="608"/>
      <c r="AM4" s="607">
        <v>34</v>
      </c>
    </row>
    <row s="613" customFormat="1" customHeight="1" ht="14.699999999999998">
      <c r="A5" s="609"/>
      <c r="B5" s="609"/>
      <c r="C5" s="609"/>
      <c r="D5" s="2146" t="str">
        <f>IF(org=0,"Не определено",org)</f>
        <v>АО "ДГК"</v>
      </c>
      <c r="E5" s="2147"/>
      <c r="F5" s="2147"/>
      <c r="G5" s="2147"/>
      <c r="H5" s="2147"/>
      <c r="I5" s="2148"/>
      <c r="J5" s="610"/>
      <c r="K5" s="610"/>
      <c r="L5" s="610"/>
      <c r="M5" s="610"/>
      <c r="N5" s="610"/>
      <c r="O5" s="894"/>
      <c r="P5" s="894"/>
      <c r="Q5" s="894"/>
      <c r="R5" s="894"/>
      <c r="S5" s="894"/>
      <c r="T5" s="894"/>
      <c r="U5" s="1285"/>
      <c r="V5" s="1285"/>
      <c r="W5" s="1285"/>
      <c r="X5" s="1285"/>
      <c r="Y5" s="610"/>
      <c r="Z5" s="610"/>
      <c r="AA5" s="610"/>
      <c r="AB5" s="610"/>
      <c r="AC5" s="610"/>
      <c r="AD5" s="610"/>
      <c r="AE5" s="610"/>
      <c r="AF5" s="610"/>
      <c r="AG5" s="610"/>
      <c r="AH5" s="610"/>
      <c r="AI5" s="610"/>
      <c r="AJ5" s="610"/>
      <c r="AK5" s="610"/>
      <c r="AL5" s="610"/>
      <c r="AM5" s="611">
        <v>14</v>
      </c>
    </row>
    <row s="613" customFormat="1" customHeight="1" ht="6.3">
      <c r="A6" s="2149"/>
      <c r="B6" s="2149"/>
      <c r="C6" s="2149"/>
      <c r="D6" s="2149"/>
      <c r="E6" s="2149"/>
      <c r="F6" s="2149"/>
      <c r="G6" s="612"/>
      <c r="H6" s="612"/>
      <c r="I6" s="612"/>
      <c r="J6" s="612"/>
      <c r="K6" s="612"/>
      <c r="N6" s="614"/>
      <c r="O6" s="1438"/>
      <c r="P6" s="1438"/>
      <c r="Q6" s="1438"/>
      <c r="R6" s="1438"/>
      <c r="S6" s="1438"/>
      <c r="T6" s="1438"/>
      <c r="U6" s="1288"/>
      <c r="V6" s="1288"/>
      <c r="W6" s="1288"/>
      <c r="X6" s="1288"/>
      <c r="Y6" s="614"/>
      <c r="Z6" s="614"/>
      <c r="AA6" s="614"/>
      <c r="AB6" s="614"/>
      <c r="AC6" s="614"/>
      <c r="AD6" s="614"/>
      <c r="AE6" s="614"/>
      <c r="AF6" s="614"/>
      <c r="AG6" s="614"/>
      <c r="AH6" s="614"/>
      <c r="AI6" s="614"/>
      <c r="AJ6" s="614"/>
      <c r="AK6" s="614"/>
      <c r="AL6" s="614"/>
      <c r="AM6" s="613">
        <v>6</v>
      </c>
    </row>
    <row customHeight="1" ht="45.75" hidden="1">
      <c r="E7" s="215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55"/>
      <c r="G7" s="2155"/>
      <c r="H7" s="2155"/>
      <c r="I7" s="2155"/>
      <c r="J7" s="2155"/>
      <c r="K7" s="2155"/>
      <c r="L7" s="2155"/>
      <c r="M7" s="2155"/>
      <c r="AM7" s="607">
        <v>0</v>
      </c>
    </row>
    <row s="613" customFormat="1" customHeight="1" ht="6.3">
      <c r="A8" s="615"/>
      <c r="B8" s="615"/>
      <c r="C8" s="615"/>
      <c r="D8" s="615"/>
      <c r="E8" s="615"/>
      <c r="F8" s="615"/>
      <c r="G8" s="615"/>
      <c r="H8" s="615"/>
      <c r="I8" s="615"/>
      <c r="J8" s="615"/>
      <c r="K8" s="615"/>
      <c r="L8" s="615"/>
      <c r="M8" s="613"/>
      <c r="N8" s="610"/>
      <c r="O8" s="894"/>
      <c r="P8" s="894"/>
      <c r="Q8" s="894"/>
      <c r="R8" s="894"/>
      <c r="S8" s="894"/>
      <c r="T8" s="894"/>
      <c r="U8" s="1285"/>
      <c r="V8" s="1285"/>
      <c r="W8" s="1285"/>
      <c r="X8" s="1285"/>
      <c r="Y8" s="610"/>
      <c r="Z8" s="610"/>
      <c r="AA8" s="610"/>
      <c r="AB8" s="610"/>
      <c r="AC8" s="610"/>
      <c r="AD8" s="610"/>
      <c r="AE8" s="610"/>
      <c r="AF8" s="610"/>
      <c r="AG8" s="610"/>
      <c r="AH8" s="610"/>
      <c r="AI8" s="610"/>
      <c r="AJ8" s="610"/>
      <c r="AK8" s="610"/>
      <c r="AL8" s="610"/>
      <c r="AM8" s="611">
        <v>6</v>
      </c>
    </row>
    <row customHeight="1" ht="18.75">
      <c r="A9" s="2150"/>
      <c r="B9" s="347"/>
      <c r="C9" s="347"/>
      <c r="D9" s="2151" t="s">
        <v>166</v>
      </c>
      <c r="E9" s="2151"/>
      <c r="F9" s="2152" t="s">
        <v>167</v>
      </c>
      <c r="G9" s="2153"/>
      <c r="H9" s="2153"/>
      <c r="I9" s="2153"/>
      <c r="J9" s="2156" t="s">
        <v>168</v>
      </c>
      <c r="K9" s="2156"/>
      <c r="L9" s="2156"/>
      <c r="M9" s="2156"/>
      <c r="AM9" s="607">
        <v>18</v>
      </c>
    </row>
    <row customHeight="1" ht="24">
      <c r="A10" s="2150"/>
      <c r="B10" s="616"/>
      <c r="C10" s="549"/>
      <c r="D10" s="547" t="s">
        <v>88</v>
      </c>
      <c r="E10" s="547" t="s">
        <v>89</v>
      </c>
      <c r="F10" s="547" t="s">
        <v>169</v>
      </c>
      <c r="G10" s="2157" t="s">
        <v>88</v>
      </c>
      <c r="H10" s="2158"/>
      <c r="I10" s="547" t="s">
        <v>89</v>
      </c>
      <c r="J10" s="547" t="s">
        <v>169</v>
      </c>
      <c r="K10" s="2157" t="s">
        <v>88</v>
      </c>
      <c r="L10" s="2158"/>
      <c r="M10" s="547" t="s">
        <v>89</v>
      </c>
      <c r="N10" s="1651"/>
      <c r="AM10" s="607">
        <v>23</v>
      </c>
    </row>
    <row s="1877" customFormat="1" customHeight="1" ht="11.25" hidden="1">
      <c r="A11" s="617"/>
      <c r="B11" s="617"/>
      <c r="C11" s="617"/>
      <c r="D11" s="618" t="s">
        <v>170</v>
      </c>
      <c r="E11" s="618" t="s">
        <v>103</v>
      </c>
      <c r="F11" s="618" t="s">
        <v>90</v>
      </c>
      <c r="G11" s="2139" t="s">
        <v>91</v>
      </c>
      <c r="H11" s="2140"/>
      <c r="I11" s="618" t="s">
        <v>119</v>
      </c>
      <c r="J11" s="618" t="s">
        <v>92</v>
      </c>
      <c r="K11" s="2141" t="s">
        <v>93</v>
      </c>
      <c r="L11" s="2142"/>
      <c r="M11" s="618" t="s">
        <v>143</v>
      </c>
      <c r="N11" s="1650"/>
      <c r="O11" s="1437"/>
      <c r="P11" s="1439"/>
      <c r="Q11" s="1439"/>
      <c r="R11" s="1439"/>
      <c r="S11" s="1439"/>
      <c r="T11" s="1439"/>
      <c r="U11" s="1289"/>
      <c r="V11" s="1289"/>
      <c r="W11" s="1289"/>
      <c r="X11" s="1289"/>
      <c r="Y11" s="619"/>
      <c r="Z11" s="619"/>
      <c r="AA11" s="619"/>
      <c r="AB11" s="619"/>
      <c r="AC11" s="619"/>
      <c r="AD11" s="619"/>
      <c r="AE11" s="619"/>
      <c r="AF11" s="619"/>
      <c r="AG11" s="619"/>
      <c r="AH11" s="619"/>
      <c r="AI11" s="619"/>
      <c r="AJ11" s="619"/>
      <c r="AK11" s="619"/>
      <c r="AL11" s="619"/>
      <c r="AM11" s="620">
        <v>0</v>
      </c>
    </row>
    <row customHeight="1" ht="1.05">
      <c r="A12" s="621"/>
      <c r="B12" s="622"/>
      <c r="C12" s="622"/>
      <c r="D12" s="623"/>
      <c r="E12" s="391"/>
      <c r="F12" s="624"/>
      <c r="G12" s="1083"/>
      <c r="H12" s="1083"/>
      <c r="I12" s="624"/>
      <c r="J12" s="624"/>
      <c r="K12" s="198"/>
      <c r="L12" s="391"/>
      <c r="M12" s="625"/>
      <c r="N12" s="1651"/>
      <c r="O12" s="1437" t="s">
        <v>171</v>
      </c>
      <c r="P12" s="1437" t="s">
        <v>172</v>
      </c>
      <c r="Q12" s="1437" t="s">
        <v>173</v>
      </c>
      <c r="R12" s="1437" t="s">
        <v>174</v>
      </c>
      <c r="AM12" s="607">
        <v>1</v>
      </c>
    </row>
    <row s="1877" customFormat="1" customHeight="1" ht="15.75">
      <c r="A13" s="317"/>
      <c r="B13" s="317"/>
      <c r="C13" s="550"/>
      <c r="D13" s="2132" t="s">
        <v>170</v>
      </c>
      <c r="E13" s="2133" t="str">
        <f>INDEX(VD_NAME_LIST,MATCH("4190068",VD_ID_LIST,0))&amp;"; "&amp;INDEX(VD_NAME_LIST,MATCH("4190069",VD_ID_LIST,0))&amp;"; "&amp;INDEX(VD_NAME_LIST,MATCH("4190070",VD_ID_LIST,0))&amp;"; "&amp;INDEX(VD_NAME_LIST,MATCH("4190071",VD_ID_LIST,0))&amp;"; "&amp;INDEX(VD_NAME_LIST,MATCH("4190072",VD_ID_LIST,0))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F13" s="2136" t="s">
        <v>66</v>
      </c>
      <c r="G13" s="2137"/>
      <c r="H13" s="2138">
        <v>1</v>
      </c>
      <c r="I13" s="2129" t="str">
        <f>IF(U13="","",INDEX(TERRITORY_MR_LIST,MATCH(U13,TERRITORY_LIST_ID,0)))</f>
        <v>Территория 1</v>
      </c>
      <c r="J13" s="2131" t="s">
        <v>66</v>
      </c>
      <c r="K13" s="626"/>
      <c r="L13" s="551" t="s">
        <v>170</v>
      </c>
      <c r="M13" s="2654" t="s">
        <v>175</v>
      </c>
      <c r="N13" s="836"/>
      <c r="O13" s="1440" t="s">
        <v>176</v>
      </c>
      <c r="P13" s="1437"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13" s="1437" t="str">
        <f>IF($F$13="нет","без дифференциации",$I$13)</f>
        <v>Территория 1</v>
      </c>
      <c r="R13" s="1437" t="str">
        <f>IF($J$13="нет","без дифференциации",M13)</f>
        <v>Амурская ТЭЦ-1 (г. Амурск)</v>
      </c>
      <c r="S13" s="1440"/>
      <c r="T13" s="1440"/>
      <c r="U13" s="1290" t="s">
        <v>98</v>
      </c>
      <c r="V13" s="1290" t="s">
        <v>177</v>
      </c>
      <c r="W13" s="1290"/>
      <c r="X13" s="1290"/>
      <c r="Y13" s="628" t="s">
        <v>178</v>
      </c>
      <c r="Z13" s="628">
        <v>1705000</v>
      </c>
      <c r="AA13" s="628"/>
      <c r="AB13" s="628"/>
      <c r="AC13" s="628"/>
      <c r="AD13" s="628"/>
      <c r="AE13" s="628"/>
      <c r="AF13" s="628"/>
      <c r="AG13" s="628"/>
      <c r="AH13" s="628"/>
      <c r="AI13" s="628"/>
      <c r="AJ13" s="628"/>
      <c r="AK13" s="628"/>
      <c r="AL13" s="628"/>
      <c r="AM13" s="630">
        <v>15</v>
      </c>
    </row>
    <row s="1877" customFormat="1" customHeight="1" ht="15.75">
      <c r="A14" s="317"/>
      <c r="B14" s="317"/>
      <c r="C14" s="200"/>
      <c r="D14" s="2132"/>
      <c r="E14" s="2134"/>
      <c r="F14" s="2131"/>
      <c r="G14" s="2137"/>
      <c r="H14" s="2138"/>
      <c r="I14" s="2130"/>
      <c r="J14" s="2131"/>
      <c r="K14" s="445"/>
      <c r="L14" s="201"/>
      <c r="M14" s="631" t="s">
        <v>179</v>
      </c>
      <c r="N14" s="836"/>
      <c r="O14" s="1440"/>
      <c r="P14" s="1437"/>
      <c r="Q14" s="1437"/>
      <c r="R14" s="1437"/>
      <c r="S14" s="1440"/>
      <c r="T14" s="1440"/>
      <c r="U14" s="1290"/>
      <c r="V14" s="1290"/>
      <c r="W14" s="1290"/>
      <c r="X14" s="1290"/>
      <c r="Y14" s="628"/>
      <c r="Z14" s="628"/>
      <c r="AA14" s="628"/>
      <c r="AB14" s="628"/>
      <c r="AC14" s="628"/>
      <c r="AD14" s="628"/>
      <c r="AE14" s="628"/>
      <c r="AF14" s="628"/>
      <c r="AG14" s="628"/>
      <c r="AH14" s="628"/>
      <c r="AI14" s="628"/>
      <c r="AJ14" s="628"/>
      <c r="AK14" s="628"/>
      <c r="AL14" s="628"/>
      <c r="AM14" s="630">
        <v>15</v>
      </c>
    </row>
    <row customHeight="1" ht="15">
      <c r="A15" s="447"/>
      <c r="B15" s="447"/>
      <c r="C15" s="200"/>
      <c r="D15" s="1845"/>
      <c r="E15" s="1845"/>
      <c r="F15" s="1845"/>
      <c r="G15" s="2585" t="s">
        <v>104</v>
      </c>
      <c r="H15" s="2127" t="s">
        <v>103</v>
      </c>
      <c r="I15" s="2586" t="str">
        <f>IF(U15="","",INDEX(TERRITORY_MR_LIST,MATCH(U15,TERRITORY_LIST_ID,0)))</f>
        <v>Территория 2</v>
      </c>
      <c r="J15" s="2131" t="s">
        <v>66</v>
      </c>
      <c r="K15" s="856"/>
      <c r="L15" s="1806" t="s">
        <v>170</v>
      </c>
      <c r="M15" s="2654" t="s">
        <v>180</v>
      </c>
      <c r="N15" s="628"/>
      <c r="O15" s="628" t="s">
        <v>181</v>
      </c>
      <c r="P15"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15" s="628" t="str">
        <f>IF($F$15="нет","без дифференциации",$I$15)</f>
        <v>Территория 2</v>
      </c>
      <c r="R15" s="628" t="str">
        <f>IF($J$15="нет","без дифференциации",$M$15)</f>
        <v>Николаевская ТЭЦ (г. Николаевск)</v>
      </c>
      <c r="S15" s="628"/>
      <c r="T15" s="628"/>
      <c r="U15" s="629" t="s">
        <v>105</v>
      </c>
      <c r="V15" s="628"/>
      <c r="W15" s="628"/>
      <c r="X15" s="619"/>
      <c r="Y15" s="619" t="s">
        <v>178</v>
      </c>
      <c r="Z15" s="619">
        <v>1705000</v>
      </c>
      <c r="AA15" s="619"/>
      <c r="AB15" s="619"/>
      <c r="AC15" s="619"/>
      <c r="AD15" s="619"/>
      <c r="AE15" s="619"/>
      <c r="AF15" s="619"/>
      <c r="AG15" s="619"/>
      <c r="AH15" s="619"/>
      <c r="AI15" s="619"/>
      <c r="AJ15" s="619"/>
      <c r="AK15" s="619"/>
      <c r="AL15" s="619"/>
      <c r="AM15" s="1877"/>
    </row>
    <row customHeight="1" ht="15">
      <c r="A16" s="447"/>
      <c r="B16" s="447"/>
      <c r="C16" s="200"/>
      <c r="D16" s="1845"/>
      <c r="E16" s="1845"/>
      <c r="F16" s="1845"/>
      <c r="G16" s="1845"/>
      <c r="H16" s="1845"/>
      <c r="I16" s="1845"/>
      <c r="J16" s="1845"/>
      <c r="K16" s="1823" t="s">
        <v>104</v>
      </c>
      <c r="L16" s="1753" t="s">
        <v>103</v>
      </c>
      <c r="M16" s="835" t="s">
        <v>182</v>
      </c>
      <c r="N16" s="836"/>
      <c r="O16" s="628" t="s">
        <v>183</v>
      </c>
      <c r="P16"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16" s="628" t="str">
        <f>IF($F$15="нет","без дифференциации",$I$15)</f>
        <v>Территория 2</v>
      </c>
      <c r="R16" s="628" t="str">
        <f>IF($J$16="нет","без дифференциации",$M$16)</f>
        <v>котельная "Аэропорт"</v>
      </c>
      <c r="S16" s="628"/>
      <c r="T16" s="628"/>
      <c r="U16" s="629"/>
      <c r="V16" s="628"/>
      <c r="W16" s="628"/>
      <c r="X16" s="619"/>
      <c r="Y16" s="619" t="s">
        <v>178</v>
      </c>
      <c r="Z16" s="619">
        <v>1705000</v>
      </c>
      <c r="AA16" s="619"/>
      <c r="AB16" s="619"/>
      <c r="AC16" s="619"/>
      <c r="AD16" s="619"/>
      <c r="AE16" s="619"/>
      <c r="AF16" s="619"/>
      <c r="AG16" s="619"/>
      <c r="AH16" s="619"/>
      <c r="AI16" s="619"/>
      <c r="AJ16" s="619"/>
      <c r="AK16" s="619"/>
      <c r="AL16" s="619"/>
      <c r="AM16" s="1877"/>
    </row>
    <row customHeight="1" ht="15">
      <c r="A17" s="447"/>
      <c r="B17" s="447"/>
      <c r="C17" s="200"/>
      <c r="D17" s="1845"/>
      <c r="E17" s="1845"/>
      <c r="F17" s="1845"/>
      <c r="G17" s="2585"/>
      <c r="H17" s="2127"/>
      <c r="I17" s="2586"/>
      <c r="J17" s="2131"/>
      <c r="K17" s="445"/>
      <c r="L17" s="201"/>
      <c r="M17" s="631" t="s">
        <v>179</v>
      </c>
      <c r="N17" s="628"/>
      <c r="O17" s="628"/>
      <c r="P17" s="628"/>
      <c r="Q17" s="628"/>
      <c r="R17" s="628"/>
      <c r="S17" s="628"/>
      <c r="T17" s="628"/>
      <c r="U17" s="629"/>
      <c r="V17" s="628"/>
      <c r="W17" s="628"/>
      <c r="X17" s="619"/>
      <c r="Y17" s="619"/>
      <c r="Z17" s="619"/>
      <c r="AA17" s="619"/>
      <c r="AB17" s="619"/>
      <c r="AC17" s="619"/>
      <c r="AD17" s="619"/>
      <c r="AE17" s="619"/>
      <c r="AF17" s="619"/>
      <c r="AG17" s="619"/>
      <c r="AH17" s="619"/>
      <c r="AI17" s="619"/>
      <c r="AJ17" s="619"/>
      <c r="AK17" s="619"/>
      <c r="AL17" s="619"/>
      <c r="AM17" s="1877"/>
    </row>
    <row customHeight="1" ht="15">
      <c r="A18" s="447"/>
      <c r="B18" s="447"/>
      <c r="C18" s="200"/>
      <c r="D18" s="1845"/>
      <c r="E18" s="1845"/>
      <c r="F18" s="1845"/>
      <c r="G18" s="2585" t="s">
        <v>104</v>
      </c>
      <c r="H18" s="2127" t="s">
        <v>90</v>
      </c>
      <c r="I18" s="2586" t="str">
        <f>IF(U18="","",INDEX(TERRITORY_MR_LIST,MATCH(U18,TERRITORY_LIST_ID,0)))</f>
        <v>Территория 3</v>
      </c>
      <c r="J18" s="2131" t="s">
        <v>66</v>
      </c>
      <c r="K18" s="856"/>
      <c r="L18" s="1806" t="s">
        <v>170</v>
      </c>
      <c r="M18" s="2654" t="s">
        <v>184</v>
      </c>
      <c r="N18" s="628"/>
      <c r="O18" s="628" t="s">
        <v>185</v>
      </c>
      <c r="P18"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18" s="628" t="str">
        <f>IF($F$18="нет","без дифференциации",$I$18)</f>
        <v>Территория 3</v>
      </c>
      <c r="R18" s="628" t="str">
        <f>IF($J$18="нет","без дифференциации",$M$18)</f>
        <v>Комсомольская ТЭЦ-1 (г. Комсомольск)</v>
      </c>
      <c r="S18" s="628"/>
      <c r="T18" s="628"/>
      <c r="U18" s="629" t="s">
        <v>110</v>
      </c>
      <c r="V18" s="628"/>
      <c r="W18" s="628"/>
      <c r="X18" s="619"/>
      <c r="Y18" s="619" t="s">
        <v>178</v>
      </c>
      <c r="Z18" s="619">
        <v>1705000</v>
      </c>
      <c r="AA18" s="619"/>
      <c r="AB18" s="619"/>
      <c r="AC18" s="619"/>
      <c r="AD18" s="619"/>
      <c r="AE18" s="619"/>
      <c r="AF18" s="619"/>
      <c r="AG18" s="619"/>
      <c r="AH18" s="619"/>
      <c r="AI18" s="619"/>
      <c r="AJ18" s="619"/>
      <c r="AK18" s="619"/>
      <c r="AL18" s="619"/>
      <c r="AM18" s="1877"/>
    </row>
    <row customHeight="1" ht="15">
      <c r="A19" s="447"/>
      <c r="B19" s="447"/>
      <c r="C19" s="200"/>
      <c r="D19" s="1845"/>
      <c r="E19" s="1845"/>
      <c r="F19" s="1845"/>
      <c r="G19" s="1845"/>
      <c r="H19" s="1845"/>
      <c r="I19" s="1845"/>
      <c r="J19" s="1845"/>
      <c r="K19" s="1823" t="s">
        <v>104</v>
      </c>
      <c r="L19" s="1753" t="s">
        <v>103</v>
      </c>
      <c r="M19" s="835" t="s">
        <v>186</v>
      </c>
      <c r="N19" s="836"/>
      <c r="O19" s="628" t="s">
        <v>187</v>
      </c>
      <c r="P19"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19" s="628" t="str">
        <f>IF($F$18="нет","без дифференциации",$I$18)</f>
        <v>Территория 3</v>
      </c>
      <c r="R19" s="628" t="str">
        <f>IF($J$19="нет","без дифференциации",$M$19)</f>
        <v>Комсомольская ТЭЦ-2 (г. Комсомольск)</v>
      </c>
      <c r="S19" s="628"/>
      <c r="T19" s="628"/>
      <c r="U19" s="629"/>
      <c r="V19" s="628"/>
      <c r="W19" s="628"/>
      <c r="X19" s="619"/>
      <c r="Y19" s="619" t="s">
        <v>178</v>
      </c>
      <c r="Z19" s="619">
        <v>1705000</v>
      </c>
      <c r="AA19" s="619"/>
      <c r="AB19" s="619"/>
      <c r="AC19" s="619"/>
      <c r="AD19" s="619"/>
      <c r="AE19" s="619"/>
      <c r="AF19" s="619"/>
      <c r="AG19" s="619"/>
      <c r="AH19" s="619"/>
      <c r="AI19" s="619"/>
      <c r="AJ19" s="619"/>
      <c r="AK19" s="619"/>
      <c r="AL19" s="619"/>
      <c r="AM19" s="1877"/>
    </row>
    <row customHeight="1" ht="15">
      <c r="A20" s="447"/>
      <c r="B20" s="447"/>
      <c r="C20" s="200"/>
      <c r="D20" s="1845"/>
      <c r="E20" s="1845"/>
      <c r="F20" s="1845"/>
      <c r="G20" s="1845"/>
      <c r="H20" s="1845"/>
      <c r="I20" s="1845"/>
      <c r="J20" s="1845"/>
      <c r="K20" s="1823" t="s">
        <v>104</v>
      </c>
      <c r="L20" s="1753" t="s">
        <v>90</v>
      </c>
      <c r="M20" s="835" t="s">
        <v>188</v>
      </c>
      <c r="N20" s="836"/>
      <c r="O20" s="628" t="s">
        <v>189</v>
      </c>
      <c r="P20"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20" s="628" t="str">
        <f>IF($F$18="нет","без дифференциации",$I$18)</f>
        <v>Территория 3</v>
      </c>
      <c r="R20" s="628" t="str">
        <f>IF($J$20="нет","без дифференциации",$M$20)</f>
        <v>Комсомольская ТЭЦ-3 (г. Комсомольск)</v>
      </c>
      <c r="S20" s="628"/>
      <c r="T20" s="628"/>
      <c r="U20" s="629"/>
      <c r="V20" s="628"/>
      <c r="W20" s="628"/>
      <c r="X20" s="619"/>
      <c r="Y20" s="619" t="s">
        <v>178</v>
      </c>
      <c r="Z20" s="619">
        <v>1705000</v>
      </c>
      <c r="AA20" s="619"/>
      <c r="AB20" s="619"/>
      <c r="AC20" s="619"/>
      <c r="AD20" s="619"/>
      <c r="AE20" s="619"/>
      <c r="AF20" s="619"/>
      <c r="AG20" s="619"/>
      <c r="AH20" s="619"/>
      <c r="AI20" s="619"/>
      <c r="AJ20" s="619"/>
      <c r="AK20" s="619"/>
      <c r="AL20" s="619"/>
      <c r="AM20" s="1877"/>
    </row>
    <row customHeight="1" ht="15">
      <c r="A21" s="447"/>
      <c r="B21" s="447"/>
      <c r="C21" s="200"/>
      <c r="D21" s="1845"/>
      <c r="E21" s="1845"/>
      <c r="F21" s="1845"/>
      <c r="G21" s="1845"/>
      <c r="H21" s="1845"/>
      <c r="I21" s="1845"/>
      <c r="J21" s="1845"/>
      <c r="K21" s="1823" t="s">
        <v>104</v>
      </c>
      <c r="L21" s="1753" t="s">
        <v>91</v>
      </c>
      <c r="M21" s="835" t="s">
        <v>190</v>
      </c>
      <c r="N21" s="836"/>
      <c r="O21" s="628" t="s">
        <v>191</v>
      </c>
      <c r="P21"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21" s="628" t="str">
        <f>IF($F$18="нет","без дифференциации",$I$18)</f>
        <v>Территория 3</v>
      </c>
      <c r="R21" s="628" t="str">
        <f>IF($J$21="нет","без дифференциации",$M$21)</f>
        <v>ВК "Дземги" (г. Комсомольск)</v>
      </c>
      <c r="S21" s="628"/>
      <c r="T21" s="628"/>
      <c r="U21" s="629"/>
      <c r="V21" s="628"/>
      <c r="W21" s="628"/>
      <c r="X21" s="619"/>
      <c r="Y21" s="619" t="s">
        <v>178</v>
      </c>
      <c r="Z21" s="619">
        <v>1705000</v>
      </c>
      <c r="AA21" s="619"/>
      <c r="AB21" s="619"/>
      <c r="AC21" s="619"/>
      <c r="AD21" s="619"/>
      <c r="AE21" s="619"/>
      <c r="AF21" s="619"/>
      <c r="AG21" s="619"/>
      <c r="AH21" s="619"/>
      <c r="AI21" s="619"/>
      <c r="AJ21" s="619"/>
      <c r="AK21" s="619"/>
      <c r="AL21" s="619"/>
      <c r="AM21" s="1877"/>
    </row>
    <row customHeight="1" ht="15">
      <c r="A22" s="447"/>
      <c r="B22" s="447"/>
      <c r="C22" s="200"/>
      <c r="D22" s="1845"/>
      <c r="E22" s="1845"/>
      <c r="F22" s="1845"/>
      <c r="G22" s="2585"/>
      <c r="H22" s="2127"/>
      <c r="I22" s="2586"/>
      <c r="J22" s="2131"/>
      <c r="K22" s="445"/>
      <c r="L22" s="201"/>
      <c r="M22" s="631" t="s">
        <v>179</v>
      </c>
      <c r="N22" s="628"/>
      <c r="O22" s="628"/>
      <c r="P22" s="628"/>
      <c r="Q22" s="628"/>
      <c r="R22" s="628"/>
      <c r="S22" s="628"/>
      <c r="T22" s="628"/>
      <c r="U22" s="629"/>
      <c r="V22" s="628"/>
      <c r="W22" s="628"/>
      <c r="X22" s="619"/>
      <c r="Y22" s="619"/>
      <c r="Z22" s="619"/>
      <c r="AA22" s="619"/>
      <c r="AB22" s="619"/>
      <c r="AC22" s="619"/>
      <c r="AD22" s="619"/>
      <c r="AE22" s="619"/>
      <c r="AF22" s="619"/>
      <c r="AG22" s="619"/>
      <c r="AH22" s="619"/>
      <c r="AI22" s="619"/>
      <c r="AJ22" s="619"/>
      <c r="AK22" s="619"/>
      <c r="AL22" s="619"/>
      <c r="AM22" s="1877"/>
    </row>
    <row customHeight="1" ht="15">
      <c r="A23" s="447"/>
      <c r="B23" s="447"/>
      <c r="C23" s="200"/>
      <c r="D23" s="1845"/>
      <c r="E23" s="1845"/>
      <c r="F23" s="1845"/>
      <c r="G23" s="2585" t="s">
        <v>104</v>
      </c>
      <c r="H23" s="2127" t="s">
        <v>91</v>
      </c>
      <c r="I23" s="2586" t="str">
        <f>IF(U23="","",INDEX(TERRITORY_MR_LIST,MATCH(U23,TERRITORY_LIST_ID,0)))</f>
        <v>Территория 4</v>
      </c>
      <c r="J23" s="2131" t="s">
        <v>66</v>
      </c>
      <c r="K23" s="856"/>
      <c r="L23" s="1806" t="s">
        <v>170</v>
      </c>
      <c r="M23" s="2654" t="s">
        <v>192</v>
      </c>
      <c r="N23" s="628"/>
      <c r="O23" s="628" t="s">
        <v>193</v>
      </c>
      <c r="P23"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23" s="628" t="str">
        <f>IF($F$23="нет","без дифференциации",$I$23)</f>
        <v>Территория 4</v>
      </c>
      <c r="R23" s="628" t="str">
        <f>IF($J$23="нет","без дифференциации",$M$23)</f>
        <v>ТЭЦ в г. Советская Гавань</v>
      </c>
      <c r="S23" s="628"/>
      <c r="T23" s="628"/>
      <c r="U23" s="629" t="s">
        <v>114</v>
      </c>
      <c r="V23" s="628"/>
      <c r="W23" s="628"/>
      <c r="X23" s="619"/>
      <c r="Y23" s="619" t="s">
        <v>178</v>
      </c>
      <c r="Z23" s="619">
        <v>1705000</v>
      </c>
      <c r="AA23" s="619"/>
      <c r="AB23" s="619"/>
      <c r="AC23" s="619"/>
      <c r="AD23" s="619"/>
      <c r="AE23" s="619"/>
      <c r="AF23" s="619"/>
      <c r="AG23" s="619"/>
      <c r="AH23" s="619"/>
      <c r="AI23" s="619"/>
      <c r="AJ23" s="619"/>
      <c r="AK23" s="619"/>
      <c r="AL23" s="619"/>
      <c r="AM23" s="1877"/>
    </row>
    <row customHeight="1" ht="15">
      <c r="A24" s="447"/>
      <c r="B24" s="447"/>
      <c r="C24" s="200"/>
      <c r="D24" s="1845"/>
      <c r="E24" s="1845"/>
      <c r="F24" s="1845"/>
      <c r="G24" s="2585"/>
      <c r="H24" s="2127"/>
      <c r="I24" s="2586"/>
      <c r="J24" s="2131"/>
      <c r="K24" s="445"/>
      <c r="L24" s="201"/>
      <c r="M24" s="631" t="s">
        <v>179</v>
      </c>
      <c r="N24" s="628"/>
      <c r="O24" s="628"/>
      <c r="P24" s="628"/>
      <c r="Q24" s="628"/>
      <c r="R24" s="628"/>
      <c r="S24" s="628"/>
      <c r="T24" s="628"/>
      <c r="U24" s="629"/>
      <c r="V24" s="628"/>
      <c r="W24" s="628"/>
      <c r="X24" s="619"/>
      <c r="Y24" s="619"/>
      <c r="Z24" s="619"/>
      <c r="AA24" s="619"/>
      <c r="AB24" s="619"/>
      <c r="AC24" s="619"/>
      <c r="AD24" s="619"/>
      <c r="AE24" s="619"/>
      <c r="AF24" s="619"/>
      <c r="AG24" s="619"/>
      <c r="AH24" s="619"/>
      <c r="AI24" s="619"/>
      <c r="AJ24" s="619"/>
      <c r="AK24" s="619"/>
      <c r="AL24" s="619"/>
      <c r="AM24" s="1877"/>
    </row>
    <row customHeight="1" ht="15">
      <c r="A25" s="447"/>
      <c r="B25" s="447"/>
      <c r="C25" s="200"/>
      <c r="D25" s="1845"/>
      <c r="E25" s="1845"/>
      <c r="F25" s="1845"/>
      <c r="G25" s="2585" t="s">
        <v>104</v>
      </c>
      <c r="H25" s="2127" t="s">
        <v>119</v>
      </c>
      <c r="I25" s="2586" t="str">
        <f>IF(U25="","",INDEX(TERRITORY_MR_LIST,MATCH(U25,TERRITORY_LIST_ID,0)))</f>
        <v>Территория 5</v>
      </c>
      <c r="J25" s="2131" t="s">
        <v>66</v>
      </c>
      <c r="K25" s="856"/>
      <c r="L25" s="1806" t="s">
        <v>170</v>
      </c>
      <c r="M25" s="2654" t="s">
        <v>194</v>
      </c>
      <c r="N25" s="628"/>
      <c r="O25" s="628" t="s">
        <v>195</v>
      </c>
      <c r="P25"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25" s="628" t="str">
        <f>IF($F$25="нет","без дифференциации",$I$25)</f>
        <v>Территория 5</v>
      </c>
      <c r="R25" s="628" t="str">
        <f>IF($J$25="нет","без дифференциации",$M$25)</f>
        <v>Майская котельная </v>
      </c>
      <c r="S25" s="628"/>
      <c r="T25" s="628"/>
      <c r="U25" s="629" t="s">
        <v>120</v>
      </c>
      <c r="V25" s="628"/>
      <c r="W25" s="628"/>
      <c r="X25" s="619"/>
      <c r="Y25" s="619" t="s">
        <v>178</v>
      </c>
      <c r="Z25" s="619">
        <v>1705000</v>
      </c>
      <c r="AA25" s="619"/>
      <c r="AB25" s="619"/>
      <c r="AC25" s="619"/>
      <c r="AD25" s="619"/>
      <c r="AE25" s="619"/>
      <c r="AF25" s="619"/>
      <c r="AG25" s="619"/>
      <c r="AH25" s="619"/>
      <c r="AI25" s="619"/>
      <c r="AJ25" s="619"/>
      <c r="AK25" s="619"/>
      <c r="AL25" s="619"/>
      <c r="AM25" s="1877"/>
    </row>
    <row customHeight="1" ht="15">
      <c r="A26" s="447"/>
      <c r="B26" s="447"/>
      <c r="C26" s="200"/>
      <c r="D26" s="1845"/>
      <c r="E26" s="1845"/>
      <c r="F26" s="1845"/>
      <c r="G26" s="2585"/>
      <c r="H26" s="2127"/>
      <c r="I26" s="2586"/>
      <c r="J26" s="2131"/>
      <c r="K26" s="445"/>
      <c r="L26" s="201"/>
      <c r="M26" s="631" t="s">
        <v>179</v>
      </c>
      <c r="N26" s="628"/>
      <c r="O26" s="628"/>
      <c r="P26" s="628"/>
      <c r="Q26" s="628"/>
      <c r="R26" s="628"/>
      <c r="S26" s="628"/>
      <c r="T26" s="628"/>
      <c r="U26" s="629"/>
      <c r="V26" s="628"/>
      <c r="W26" s="628"/>
      <c r="X26" s="619"/>
      <c r="Y26" s="619"/>
      <c r="Z26" s="619"/>
      <c r="AA26" s="619"/>
      <c r="AB26" s="619"/>
      <c r="AC26" s="619"/>
      <c r="AD26" s="619"/>
      <c r="AE26" s="619"/>
      <c r="AF26" s="619"/>
      <c r="AG26" s="619"/>
      <c r="AH26" s="619"/>
      <c r="AI26" s="619"/>
      <c r="AJ26" s="619"/>
      <c r="AK26" s="619"/>
      <c r="AL26" s="619"/>
      <c r="AM26" s="1877"/>
    </row>
    <row customHeight="1" ht="15">
      <c r="A27" s="447"/>
      <c r="B27" s="447"/>
      <c r="C27" s="200"/>
      <c r="D27" s="1845"/>
      <c r="E27" s="1845"/>
      <c r="F27" s="1845"/>
      <c r="G27" s="2585" t="s">
        <v>104</v>
      </c>
      <c r="H27" s="2127" t="s">
        <v>92</v>
      </c>
      <c r="I27" s="2586" t="str">
        <f>IF(U27="","",INDEX(TERRITORY_MR_LIST,MATCH(U27,TERRITORY_LIST_ID,0)))</f>
        <v>Территория 6</v>
      </c>
      <c r="J27" s="2131" t="s">
        <v>66</v>
      </c>
      <c r="K27" s="856"/>
      <c r="L27" s="1806" t="s">
        <v>170</v>
      </c>
      <c r="M27" s="2654" t="s">
        <v>196</v>
      </c>
      <c r="N27" s="628"/>
      <c r="O27" s="628" t="s">
        <v>197</v>
      </c>
      <c r="P27"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27" s="628" t="str">
        <f>IF($F$27="нет","без дифференциации",$I$27)</f>
        <v>Территория 6</v>
      </c>
      <c r="R27" s="628" t="str">
        <f>IF($J$27="нет","без дифференциации",$M$27)</f>
        <v>Ургальская котельная (п. Чегдомын)</v>
      </c>
      <c r="S27" s="628"/>
      <c r="T27" s="628"/>
      <c r="U27" s="629" t="s">
        <v>124</v>
      </c>
      <c r="V27" s="628"/>
      <c r="W27" s="628"/>
      <c r="X27" s="619"/>
      <c r="Y27" s="619" t="s">
        <v>178</v>
      </c>
      <c r="Z27" s="619">
        <v>1705000</v>
      </c>
      <c r="AA27" s="619"/>
      <c r="AB27" s="619"/>
      <c r="AC27" s="619"/>
      <c r="AD27" s="619"/>
      <c r="AE27" s="619"/>
      <c r="AF27" s="619"/>
      <c r="AG27" s="619"/>
      <c r="AH27" s="619"/>
      <c r="AI27" s="619"/>
      <c r="AJ27" s="619"/>
      <c r="AK27" s="619"/>
      <c r="AL27" s="619"/>
      <c r="AM27" s="1877"/>
    </row>
    <row customHeight="1" ht="15">
      <c r="A28" s="447"/>
      <c r="B28" s="447"/>
      <c r="C28" s="200"/>
      <c r="D28" s="1845"/>
      <c r="E28" s="1845"/>
      <c r="F28" s="1845"/>
      <c r="G28" s="2585"/>
      <c r="H28" s="2127"/>
      <c r="I28" s="2586"/>
      <c r="J28" s="2131"/>
      <c r="K28" s="445"/>
      <c r="L28" s="201"/>
      <c r="M28" s="631" t="s">
        <v>179</v>
      </c>
      <c r="N28" s="628"/>
      <c r="O28" s="628"/>
      <c r="P28" s="628"/>
      <c r="Q28" s="628"/>
      <c r="R28" s="628"/>
      <c r="S28" s="628"/>
      <c r="T28" s="628"/>
      <c r="U28" s="629"/>
      <c r="V28" s="628"/>
      <c r="W28" s="628"/>
      <c r="X28" s="619"/>
      <c r="Y28" s="619"/>
      <c r="Z28" s="619"/>
      <c r="AA28" s="619"/>
      <c r="AB28" s="619"/>
      <c r="AC28" s="619"/>
      <c r="AD28" s="619"/>
      <c r="AE28" s="619"/>
      <c r="AF28" s="619"/>
      <c r="AG28" s="619"/>
      <c r="AH28" s="619"/>
      <c r="AI28" s="619"/>
      <c r="AJ28" s="619"/>
      <c r="AK28" s="619"/>
      <c r="AL28" s="619"/>
      <c r="AM28" s="1877"/>
    </row>
    <row customHeight="1" ht="22.5">
      <c r="A29" s="447"/>
      <c r="B29" s="447"/>
      <c r="C29" s="200"/>
      <c r="D29" s="1845"/>
      <c r="E29" s="1845"/>
      <c r="F29" s="1845"/>
      <c r="G29" s="2585" t="s">
        <v>104</v>
      </c>
      <c r="H29" s="2127" t="s">
        <v>93</v>
      </c>
      <c r="I29" s="2586" t="str">
        <f>IF(U29="","",INDEX(TERRITORY_MR_LIST,MATCH(U29,TERRITORY_LIST_ID,0)))</f>
        <v>Территория 7</v>
      </c>
      <c r="J29" s="2131" t="s">
        <v>66</v>
      </c>
      <c r="K29" s="856"/>
      <c r="L29" s="1806" t="s">
        <v>170</v>
      </c>
      <c r="M29" s="2654" t="s">
        <v>198</v>
      </c>
      <c r="N29" s="628"/>
      <c r="O29" s="628" t="s">
        <v>199</v>
      </c>
      <c r="P29"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29" s="628" t="str">
        <f>IF($F$29="нет","без дифференциации",$I$29)</f>
        <v>Территория 7</v>
      </c>
      <c r="R29" s="628" t="str">
        <f>IF($J$29="нет","без дифференциации",$M$29)</f>
        <v>Хабаровская ТЭЦ-1 (г. Хабаровск, с. Ильинское, п. Корфовский, с. Ракитненское)</v>
      </c>
      <c r="S29" s="628"/>
      <c r="T29" s="628"/>
      <c r="U29" s="629" t="s">
        <v>129</v>
      </c>
      <c r="V29" s="628"/>
      <c r="W29" s="628"/>
      <c r="X29" s="619"/>
      <c r="Y29" s="619" t="s">
        <v>178</v>
      </c>
      <c r="Z29" s="619">
        <v>1705000</v>
      </c>
      <c r="AA29" s="619"/>
      <c r="AB29" s="619"/>
      <c r="AC29" s="619"/>
      <c r="AD29" s="619"/>
      <c r="AE29" s="619"/>
      <c r="AF29" s="619"/>
      <c r="AG29" s="619"/>
      <c r="AH29" s="619"/>
      <c r="AI29" s="619"/>
      <c r="AJ29" s="619"/>
      <c r="AK29" s="619"/>
      <c r="AL29" s="619"/>
      <c r="AM29" s="1877"/>
    </row>
    <row customHeight="1" ht="15">
      <c r="A30" s="447"/>
      <c r="B30" s="447"/>
      <c r="C30" s="200"/>
      <c r="D30" s="1845"/>
      <c r="E30" s="1845"/>
      <c r="F30" s="1845"/>
      <c r="G30" s="2585"/>
      <c r="H30" s="2127"/>
      <c r="I30" s="2586"/>
      <c r="J30" s="2131"/>
      <c r="K30" s="445"/>
      <c r="L30" s="201"/>
      <c r="M30" s="631" t="s">
        <v>179</v>
      </c>
      <c r="N30" s="628"/>
      <c r="O30" s="628"/>
      <c r="P30" s="628"/>
      <c r="Q30" s="628"/>
      <c r="R30" s="628"/>
      <c r="S30" s="628"/>
      <c r="T30" s="628"/>
      <c r="U30" s="629"/>
      <c r="V30" s="628"/>
      <c r="W30" s="628"/>
      <c r="X30" s="619"/>
      <c r="Y30" s="619"/>
      <c r="Z30" s="619"/>
      <c r="AA30" s="619"/>
      <c r="AB30" s="619"/>
      <c r="AC30" s="619"/>
      <c r="AD30" s="619"/>
      <c r="AE30" s="619"/>
      <c r="AF30" s="619"/>
      <c r="AG30" s="619"/>
      <c r="AH30" s="619"/>
      <c r="AI30" s="619"/>
      <c r="AJ30" s="619"/>
      <c r="AK30" s="619"/>
      <c r="AL30" s="619"/>
      <c r="AM30" s="1877"/>
    </row>
    <row customHeight="1" ht="15">
      <c r="A31" s="447"/>
      <c r="B31" s="447"/>
      <c r="C31" s="200"/>
      <c r="D31" s="1845"/>
      <c r="E31" s="1845"/>
      <c r="F31" s="1845"/>
      <c r="G31" s="2585" t="s">
        <v>104</v>
      </c>
      <c r="H31" s="2127" t="s">
        <v>143</v>
      </c>
      <c r="I31" s="2586" t="str">
        <f>IF(U31="","",INDEX(TERRITORY_MR_LIST,MATCH(U31,TERRITORY_LIST_ID,0)))</f>
        <v>Территория 8</v>
      </c>
      <c r="J31" s="2131" t="s">
        <v>66</v>
      </c>
      <c r="K31" s="856"/>
      <c r="L31" s="1806" t="s">
        <v>170</v>
      </c>
      <c r="M31" s="2654" t="s">
        <v>200</v>
      </c>
      <c r="N31" s="628"/>
      <c r="O31" s="628" t="s">
        <v>201</v>
      </c>
      <c r="P31"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31" s="628" t="str">
        <f>IF($F$31="нет","без дифференциации",$I$31)</f>
        <v>Территория 8</v>
      </c>
      <c r="R31" s="628" t="str">
        <f>IF($J$31="нет","без дифференциации",$M$31)</f>
        <v>Хабаровская ТЭЦ-2 (г. Хабаровск)</v>
      </c>
      <c r="S31" s="628"/>
      <c r="T31" s="628"/>
      <c r="U31" s="629" t="s">
        <v>144</v>
      </c>
      <c r="V31" s="628"/>
      <c r="W31" s="628"/>
      <c r="X31" s="619"/>
      <c r="Y31" s="619" t="s">
        <v>178</v>
      </c>
      <c r="Z31" s="619">
        <v>1705000</v>
      </c>
      <c r="AA31" s="619"/>
      <c r="AB31" s="619"/>
      <c r="AC31" s="619"/>
      <c r="AD31" s="619"/>
      <c r="AE31" s="619"/>
      <c r="AF31" s="619"/>
      <c r="AG31" s="619"/>
      <c r="AH31" s="619"/>
      <c r="AI31" s="619"/>
      <c r="AJ31" s="619"/>
      <c r="AK31" s="619"/>
      <c r="AL31" s="619"/>
      <c r="AM31" s="1877"/>
    </row>
    <row customHeight="1" ht="15">
      <c r="A32" s="447"/>
      <c r="B32" s="447"/>
      <c r="C32" s="200"/>
      <c r="D32" s="1845"/>
      <c r="E32" s="1845"/>
      <c r="F32" s="1845"/>
      <c r="G32" s="1845"/>
      <c r="H32" s="1845"/>
      <c r="I32" s="1845"/>
      <c r="J32" s="1845"/>
      <c r="K32" s="1823" t="s">
        <v>104</v>
      </c>
      <c r="L32" s="1753" t="s">
        <v>103</v>
      </c>
      <c r="M32" s="835" t="s">
        <v>202</v>
      </c>
      <c r="N32" s="836"/>
      <c r="O32" s="628" t="s">
        <v>203</v>
      </c>
      <c r="P32"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32" s="628" t="str">
        <f>IF($F$31="нет","без дифференциации",$I$31)</f>
        <v>Территория 8</v>
      </c>
      <c r="R32" s="628" t="str">
        <f>IF($J$32="нет","без дифференциации",$M$32)</f>
        <v>Котельная в Волочаевском городке</v>
      </c>
      <c r="S32" s="628"/>
      <c r="T32" s="628"/>
      <c r="U32" s="629"/>
      <c r="V32" s="628"/>
      <c r="W32" s="628"/>
      <c r="X32" s="619"/>
      <c r="Y32" s="619" t="s">
        <v>178</v>
      </c>
      <c r="Z32" s="619">
        <v>1705000</v>
      </c>
      <c r="AA32" s="619"/>
      <c r="AB32" s="619"/>
      <c r="AC32" s="619"/>
      <c r="AD32" s="619"/>
      <c r="AE32" s="619"/>
      <c r="AF32" s="619"/>
      <c r="AG32" s="619"/>
      <c r="AH32" s="619"/>
      <c r="AI32" s="619"/>
      <c r="AJ32" s="619"/>
      <c r="AK32" s="619"/>
      <c r="AL32" s="619"/>
      <c r="AM32" s="1877"/>
    </row>
    <row customHeight="1" ht="15">
      <c r="A33" s="447"/>
      <c r="B33" s="447"/>
      <c r="C33" s="200"/>
      <c r="D33" s="1845"/>
      <c r="E33" s="1845"/>
      <c r="F33" s="1845"/>
      <c r="G33" s="2585"/>
      <c r="H33" s="2127"/>
      <c r="I33" s="2586"/>
      <c r="J33" s="2131"/>
      <c r="K33" s="445"/>
      <c r="L33" s="201"/>
      <c r="M33" s="631" t="s">
        <v>179</v>
      </c>
      <c r="N33" s="628"/>
      <c r="O33" s="628"/>
      <c r="P33" s="628"/>
      <c r="Q33" s="628"/>
      <c r="R33" s="628"/>
      <c r="S33" s="628"/>
      <c r="T33" s="628"/>
      <c r="U33" s="629"/>
      <c r="V33" s="628"/>
      <c r="W33" s="628"/>
      <c r="X33" s="619"/>
      <c r="Y33" s="619"/>
      <c r="Z33" s="619"/>
      <c r="AA33" s="619"/>
      <c r="AB33" s="619"/>
      <c r="AC33" s="619"/>
      <c r="AD33" s="619"/>
      <c r="AE33" s="619"/>
      <c r="AF33" s="619"/>
      <c r="AG33" s="619"/>
      <c r="AH33" s="619"/>
      <c r="AI33" s="619"/>
      <c r="AJ33" s="619"/>
      <c r="AK33" s="619"/>
      <c r="AL33" s="619"/>
      <c r="AM33" s="1877"/>
    </row>
    <row customHeight="1" ht="21.75">
      <c r="A34" s="447"/>
      <c r="B34" s="447"/>
      <c r="C34" s="200"/>
      <c r="D34" s="1845"/>
      <c r="E34" s="1845"/>
      <c r="F34" s="1845"/>
      <c r="G34" s="2585" t="s">
        <v>104</v>
      </c>
      <c r="H34" s="2127" t="s">
        <v>145</v>
      </c>
      <c r="I34" s="2586" t="str">
        <f>IF(U34="","",INDEX(TERRITORY_MR_LIST,MATCH(U34,TERRITORY_LIST_ID,0)))</f>
        <v>Территория 9</v>
      </c>
      <c r="J34" s="2131" t="s">
        <v>66</v>
      </c>
      <c r="K34" s="856"/>
      <c r="L34" s="1806" t="s">
        <v>170</v>
      </c>
      <c r="M34" s="2654" t="s">
        <v>204</v>
      </c>
      <c r="N34" s="628"/>
      <c r="O34" s="628" t="s">
        <v>205</v>
      </c>
      <c r="P34"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34" s="628" t="str">
        <f>IF($F$34="нет","без дифференциации",$I$34)</f>
        <v>Территория 9</v>
      </c>
      <c r="R34" s="628" t="str">
        <f>IF($J$34="нет","без дифференциации",$M$34)</f>
        <v>Хабаровская ТЭЦ-3 (г. Хабаровск, с. Восточное, с. Мирненское, с. Тополевское)</v>
      </c>
      <c r="S34" s="628"/>
      <c r="T34" s="628"/>
      <c r="U34" s="629" t="s">
        <v>146</v>
      </c>
      <c r="V34" s="628"/>
      <c r="W34" s="628"/>
      <c r="X34" s="619"/>
      <c r="Y34" s="619" t="s">
        <v>178</v>
      </c>
      <c r="Z34" s="619">
        <v>1705000</v>
      </c>
      <c r="AA34" s="619"/>
      <c r="AB34" s="619"/>
      <c r="AC34" s="619"/>
      <c r="AD34" s="619"/>
      <c r="AE34" s="619"/>
      <c r="AF34" s="619"/>
      <c r="AG34" s="619"/>
      <c r="AH34" s="619"/>
      <c r="AI34" s="619"/>
      <c r="AJ34" s="619"/>
      <c r="AK34" s="619"/>
      <c r="AL34" s="619"/>
      <c r="AM34" s="1877"/>
    </row>
    <row customHeight="1" ht="15">
      <c r="A35" s="447"/>
      <c r="B35" s="447"/>
      <c r="C35" s="200"/>
      <c r="D35" s="1845"/>
      <c r="E35" s="1845"/>
      <c r="F35" s="1845"/>
      <c r="G35" s="2585"/>
      <c r="H35" s="2127"/>
      <c r="I35" s="2586"/>
      <c r="J35" s="2131"/>
      <c r="K35" s="445"/>
      <c r="L35" s="201"/>
      <c r="M35" s="631" t="s">
        <v>179</v>
      </c>
      <c r="N35" s="628"/>
      <c r="O35" s="628"/>
      <c r="P35" s="628"/>
      <c r="Q35" s="628"/>
      <c r="R35" s="628"/>
      <c r="S35" s="628"/>
      <c r="T35" s="628"/>
      <c r="U35" s="629"/>
      <c r="V35" s="628"/>
      <c r="W35" s="628"/>
      <c r="X35" s="619"/>
      <c r="Y35" s="619"/>
      <c r="Z35" s="619"/>
      <c r="AA35" s="619"/>
      <c r="AB35" s="619"/>
      <c r="AC35" s="619"/>
      <c r="AD35" s="619"/>
      <c r="AE35" s="619"/>
      <c r="AF35" s="619"/>
      <c r="AG35" s="619"/>
      <c r="AH35" s="619"/>
      <c r="AI35" s="619"/>
      <c r="AJ35" s="619"/>
      <c r="AK35" s="619"/>
      <c r="AL35" s="619"/>
      <c r="AM35" s="1877"/>
    </row>
    <row customHeight="1" ht="15">
      <c r="A36" s="447"/>
      <c r="B36" s="447"/>
      <c r="C36" s="200"/>
      <c r="D36" s="1845"/>
      <c r="E36" s="1845"/>
      <c r="F36" s="1845"/>
      <c r="G36" s="2585" t="s">
        <v>104</v>
      </c>
      <c r="H36" s="2127" t="s">
        <v>156</v>
      </c>
      <c r="I36" s="2586" t="str">
        <f>IF(U36="","",INDEX(TERRITORY_MR_LIST,MATCH(U36,TERRITORY_LIST_ID,0)))</f>
        <v>Территория 10</v>
      </c>
      <c r="J36" s="2131" t="s">
        <v>66</v>
      </c>
      <c r="K36" s="856"/>
      <c r="L36" s="1806" t="s">
        <v>170</v>
      </c>
      <c r="M36" s="2654" t="s">
        <v>206</v>
      </c>
      <c r="N36" s="628"/>
      <c r="O36" s="628" t="s">
        <v>207</v>
      </c>
      <c r="P36" s="628" t="str">
        <f>$E$13</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36" s="628" t="str">
        <f>IF($F$36="нет","без дифференциации",$I$36)</f>
        <v>Территория 10</v>
      </c>
      <c r="R36" s="628" t="str">
        <f>IF($J$36="нет","без дифференциации",$M$36)</f>
        <v>Котельная в с. Некрасовка (с. Дружбинское, с. Некрасовское) </v>
      </c>
      <c r="S36" s="628"/>
      <c r="T36" s="628"/>
      <c r="U36" s="629" t="s">
        <v>157</v>
      </c>
      <c r="V36" s="628"/>
      <c r="W36" s="628"/>
      <c r="X36" s="619"/>
      <c r="Y36" s="619" t="s">
        <v>178</v>
      </c>
      <c r="Z36" s="619">
        <v>1705000</v>
      </c>
      <c r="AA36" s="619"/>
      <c r="AB36" s="619"/>
      <c r="AC36" s="619"/>
      <c r="AD36" s="619"/>
      <c r="AE36" s="619"/>
      <c r="AF36" s="619"/>
      <c r="AG36" s="619"/>
      <c r="AH36" s="619"/>
      <c r="AI36" s="619"/>
      <c r="AJ36" s="619"/>
      <c r="AK36" s="619"/>
      <c r="AL36" s="619"/>
      <c r="AM36" s="1877"/>
    </row>
    <row customHeight="1" ht="15">
      <c r="A37" s="447"/>
      <c r="B37" s="447"/>
      <c r="C37" s="200"/>
      <c r="D37" s="1845"/>
      <c r="E37" s="1845"/>
      <c r="F37" s="1845"/>
      <c r="G37" s="2585"/>
      <c r="H37" s="2127"/>
      <c r="I37" s="2586"/>
      <c r="J37" s="2131"/>
      <c r="K37" s="445"/>
      <c r="L37" s="201"/>
      <c r="M37" s="631" t="s">
        <v>179</v>
      </c>
      <c r="N37" s="628"/>
      <c r="O37" s="628"/>
      <c r="P37" s="628"/>
      <c r="Q37" s="628"/>
      <c r="R37" s="628"/>
      <c r="S37" s="628"/>
      <c r="T37" s="628"/>
      <c r="U37" s="629"/>
      <c r="V37" s="628"/>
      <c r="W37" s="628"/>
      <c r="X37" s="619"/>
      <c r="Y37" s="619"/>
      <c r="Z37" s="619"/>
      <c r="AA37" s="619"/>
      <c r="AB37" s="619"/>
      <c r="AC37" s="619"/>
      <c r="AD37" s="619"/>
      <c r="AE37" s="619"/>
      <c r="AF37" s="619"/>
      <c r="AG37" s="619"/>
      <c r="AH37" s="619"/>
      <c r="AI37" s="619"/>
      <c r="AJ37" s="619"/>
      <c r="AK37" s="619"/>
      <c r="AL37" s="619"/>
      <c r="AM37" s="1877"/>
    </row>
    <row s="1877" customFormat="1" customHeight="1" ht="15.75">
      <c r="A38" s="317"/>
      <c r="B38" s="317"/>
      <c r="C38" s="200"/>
      <c r="D38" s="2132"/>
      <c r="E38" s="2135"/>
      <c r="F38" s="2131"/>
      <c r="G38" s="1084"/>
      <c r="H38" s="1085"/>
      <c r="I38" s="604" t="s">
        <v>208</v>
      </c>
      <c r="J38" s="201"/>
      <c r="K38" s="201"/>
      <c r="L38" s="201"/>
      <c r="M38" s="632"/>
      <c r="N38" s="836"/>
      <c r="O38" s="1440"/>
      <c r="P38" s="1437"/>
      <c r="Q38" s="1437"/>
      <c r="R38" s="1437"/>
      <c r="S38" s="1440"/>
      <c r="T38" s="1440"/>
      <c r="U38" s="1290"/>
      <c r="V38" s="1290"/>
      <c r="W38" s="1290"/>
      <c r="X38" s="1290"/>
      <c r="Y38" s="628"/>
      <c r="Z38" s="628"/>
      <c r="AA38" s="628"/>
      <c r="AB38" s="628"/>
      <c r="AC38" s="628"/>
      <c r="AD38" s="628"/>
      <c r="AE38" s="628"/>
      <c r="AF38" s="628"/>
      <c r="AG38" s="628"/>
      <c r="AH38" s="628"/>
      <c r="AI38" s="628"/>
      <c r="AJ38" s="628"/>
      <c r="AK38" s="628"/>
      <c r="AL38" s="628"/>
      <c r="AM38" s="630">
        <v>15</v>
      </c>
    </row>
    <row customHeight="1" ht="15.75">
      <c r="A39" s="633"/>
      <c r="B39" s="159"/>
      <c r="C39" s="830"/>
      <c r="D39" s="445"/>
      <c r="E39" s="595" t="s">
        <v>209</v>
      </c>
      <c r="F39" s="201"/>
      <c r="G39" s="201"/>
      <c r="H39" s="201"/>
      <c r="I39" s="201"/>
      <c r="J39" s="201"/>
      <c r="K39" s="201" t="s">
        <v>22</v>
      </c>
      <c r="L39" s="201"/>
      <c r="M39" s="632"/>
      <c r="N39" s="1651"/>
      <c r="AM39" s="607">
        <v>15</v>
      </c>
    </row>
    <row customHeight="1" ht="11.25" hidden="1">
      <c r="A40" s="607" t="s">
        <v>82</v>
      </c>
      <c r="B40" s="607">
        <v>0</v>
      </c>
      <c r="C40" s="607">
        <v>3</v>
      </c>
      <c r="D40" s="607">
        <v>4</v>
      </c>
      <c r="E40" s="607">
        <v>44</v>
      </c>
      <c r="F40" s="607">
        <v>6</v>
      </c>
      <c r="G40" s="607">
        <v>4</v>
      </c>
      <c r="H40" s="607"/>
      <c r="I40" s="607">
        <v>52</v>
      </c>
      <c r="J40" s="607">
        <v>6</v>
      </c>
      <c r="K40" s="607">
        <v>3</v>
      </c>
      <c r="L40" s="607">
        <v>6</v>
      </c>
      <c r="M40" s="607">
        <v>56</v>
      </c>
      <c r="N40" s="608">
        <v>8</v>
      </c>
      <c r="O40" s="1437">
        <v>0</v>
      </c>
      <c r="P40" s="1437">
        <v>0</v>
      </c>
      <c r="Q40" s="1437">
        <v>0</v>
      </c>
      <c r="R40" s="1437">
        <v>0</v>
      </c>
      <c r="S40" s="1437">
        <v>0</v>
      </c>
      <c r="T40" s="1437">
        <v>0</v>
      </c>
      <c r="U40" s="1287">
        <v>0</v>
      </c>
      <c r="V40" s="1287">
        <v>0</v>
      </c>
      <c r="W40" s="1287">
        <v>0</v>
      </c>
      <c r="X40" s="1287">
        <v>0</v>
      </c>
      <c r="Y40" s="608">
        <v>0</v>
      </c>
      <c r="Z40" s="608">
        <v>0</v>
      </c>
      <c r="AA40" s="608">
        <v>0</v>
      </c>
      <c r="AB40" s="608">
        <v>0</v>
      </c>
      <c r="AC40" s="608">
        <v>0</v>
      </c>
      <c r="AD40" s="608">
        <v>0</v>
      </c>
      <c r="AE40" s="608">
        <v>0</v>
      </c>
      <c r="AF40" s="608">
        <v>0</v>
      </c>
      <c r="AG40" s="608">
        <v>0</v>
      </c>
      <c r="AH40" s="608">
        <v>0</v>
      </c>
      <c r="AI40" s="608">
        <v>0</v>
      </c>
      <c r="AJ40" s="608">
        <v>0</v>
      </c>
      <c r="AK40" s="608">
        <v>0</v>
      </c>
      <c r="AL40" s="608">
        <v>8</v>
      </c>
      <c r="AM40" s="607">
        <v>11</v>
      </c>
    </row>
  </sheetData>
  <sheetProtection sheet="1" formatColumns="0" formatRows="0" autoFilter="0" sort="1" insertRows="1" insertColumns="1" deleteRows="1" deleteColumns="1"/>
  <mergeCells count="55">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38"/>
    <mergeCell ref="E13:E38"/>
    <mergeCell ref="F13:F38"/>
    <mergeCell ref="G13:G14"/>
    <mergeCell ref="H13:H14"/>
    <mergeCell ref="G15:G17"/>
    <mergeCell ref="H15:H17"/>
    <mergeCell ref="I15:I17"/>
    <mergeCell ref="J15:J17"/>
    <mergeCell ref="G18:G22"/>
    <mergeCell ref="H18:H22"/>
    <mergeCell ref="I18:I22"/>
    <mergeCell ref="J18:J22"/>
    <mergeCell ref="G23:G24"/>
    <mergeCell ref="H23:H24"/>
    <mergeCell ref="I23:I24"/>
    <mergeCell ref="J23:J24"/>
    <mergeCell ref="G25:G26"/>
    <mergeCell ref="H25:H26"/>
    <mergeCell ref="I25:I26"/>
    <mergeCell ref="J25:J26"/>
    <mergeCell ref="G27:G28"/>
    <mergeCell ref="H27:H28"/>
    <mergeCell ref="I27:I28"/>
    <mergeCell ref="J27:J28"/>
    <mergeCell ref="G29:G30"/>
    <mergeCell ref="H29:H30"/>
    <mergeCell ref="I29:I30"/>
    <mergeCell ref="J29:J30"/>
    <mergeCell ref="G31:G33"/>
    <mergeCell ref="H31:H33"/>
    <mergeCell ref="I31:I33"/>
    <mergeCell ref="J31:J33"/>
    <mergeCell ref="G34:G35"/>
    <mergeCell ref="H34:H35"/>
    <mergeCell ref="I34:I35"/>
    <mergeCell ref="J34:J35"/>
    <mergeCell ref="G36:G37"/>
    <mergeCell ref="H36:H37"/>
    <mergeCell ref="I36:I37"/>
    <mergeCell ref="J36:J37"/>
  </mergeCells>
  <dataValidations count="20">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5">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8">
      <formula1>900</formula1>
    </dataValidation>
    <dataValidation type="list" allowBlank="1" showInputMessage="1" showErrorMessage="1" sqref="I19">
      <formula1>DESCRIPTION_TERRITORY</formula1>
    </dataValidation>
    <dataValidation type="textLength" operator="lessThanOrEqual" allowBlank="1" showInputMessage="1" showErrorMessage="1" errorTitle="Ошибка" error="Допускается ввод не более 900 символов!" sqref="M19">
      <formula1>900</formula1>
    </dataValidation>
    <dataValidation type="list" allowBlank="1" showInputMessage="1" showErrorMessage="1" sqref="I20">
      <formula1>DESCRIPTION_TERRITORY</formula1>
    </dataValidation>
    <dataValidation type="textLength" operator="lessThanOrEqual" allowBlank="1" showInputMessage="1" showErrorMessage="1" errorTitle="Ошибка" error="Допускается ввод не более 900 символов!" sqref="M20">
      <formula1>900</formula1>
    </dataValidation>
    <dataValidation type="list" allowBlank="1" showInputMessage="1" showErrorMessage="1" sqref="I21">
      <formula1>DESCRIPTION_TERRITORY</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textLength" operator="lessThan" allowBlank="1" showInputMessage="1" showErrorMessage="1" error="Допускается ввод не более 900 символов!" sqref="M23">
      <formula1>900</formula1>
    </dataValidation>
    <dataValidation type="textLength" operator="lessThan" allowBlank="1" showInputMessage="1" showErrorMessage="1" error="Допускается ввод не более 900 символов!" sqref="M25">
      <formula1>900</formula1>
    </dataValidation>
    <dataValidation type="textLength" operator="lessThan" allowBlank="1" showInputMessage="1" showErrorMessage="1" error="Допускается ввод не более 900 символов!" sqref="M27">
      <formula1>900</formula1>
    </dataValidation>
    <dataValidation type="textLength" operator="lessThan" allowBlank="1" showInputMessage="1" showErrorMessage="1" error="Допускается ввод не более 900 символов!" sqref="M29">
      <formula1>900</formula1>
    </dataValidation>
    <dataValidation type="textLength" operator="lessThan" allowBlank="1" showInputMessage="1" showErrorMessage="1" error="Допускается ввод не более 900 символов!" sqref="M31">
      <formula1>900</formula1>
    </dataValidation>
    <dataValidation type="list" allowBlank="1" showInputMessage="1" showErrorMessage="1" sqref="I32">
      <formula1>DESCRIPTION_TERRITORY</formula1>
    </dataValidation>
    <dataValidation type="textLength" operator="lessThanOrEqual" allowBlank="1" showInputMessage="1" showErrorMessage="1" errorTitle="Ошибка" error="Допускается ввод не более 900 символов!" sqref="M32">
      <formula1>900</formula1>
    </dataValidation>
    <dataValidation type="textLength" operator="lessThan" allowBlank="1" showInputMessage="1" showErrorMessage="1" error="Допускается ввод не более 900 символов!" sqref="M34">
      <formula1>900</formula1>
    </dataValidation>
    <dataValidation type="textLength" operator="lessThan" allowBlank="1" showInputMessage="1" showErrorMessage="1" error="Допускается ввод не более 900 символов!" sqref="M36">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F9BB72-852A-DFD3-2A12-0.735C7905}" mc:Ignorable="x14ac xr xr2 xr3">
  <sheetPr>
    <tabColor rgb="FFE26B0A"/>
  </sheetPr>
  <dimension ref="A1:AX669"/>
  <sheetViews>
    <sheetView showGridLines="0" zoomScale="90" workbookViewId="0" tabSelected="1">
      <pane xSplit="8" ySplit="31" topLeftCell="I32" activePane="bottomRight" state="frozen"/>
      <selection pane="bottomLeft" activeCell="A32" sqref="A32"/>
      <selection pane="topRight" activeCell="I1" sqref="I1"/>
      <selection pane="bottomRight" activeCell="J46" sqref="J46"/>
    </sheetView>
  </sheetViews>
  <sheetFormatPr defaultColWidth="10.57421875" customHeight="1" defaultRowHeight="15"/>
  <cols>
    <col min="1" max="1" style="1656" width="9.140625" hidden="1" customWidth="1"/>
    <col min="2" max="2" style="1659" width="9.140625" hidden="1" customWidth="1"/>
    <col min="3" max="3" style="707" width="4.00390625" customWidth="1"/>
    <col min="4" max="4" style="1659" width="6.00390625" customWidth="1"/>
    <col min="5" max="5" style="1659" width="36.00390625" customWidth="1"/>
    <col min="6" max="6" style="1659" width="9.00390625" customWidth="1"/>
    <col min="7" max="7" style="1659" width="25.7109375" hidden="1" customWidth="1"/>
    <col min="8" max="8" style="1659" width="33.7109375" hidden="1" customWidth="1"/>
    <col min="9" max="9" style="1659" width="25.7109375" customWidth="1"/>
    <col min="10" max="10" style="1659" width="33.00390625" customWidth="1"/>
    <col min="11" max="11" style="1659" width="25.7109375" customWidth="1"/>
    <col min="12" max="12" style="1659" width="33.7109375" customWidth="1"/>
    <col min="13" max="13" style="1659" width="25.7109375" customWidth="1"/>
    <col min="14" max="14" style="1659" width="33.7109375" customWidth="1"/>
    <col min="15" max="15" style="1659" width="25.7109375" customWidth="1"/>
    <col min="16" max="16" style="1659" width="33.7109375" customWidth="1"/>
    <col min="17" max="17" style="1659" width="25.7109375" customWidth="1"/>
    <col min="18" max="18" style="1659" width="33.7109375" customWidth="1"/>
    <col min="19" max="19" style="1659" width="25.7109375" customWidth="1"/>
    <col min="20" max="20" style="1659" width="33.7109375" customWidth="1"/>
    <col min="21" max="21" style="1659" width="25.7109375" customWidth="1"/>
    <col min="22" max="22" style="1659" width="33.7109375" customWidth="1"/>
    <col min="23" max="23" style="1659" width="25.7109375" customWidth="1"/>
    <col min="24" max="24" style="1659" width="33.7109375" customWidth="1"/>
    <col min="25" max="25" style="1659" width="25.7109375" customWidth="1"/>
    <col min="26" max="26" style="1659" width="33.7109375" customWidth="1"/>
    <col min="27" max="27" style="1659" width="25.7109375" customWidth="1"/>
    <col min="28" max="28" style="1659" width="33.7109375" customWidth="1"/>
    <col min="29" max="29" style="1659" width="25.7109375" customWidth="1"/>
    <col min="30" max="30" style="1659" width="33.7109375" customWidth="1"/>
    <col min="31" max="31" style="1659" width="25.7109375" customWidth="1"/>
    <col min="32" max="32" style="1659" width="33.7109375" customWidth="1"/>
    <col min="33" max="33" style="1659" width="25.7109375" customWidth="1"/>
    <col min="34" max="34" style="1659" width="33.7109375" customWidth="1"/>
    <col min="35" max="35" style="1659" width="25.7109375" customWidth="1"/>
    <col min="36" max="36" style="1659" width="33.7109375" customWidth="1"/>
    <col min="37" max="37" style="1659" width="25.7109375" customWidth="1"/>
    <col min="38" max="38" style="1659" width="33.7109375" customWidth="1"/>
    <col min="39" max="39" style="1390" width="93.00390625" customWidth="1"/>
    <col min="40" max="48" style="1659" width="10.00390625" customWidth="1"/>
    <col min="49" max="49" style="699" width="10.00390625" customWidth="1"/>
    <col min="50" max="50" style="1659" width="10.57421875" hidden="1"/>
  </cols>
  <sheetData>
    <row s="1390" customFormat="1" customHeight="1" ht="22.5" hidden="1">
      <c r="C1" s="696"/>
      <c r="G1" s="441">
        <v>4</v>
      </c>
      <c r="I1" s="441">
        <v>4</v>
      </c>
      <c r="K1" s="1390">
        <v>4</v>
      </c>
      <c r="L1" s="1390"/>
      <c r="M1" s="1390">
        <v>4</v>
      </c>
      <c r="N1" s="1390"/>
      <c r="O1" s="1390">
        <v>4</v>
      </c>
      <c r="P1" s="1390"/>
      <c r="Q1" s="1390">
        <v>4</v>
      </c>
      <c r="R1" s="1390"/>
      <c r="S1" s="1390">
        <v>4</v>
      </c>
      <c r="T1" s="1390"/>
      <c r="U1" s="1390">
        <v>4</v>
      </c>
      <c r="V1" s="1390"/>
      <c r="W1" s="1390">
        <v>4</v>
      </c>
      <c r="X1" s="1390"/>
      <c r="Y1" s="1390">
        <v>4</v>
      </c>
      <c r="Z1" s="1390"/>
      <c r="AA1" s="1390">
        <v>4</v>
      </c>
      <c r="AB1" s="1390"/>
      <c r="AC1" s="1390">
        <v>4</v>
      </c>
      <c r="AD1" s="1390"/>
      <c r="AE1" s="1390">
        <v>4</v>
      </c>
      <c r="AF1" s="1390"/>
      <c r="AG1" s="1390">
        <v>4</v>
      </c>
      <c r="AH1" s="1390"/>
      <c r="AI1" s="1390">
        <v>4</v>
      </c>
      <c r="AJ1" s="1390"/>
      <c r="AK1" s="1390">
        <v>4</v>
      </c>
      <c r="AL1" s="1390"/>
      <c r="AW1" s="444"/>
      <c r="AX1" s="441" t="s">
        <v>14</v>
      </c>
    </row>
    <row s="1390" customFormat="1" customHeight="1" ht="15" hidden="1">
      <c r="C2" s="696"/>
      <c r="K2" s="1390"/>
      <c r="L2" s="1390"/>
      <c r="M2" s="1390"/>
      <c r="N2" s="1390"/>
      <c r="O2" s="1390"/>
      <c r="P2" s="1390"/>
      <c r="Q2" s="1390"/>
      <c r="R2" s="1390"/>
      <c r="S2" s="1390"/>
      <c r="T2" s="1390"/>
      <c r="U2" s="1390"/>
      <c r="V2" s="1390"/>
      <c r="W2" s="1390"/>
      <c r="X2" s="1390"/>
      <c r="Y2" s="1390"/>
      <c r="Z2" s="1390"/>
      <c r="AA2" s="1390"/>
      <c r="AB2" s="1390"/>
      <c r="AC2" s="1390"/>
      <c r="AD2" s="1390"/>
      <c r="AE2" s="1390"/>
      <c r="AF2" s="1390"/>
      <c r="AG2" s="1390"/>
      <c r="AH2" s="1390"/>
      <c r="AI2" s="1390"/>
      <c r="AJ2" s="1390"/>
      <c r="AK2" s="1390"/>
      <c r="AL2" s="1390"/>
      <c r="AW2" s="444"/>
      <c r="AX2" s="441">
        <v>0</v>
      </c>
    </row>
    <row customHeight="1" ht="22.5" hidden="1">
      <c r="A3" s="529"/>
      <c r="B3" s="2421"/>
      <c r="C3" s="2422" t="s">
        <v>104</v>
      </c>
      <c r="D3" s="713" t="str">
        <f>B3&amp;".1"</f>
        <v>.1</v>
      </c>
      <c r="E3" s="714" t="s">
        <v>1033</v>
      </c>
      <c r="F3" s="715" t="s">
        <v>390</v>
      </c>
      <c r="G3" s="710"/>
      <c r="H3" s="425"/>
      <c r="I3" s="710"/>
      <c r="J3" s="425"/>
      <c r="K3" s="2377"/>
      <c r="L3" s="842"/>
      <c r="M3" s="2377"/>
      <c r="N3" s="842"/>
      <c r="O3" s="2377"/>
      <c r="P3" s="842"/>
      <c r="Q3" s="2377"/>
      <c r="R3" s="842"/>
      <c r="S3" s="2377"/>
      <c r="T3" s="842"/>
      <c r="U3" s="2377"/>
      <c r="V3" s="842"/>
      <c r="W3" s="2377"/>
      <c r="X3" s="842"/>
      <c r="Y3" s="2377"/>
      <c r="Z3" s="842"/>
      <c r="AA3" s="2377"/>
      <c r="AB3" s="842"/>
      <c r="AC3" s="2377"/>
      <c r="AD3" s="842"/>
      <c r="AE3" s="2377"/>
      <c r="AF3" s="842"/>
      <c r="AG3" s="2377"/>
      <c r="AH3" s="842"/>
      <c r="AI3" s="2377"/>
      <c r="AJ3" s="842"/>
      <c r="AK3" s="2377"/>
      <c r="AL3" s="842"/>
      <c r="AM3" s="313" t="s">
        <v>1034</v>
      </c>
      <c r="AX3" s="529">
        <v>0</v>
      </c>
    </row>
    <row customHeight="1" ht="15" hidden="1">
      <c r="A4" s="529"/>
      <c r="B4" s="2421"/>
      <c r="C4" s="2422"/>
      <c r="D4" s="713" t="str">
        <f>B3&amp;".2"</f>
        <v>.2</v>
      </c>
      <c r="E4" s="714" t="s">
        <v>1035</v>
      </c>
      <c r="F4" s="715" t="s">
        <v>390</v>
      </c>
      <c r="G4" s="1762" t="s">
        <v>22</v>
      </c>
      <c r="H4" s="425"/>
      <c r="I4" s="1762" t="s">
        <v>22</v>
      </c>
      <c r="J4" s="425"/>
      <c r="K4" s="1762" t="s">
        <v>22</v>
      </c>
      <c r="L4" s="842"/>
      <c r="M4" s="1762" t="s">
        <v>22</v>
      </c>
      <c r="N4" s="842"/>
      <c r="O4" s="1762" t="s">
        <v>22</v>
      </c>
      <c r="P4" s="842"/>
      <c r="Q4" s="1762" t="s">
        <v>22</v>
      </c>
      <c r="R4" s="842"/>
      <c r="S4" s="1762" t="s">
        <v>22</v>
      </c>
      <c r="T4" s="842"/>
      <c r="U4" s="1762" t="s">
        <v>22</v>
      </c>
      <c r="V4" s="842"/>
      <c r="W4" s="1762" t="s">
        <v>22</v>
      </c>
      <c r="X4" s="842"/>
      <c r="Y4" s="1762" t="s">
        <v>22</v>
      </c>
      <c r="Z4" s="842"/>
      <c r="AA4" s="1762" t="s">
        <v>22</v>
      </c>
      <c r="AB4" s="842"/>
      <c r="AC4" s="1762" t="s">
        <v>22</v>
      </c>
      <c r="AD4" s="842"/>
      <c r="AE4" s="1762" t="s">
        <v>22</v>
      </c>
      <c r="AF4" s="842"/>
      <c r="AG4" s="1762" t="s">
        <v>22</v>
      </c>
      <c r="AH4" s="842"/>
      <c r="AI4" s="1762" t="s">
        <v>22</v>
      </c>
      <c r="AJ4" s="842"/>
      <c r="AK4" s="1762" t="s">
        <v>22</v>
      </c>
      <c r="AL4" s="842"/>
      <c r="AM4" s="313" t="s">
        <v>1036</v>
      </c>
      <c r="AX4" s="529">
        <v>0</v>
      </c>
    </row>
    <row s="1390" customFormat="1" customHeight="1" ht="15" hidden="1">
      <c r="C5" s="696"/>
      <c r="K5" s="1390"/>
      <c r="L5" s="1390"/>
      <c r="M5" s="1390"/>
      <c r="N5" s="1390"/>
      <c r="O5" s="1390"/>
      <c r="P5" s="1390"/>
      <c r="Q5" s="1390"/>
      <c r="R5" s="1390"/>
      <c r="S5" s="1390"/>
      <c r="T5" s="1390"/>
      <c r="U5" s="1390"/>
      <c r="V5" s="1390"/>
      <c r="W5" s="1390"/>
      <c r="X5" s="1390"/>
      <c r="Y5" s="1390"/>
      <c r="Z5" s="1390"/>
      <c r="AA5" s="1390"/>
      <c r="AB5" s="1390"/>
      <c r="AC5" s="1390"/>
      <c r="AD5" s="1390"/>
      <c r="AE5" s="1390"/>
      <c r="AF5" s="1390"/>
      <c r="AG5" s="1390"/>
      <c r="AH5" s="1390"/>
      <c r="AI5" s="1390"/>
      <c r="AJ5" s="1390"/>
      <c r="AK5" s="1390"/>
      <c r="AL5" s="1390"/>
      <c r="AW5" s="444"/>
      <c r="AX5" s="441">
        <v>0</v>
      </c>
    </row>
    <row customHeight="1" ht="22.5" hidden="1">
      <c r="A6" s="529"/>
      <c r="B6" s="2421"/>
      <c r="C6" s="2422" t="s">
        <v>104</v>
      </c>
      <c r="D6" s="713" t="str">
        <f>B6&amp;".1"</f>
        <v>.1</v>
      </c>
      <c r="E6" s="714" t="s">
        <v>1037</v>
      </c>
      <c r="F6" s="715" t="s">
        <v>390</v>
      </c>
      <c r="G6" s="710"/>
      <c r="H6" s="425"/>
      <c r="I6" s="710"/>
      <c r="J6" s="425"/>
      <c r="K6" s="2377"/>
      <c r="L6" s="842"/>
      <c r="M6" s="2377"/>
      <c r="N6" s="842"/>
      <c r="O6" s="2377"/>
      <c r="P6" s="842"/>
      <c r="Q6" s="2377"/>
      <c r="R6" s="842"/>
      <c r="S6" s="2377"/>
      <c r="T6" s="842"/>
      <c r="U6" s="2377"/>
      <c r="V6" s="842"/>
      <c r="W6" s="2377"/>
      <c r="X6" s="842"/>
      <c r="Y6" s="2377"/>
      <c r="Z6" s="842"/>
      <c r="AA6" s="2377"/>
      <c r="AB6" s="842"/>
      <c r="AC6" s="2377"/>
      <c r="AD6" s="842"/>
      <c r="AE6" s="2377"/>
      <c r="AF6" s="842"/>
      <c r="AG6" s="2377"/>
      <c r="AH6" s="842"/>
      <c r="AI6" s="2377"/>
      <c r="AJ6" s="842"/>
      <c r="AK6" s="2377"/>
      <c r="AL6" s="842"/>
      <c r="AM6" s="313" t="s">
        <v>1038</v>
      </c>
      <c r="AX6" s="529">
        <v>0</v>
      </c>
    </row>
    <row customHeight="1" ht="15" hidden="1">
      <c r="A7" s="529"/>
      <c r="B7" s="2421"/>
      <c r="C7" s="2422"/>
      <c r="D7" s="713" t="str">
        <f>B6&amp;".2"</f>
        <v>.2</v>
      </c>
      <c r="E7" s="714" t="s">
        <v>1035</v>
      </c>
      <c r="F7" s="715" t="s">
        <v>390</v>
      </c>
      <c r="G7" s="1762" t="s">
        <v>22</v>
      </c>
      <c r="H7" s="425"/>
      <c r="I7" s="1762" t="s">
        <v>22</v>
      </c>
      <c r="J7" s="425"/>
      <c r="K7" s="1762" t="s">
        <v>22</v>
      </c>
      <c r="L7" s="842"/>
      <c r="M7" s="1762" t="s">
        <v>22</v>
      </c>
      <c r="N7" s="842"/>
      <c r="O7" s="1762" t="s">
        <v>22</v>
      </c>
      <c r="P7" s="842"/>
      <c r="Q7" s="1762" t="s">
        <v>22</v>
      </c>
      <c r="R7" s="842"/>
      <c r="S7" s="1762" t="s">
        <v>22</v>
      </c>
      <c r="T7" s="842"/>
      <c r="U7" s="1762" t="s">
        <v>22</v>
      </c>
      <c r="V7" s="842"/>
      <c r="W7" s="1762" t="s">
        <v>22</v>
      </c>
      <c r="X7" s="842"/>
      <c r="Y7" s="1762" t="s">
        <v>22</v>
      </c>
      <c r="Z7" s="842"/>
      <c r="AA7" s="1762" t="s">
        <v>22</v>
      </c>
      <c r="AB7" s="842"/>
      <c r="AC7" s="1762" t="s">
        <v>22</v>
      </c>
      <c r="AD7" s="842"/>
      <c r="AE7" s="1762" t="s">
        <v>22</v>
      </c>
      <c r="AF7" s="842"/>
      <c r="AG7" s="1762" t="s">
        <v>22</v>
      </c>
      <c r="AH7" s="842"/>
      <c r="AI7" s="1762" t="s">
        <v>22</v>
      </c>
      <c r="AJ7" s="842"/>
      <c r="AK7" s="1762" t="s">
        <v>22</v>
      </c>
      <c r="AL7" s="842"/>
      <c r="AM7" s="313" t="s">
        <v>1036</v>
      </c>
      <c r="AX7" s="529">
        <v>0</v>
      </c>
    </row>
    <row s="1390" customFormat="1" customHeight="1" ht="15" hidden="1">
      <c r="C8" s="696"/>
      <c r="K8" s="1390"/>
      <c r="L8" s="1390"/>
      <c r="M8" s="1390"/>
      <c r="N8" s="1390"/>
      <c r="O8" s="1390"/>
      <c r="P8" s="1390"/>
      <c r="Q8" s="1390"/>
      <c r="R8" s="1390"/>
      <c r="S8" s="1390"/>
      <c r="T8" s="1390"/>
      <c r="U8" s="1390"/>
      <c r="V8" s="1390"/>
      <c r="W8" s="1390"/>
      <c r="X8" s="1390"/>
      <c r="Y8" s="1390"/>
      <c r="Z8" s="1390"/>
      <c r="AA8" s="1390"/>
      <c r="AB8" s="1390"/>
      <c r="AC8" s="1390"/>
      <c r="AD8" s="1390"/>
      <c r="AE8" s="1390"/>
      <c r="AF8" s="1390"/>
      <c r="AG8" s="1390"/>
      <c r="AH8" s="1390"/>
      <c r="AI8" s="1390"/>
      <c r="AJ8" s="1390"/>
      <c r="AK8" s="1390"/>
      <c r="AL8" s="1390"/>
      <c r="AW8" s="444"/>
      <c r="AX8" s="441">
        <v>0</v>
      </c>
    </row>
    <row customHeight="1" ht="22.5" hidden="1">
      <c r="A9" s="529"/>
      <c r="B9" s="2421"/>
      <c r="C9" s="2422" t="s">
        <v>104</v>
      </c>
      <c r="D9" s="713" t="str">
        <f>B9&amp;".1"</f>
        <v>.1</v>
      </c>
      <c r="E9" s="714" t="s">
        <v>1039</v>
      </c>
      <c r="F9" s="715" t="s">
        <v>390</v>
      </c>
      <c r="G9" s="721" t="s">
        <v>22</v>
      </c>
      <c r="H9" s="425" t="s">
        <v>22</v>
      </c>
      <c r="I9" s="721" t="s">
        <v>22</v>
      </c>
      <c r="J9" s="425" t="s">
        <v>22</v>
      </c>
      <c r="K9" s="885" t="s">
        <v>22</v>
      </c>
      <c r="L9" s="842" t="s">
        <v>22</v>
      </c>
      <c r="M9" s="2939" t="s">
        <v>22</v>
      </c>
      <c r="N9" s="2940" t="s">
        <v>22</v>
      </c>
      <c r="O9" s="885" t="s">
        <v>22</v>
      </c>
      <c r="P9" s="842" t="s">
        <v>22</v>
      </c>
      <c r="Q9" s="885" t="s">
        <v>22</v>
      </c>
      <c r="R9" s="842" t="s">
        <v>22</v>
      </c>
      <c r="S9" s="885" t="s">
        <v>22</v>
      </c>
      <c r="T9" s="842" t="s">
        <v>22</v>
      </c>
      <c r="U9" s="885" t="s">
        <v>22</v>
      </c>
      <c r="V9" s="842" t="s">
        <v>22</v>
      </c>
      <c r="W9" s="885" t="s">
        <v>22</v>
      </c>
      <c r="X9" s="842" t="s">
        <v>22</v>
      </c>
      <c r="Y9" s="885" t="s">
        <v>22</v>
      </c>
      <c r="Z9" s="842" t="s">
        <v>22</v>
      </c>
      <c r="AA9" s="2939" t="s">
        <v>22</v>
      </c>
      <c r="AB9" s="2940" t="s">
        <v>22</v>
      </c>
      <c r="AC9" s="885" t="s">
        <v>22</v>
      </c>
      <c r="AD9" s="842" t="s">
        <v>22</v>
      </c>
      <c r="AE9" s="885" t="s">
        <v>22</v>
      </c>
      <c r="AF9" s="842" t="s">
        <v>22</v>
      </c>
      <c r="AG9" s="2939" t="s">
        <v>22</v>
      </c>
      <c r="AH9" s="2940" t="s">
        <v>22</v>
      </c>
      <c r="AI9" s="885" t="s">
        <v>22</v>
      </c>
      <c r="AJ9" s="842" t="s">
        <v>22</v>
      </c>
      <c r="AK9" s="885" t="s">
        <v>22</v>
      </c>
      <c r="AL9" s="842" t="s">
        <v>22</v>
      </c>
      <c r="AM9" s="313"/>
      <c r="AX9" s="529">
        <v>0</v>
      </c>
    </row>
    <row customHeight="1" ht="15" hidden="1">
      <c r="A10" s="529"/>
      <c r="B10" s="2421"/>
      <c r="C10" s="2422"/>
      <c r="D10" s="713" t="str">
        <f>B9&amp;".2"</f>
        <v>.2</v>
      </c>
      <c r="E10" s="714" t="s">
        <v>1040</v>
      </c>
      <c r="F10" s="715" t="s">
        <v>390</v>
      </c>
      <c r="G10" s="1756" t="s">
        <v>22</v>
      </c>
      <c r="H10" s="425" t="s">
        <v>22</v>
      </c>
      <c r="I10" s="1756" t="s">
        <v>22</v>
      </c>
      <c r="J10" s="425" t="s">
        <v>22</v>
      </c>
      <c r="K10" s="1756" t="s">
        <v>22</v>
      </c>
      <c r="L10" s="842" t="s">
        <v>22</v>
      </c>
      <c r="M10" s="2941" t="s">
        <v>22</v>
      </c>
      <c r="N10" s="2940" t="s">
        <v>22</v>
      </c>
      <c r="O10" s="1756" t="s">
        <v>22</v>
      </c>
      <c r="P10" s="842" t="s">
        <v>22</v>
      </c>
      <c r="Q10" s="1756" t="s">
        <v>22</v>
      </c>
      <c r="R10" s="842" t="s">
        <v>22</v>
      </c>
      <c r="S10" s="1756" t="s">
        <v>22</v>
      </c>
      <c r="T10" s="842" t="s">
        <v>22</v>
      </c>
      <c r="U10" s="1756" t="s">
        <v>22</v>
      </c>
      <c r="V10" s="842" t="s">
        <v>22</v>
      </c>
      <c r="W10" s="1756" t="s">
        <v>22</v>
      </c>
      <c r="X10" s="842" t="s">
        <v>22</v>
      </c>
      <c r="Y10" s="1756" t="s">
        <v>22</v>
      </c>
      <c r="Z10" s="842" t="s">
        <v>22</v>
      </c>
      <c r="AA10" s="2941" t="s">
        <v>22</v>
      </c>
      <c r="AB10" s="2940" t="s">
        <v>22</v>
      </c>
      <c r="AC10" s="1756" t="s">
        <v>22</v>
      </c>
      <c r="AD10" s="842" t="s">
        <v>22</v>
      </c>
      <c r="AE10" s="1756" t="s">
        <v>22</v>
      </c>
      <c r="AF10" s="842" t="s">
        <v>22</v>
      </c>
      <c r="AG10" s="2941" t="s">
        <v>22</v>
      </c>
      <c r="AH10" s="2940" t="s">
        <v>22</v>
      </c>
      <c r="AI10" s="1756" t="s">
        <v>22</v>
      </c>
      <c r="AJ10" s="842" t="s">
        <v>22</v>
      </c>
      <c r="AK10" s="1756" t="s">
        <v>22</v>
      </c>
      <c r="AL10" s="842" t="s">
        <v>22</v>
      </c>
      <c r="AM10" s="313" t="s">
        <v>1041</v>
      </c>
      <c r="AX10" s="529">
        <v>0</v>
      </c>
    </row>
    <row customHeight="1" ht="15" hidden="1">
      <c r="A11" s="529"/>
      <c r="B11" s="2421"/>
      <c r="C11" s="2422"/>
      <c r="D11" s="713" t="str">
        <f>B9&amp;".3"</f>
        <v>.3</v>
      </c>
      <c r="E11" s="714" t="s">
        <v>1042</v>
      </c>
      <c r="F11" s="715" t="s">
        <v>390</v>
      </c>
      <c r="G11" s="1756" t="s">
        <v>22</v>
      </c>
      <c r="H11" s="425" t="s">
        <v>22</v>
      </c>
      <c r="I11" s="1756" t="s">
        <v>22</v>
      </c>
      <c r="J11" s="425" t="s">
        <v>22</v>
      </c>
      <c r="K11" s="1756" t="s">
        <v>22</v>
      </c>
      <c r="L11" s="842" t="s">
        <v>22</v>
      </c>
      <c r="M11" s="2941" t="s">
        <v>22</v>
      </c>
      <c r="N11" s="2940" t="s">
        <v>22</v>
      </c>
      <c r="O11" s="1756" t="s">
        <v>22</v>
      </c>
      <c r="P11" s="842" t="s">
        <v>22</v>
      </c>
      <c r="Q11" s="1756" t="s">
        <v>22</v>
      </c>
      <c r="R11" s="842" t="s">
        <v>22</v>
      </c>
      <c r="S11" s="1756" t="s">
        <v>22</v>
      </c>
      <c r="T11" s="842" t="s">
        <v>22</v>
      </c>
      <c r="U11" s="1756" t="s">
        <v>22</v>
      </c>
      <c r="V11" s="842" t="s">
        <v>22</v>
      </c>
      <c r="W11" s="1756" t="s">
        <v>22</v>
      </c>
      <c r="X11" s="842" t="s">
        <v>22</v>
      </c>
      <c r="Y11" s="1756" t="s">
        <v>22</v>
      </c>
      <c r="Z11" s="842" t="s">
        <v>22</v>
      </c>
      <c r="AA11" s="2941" t="s">
        <v>22</v>
      </c>
      <c r="AB11" s="2940" t="s">
        <v>22</v>
      </c>
      <c r="AC11" s="1756" t="s">
        <v>22</v>
      </c>
      <c r="AD11" s="842" t="s">
        <v>22</v>
      </c>
      <c r="AE11" s="1756" t="s">
        <v>22</v>
      </c>
      <c r="AF11" s="842" t="s">
        <v>22</v>
      </c>
      <c r="AG11" s="2941" t="s">
        <v>22</v>
      </c>
      <c r="AH11" s="2940" t="s">
        <v>22</v>
      </c>
      <c r="AI11" s="1756" t="s">
        <v>22</v>
      </c>
      <c r="AJ11" s="842" t="s">
        <v>22</v>
      </c>
      <c r="AK11" s="1756" t="s">
        <v>22</v>
      </c>
      <c r="AL11" s="842" t="s">
        <v>22</v>
      </c>
      <c r="AM11" s="313" t="s">
        <v>1043</v>
      </c>
      <c r="AX11" s="529">
        <v>0</v>
      </c>
    </row>
    <row s="1390" customFormat="1" customHeight="1" ht="15" hidden="1">
      <c r="C12" s="696"/>
      <c r="K12" s="1390"/>
      <c r="L12" s="1390"/>
      <c r="M12" s="1390"/>
      <c r="N12" s="1390"/>
      <c r="O12" s="1390"/>
      <c r="P12" s="1390"/>
      <c r="Q12" s="1390"/>
      <c r="R12" s="1390"/>
      <c r="S12" s="1390"/>
      <c r="T12" s="1390"/>
      <c r="U12" s="1390"/>
      <c r="V12" s="1390"/>
      <c r="W12" s="1390"/>
      <c r="X12" s="1390"/>
      <c r="Y12" s="1390"/>
      <c r="Z12" s="1390"/>
      <c r="AA12" s="1390"/>
      <c r="AB12" s="1390"/>
      <c r="AC12" s="1390"/>
      <c r="AD12" s="1390"/>
      <c r="AE12" s="1390"/>
      <c r="AF12" s="1390"/>
      <c r="AG12" s="1390"/>
      <c r="AH12" s="1390"/>
      <c r="AI12" s="1390"/>
      <c r="AJ12" s="1390"/>
      <c r="AK12" s="1390"/>
      <c r="AL12" s="1390"/>
      <c r="AW12" s="444"/>
      <c r="AX12" s="441">
        <v>0</v>
      </c>
    </row>
    <row customHeight="1" ht="33.75" hidden="1">
      <c r="A13" s="529"/>
      <c r="B13" s="2421"/>
      <c r="C13" s="2422" t="s">
        <v>104</v>
      </c>
      <c r="D13" s="713" t="str">
        <f>B13&amp;".1"</f>
        <v>.1</v>
      </c>
      <c r="E13" s="714" t="s">
        <v>1044</v>
      </c>
      <c r="F13" s="715" t="s">
        <v>390</v>
      </c>
      <c r="G13" s="721" t="s">
        <v>22</v>
      </c>
      <c r="H13" s="425" t="s">
        <v>22</v>
      </c>
      <c r="I13" s="2917" t="s">
        <v>22</v>
      </c>
      <c r="J13" s="2918" t="s">
        <v>22</v>
      </c>
      <c r="K13" s="2939" t="s">
        <v>22</v>
      </c>
      <c r="L13" s="2940" t="s">
        <v>22</v>
      </c>
      <c r="M13" s="2939" t="s">
        <v>22</v>
      </c>
      <c r="N13" s="2940" t="s">
        <v>22</v>
      </c>
      <c r="O13" s="2919" t="s">
        <v>22</v>
      </c>
      <c r="P13" s="2920" t="s">
        <v>22</v>
      </c>
      <c r="Q13" s="2919" t="s">
        <v>22</v>
      </c>
      <c r="R13" s="2920" t="s">
        <v>22</v>
      </c>
      <c r="S13" s="2919" t="s">
        <v>22</v>
      </c>
      <c r="T13" s="2920" t="s">
        <v>22</v>
      </c>
      <c r="U13" s="2919" t="s">
        <v>22</v>
      </c>
      <c r="V13" s="2920" t="s">
        <v>22</v>
      </c>
      <c r="W13" s="2939" t="s">
        <v>22</v>
      </c>
      <c r="X13" s="2940" t="s">
        <v>22</v>
      </c>
      <c r="Y13" s="2939" t="s">
        <v>22</v>
      </c>
      <c r="Z13" s="2940" t="s">
        <v>22</v>
      </c>
      <c r="AA13" s="2939" t="s">
        <v>22</v>
      </c>
      <c r="AB13" s="2940" t="s">
        <v>22</v>
      </c>
      <c r="AC13" s="2939" t="s">
        <v>22</v>
      </c>
      <c r="AD13" s="2940" t="s">
        <v>22</v>
      </c>
      <c r="AE13" s="2939" t="s">
        <v>22</v>
      </c>
      <c r="AF13" s="2940" t="s">
        <v>22</v>
      </c>
      <c r="AG13" s="2939" t="s">
        <v>22</v>
      </c>
      <c r="AH13" s="2940" t="s">
        <v>22</v>
      </c>
      <c r="AI13" s="2939" t="s">
        <v>22</v>
      </c>
      <c r="AJ13" s="2940" t="s">
        <v>22</v>
      </c>
      <c r="AK13" s="2939" t="s">
        <v>22</v>
      </c>
      <c r="AL13" s="2940" t="s">
        <v>22</v>
      </c>
      <c r="AM13" s="313" t="s">
        <v>1045</v>
      </c>
      <c r="AX13" s="529">
        <v>0</v>
      </c>
    </row>
    <row customHeight="1" ht="15" hidden="1">
      <c r="B14" s="2421"/>
      <c r="C14" s="2422"/>
      <c r="D14" s="713" t="str">
        <f>B13&amp;".2"</f>
        <v>.2</v>
      </c>
      <c r="E14" s="714" t="s">
        <v>1046</v>
      </c>
      <c r="F14" s="715" t="s">
        <v>390</v>
      </c>
      <c r="G14" s="1756" t="s">
        <v>22</v>
      </c>
      <c r="H14" s="425" t="s">
        <v>22</v>
      </c>
      <c r="I14" s="2921" t="s">
        <v>22</v>
      </c>
      <c r="J14" s="2918" t="s">
        <v>22</v>
      </c>
      <c r="K14" s="2941" t="s">
        <v>22</v>
      </c>
      <c r="L14" s="2940" t="s">
        <v>22</v>
      </c>
      <c r="M14" s="2941" t="s">
        <v>22</v>
      </c>
      <c r="N14" s="2940" t="s">
        <v>22</v>
      </c>
      <c r="O14" s="2921" t="s">
        <v>22</v>
      </c>
      <c r="P14" s="2920" t="s">
        <v>22</v>
      </c>
      <c r="Q14" s="2921" t="s">
        <v>22</v>
      </c>
      <c r="R14" s="2920" t="s">
        <v>22</v>
      </c>
      <c r="S14" s="2921" t="s">
        <v>22</v>
      </c>
      <c r="T14" s="2920" t="s">
        <v>22</v>
      </c>
      <c r="U14" s="2921" t="s">
        <v>22</v>
      </c>
      <c r="V14" s="2920" t="s">
        <v>22</v>
      </c>
      <c r="W14" s="2941" t="s">
        <v>22</v>
      </c>
      <c r="X14" s="2940" t="s">
        <v>22</v>
      </c>
      <c r="Y14" s="2941" t="s">
        <v>22</v>
      </c>
      <c r="Z14" s="2940" t="s">
        <v>22</v>
      </c>
      <c r="AA14" s="2941" t="s">
        <v>22</v>
      </c>
      <c r="AB14" s="2940" t="s">
        <v>22</v>
      </c>
      <c r="AC14" s="2941" t="s">
        <v>22</v>
      </c>
      <c r="AD14" s="2940" t="s">
        <v>22</v>
      </c>
      <c r="AE14" s="2941" t="s">
        <v>22</v>
      </c>
      <c r="AF14" s="2940" t="s">
        <v>22</v>
      </c>
      <c r="AG14" s="2941" t="s">
        <v>22</v>
      </c>
      <c r="AH14" s="2940" t="s">
        <v>22</v>
      </c>
      <c r="AI14" s="2941" t="s">
        <v>22</v>
      </c>
      <c r="AJ14" s="2940" t="s">
        <v>22</v>
      </c>
      <c r="AK14" s="2941" t="s">
        <v>22</v>
      </c>
      <c r="AL14" s="2940" t="s">
        <v>22</v>
      </c>
      <c r="AM14" s="313" t="s">
        <v>1047</v>
      </c>
      <c r="AX14" s="529">
        <v>0</v>
      </c>
    </row>
    <row s="1390" customFormat="1" customHeight="1" ht="15" hidden="1">
      <c r="C15" s="696"/>
      <c r="K15" s="1390"/>
      <c r="L15" s="1390"/>
      <c r="M15" s="1390"/>
      <c r="N15" s="1390"/>
      <c r="O15" s="1390"/>
      <c r="P15" s="1390"/>
      <c r="Q15" s="1390"/>
      <c r="R15" s="1390"/>
      <c r="S15" s="1390"/>
      <c r="T15" s="1390"/>
      <c r="U15" s="1390"/>
      <c r="V15" s="1390"/>
      <c r="W15" s="1390"/>
      <c r="X15" s="1390"/>
      <c r="Y15" s="1390"/>
      <c r="Z15" s="1390"/>
      <c r="AA15" s="1390"/>
      <c r="AB15" s="1390"/>
      <c r="AC15" s="1390"/>
      <c r="AD15" s="1390"/>
      <c r="AE15" s="1390"/>
      <c r="AF15" s="1390"/>
      <c r="AG15" s="1390"/>
      <c r="AH15" s="1390"/>
      <c r="AI15" s="1390"/>
      <c r="AJ15" s="1390"/>
      <c r="AK15" s="1390"/>
      <c r="AL15" s="1390"/>
      <c r="AW15" s="444"/>
      <c r="AX15" s="441">
        <v>0</v>
      </c>
    </row>
    <row s="1390" customFormat="1" customHeight="1" ht="15" hidden="1">
      <c r="C16" s="696"/>
      <c r="K16" s="1390"/>
      <c r="L16" s="1390"/>
      <c r="M16" s="1390"/>
      <c r="N16" s="1390"/>
      <c r="O16" s="1390"/>
      <c r="P16" s="1390"/>
      <c r="Q16" s="1390"/>
      <c r="R16" s="1390"/>
      <c r="S16" s="1390"/>
      <c r="T16" s="1390"/>
      <c r="U16" s="1390"/>
      <c r="V16" s="1390"/>
      <c r="W16" s="1390"/>
      <c r="X16" s="1390"/>
      <c r="Y16" s="1390"/>
      <c r="Z16" s="1390"/>
      <c r="AA16" s="1390"/>
      <c r="AB16" s="1390"/>
      <c r="AC16" s="1390"/>
      <c r="AD16" s="1390"/>
      <c r="AE16" s="1390"/>
      <c r="AF16" s="1390"/>
      <c r="AG16" s="1390"/>
      <c r="AH16" s="1390"/>
      <c r="AI16" s="1390"/>
      <c r="AJ16" s="1390"/>
      <c r="AK16" s="1390"/>
      <c r="AL16" s="1390"/>
      <c r="AW16" s="444"/>
      <c r="AX16" s="441">
        <v>0</v>
      </c>
    </row>
    <row s="1390" customFormat="1" customHeight="1" ht="15" hidden="1">
      <c r="C17" s="696"/>
      <c r="K17" s="1390"/>
      <c r="L17" s="1390"/>
      <c r="M17" s="1390"/>
      <c r="N17" s="1390"/>
      <c r="O17" s="1390"/>
      <c r="P17" s="1390"/>
      <c r="Q17" s="1390"/>
      <c r="R17" s="1390"/>
      <c r="S17" s="1390"/>
      <c r="T17" s="1390"/>
      <c r="U17" s="1390"/>
      <c r="V17" s="1390"/>
      <c r="W17" s="1390"/>
      <c r="X17" s="1390"/>
      <c r="Y17" s="1390"/>
      <c r="Z17" s="1390"/>
      <c r="AA17" s="1390"/>
      <c r="AB17" s="1390"/>
      <c r="AC17" s="1390"/>
      <c r="AD17" s="1390"/>
      <c r="AE17" s="1390"/>
      <c r="AF17" s="1390"/>
      <c r="AG17" s="1390"/>
      <c r="AH17" s="1390"/>
      <c r="AI17" s="1390"/>
      <c r="AJ17" s="1390"/>
      <c r="AK17" s="1390"/>
      <c r="AL17" s="1390"/>
      <c r="AW17" s="444"/>
      <c r="AX17" s="441">
        <v>0</v>
      </c>
    </row>
    <row s="1390" customFormat="1" customHeight="1" ht="15" hidden="1">
      <c r="C18" s="696"/>
      <c r="K18" s="1390"/>
      <c r="L18" s="1390"/>
      <c r="M18" s="1390"/>
      <c r="N18" s="1390"/>
      <c r="O18" s="1390"/>
      <c r="P18" s="1390"/>
      <c r="Q18" s="1390"/>
      <c r="R18" s="1390"/>
      <c r="S18" s="1390"/>
      <c r="T18" s="1390"/>
      <c r="U18" s="1390"/>
      <c r="V18" s="1390"/>
      <c r="W18" s="1390"/>
      <c r="X18" s="1390"/>
      <c r="Y18" s="1390"/>
      <c r="Z18" s="1390"/>
      <c r="AA18" s="1390"/>
      <c r="AB18" s="1390"/>
      <c r="AC18" s="1390"/>
      <c r="AD18" s="1390"/>
      <c r="AE18" s="1390"/>
      <c r="AF18" s="1390"/>
      <c r="AG18" s="1390"/>
      <c r="AH18" s="1390"/>
      <c r="AI18" s="1390"/>
      <c r="AJ18" s="1390"/>
      <c r="AK18" s="1390"/>
      <c r="AL18" s="1390"/>
      <c r="AW18" s="444"/>
      <c r="AX18" s="441">
        <v>0</v>
      </c>
    </row>
    <row s="1390" customFormat="1" customHeight="1" ht="15" hidden="1">
      <c r="C19" s="696"/>
      <c r="K19" s="1390"/>
      <c r="L19" s="1390"/>
      <c r="M19" s="1390"/>
      <c r="N19" s="1390"/>
      <c r="O19" s="1390"/>
      <c r="P19" s="1390"/>
      <c r="Q19" s="1390"/>
      <c r="R19" s="1390"/>
      <c r="S19" s="1390"/>
      <c r="T19" s="1390"/>
      <c r="U19" s="1390"/>
      <c r="V19" s="1390"/>
      <c r="W19" s="1390"/>
      <c r="X19" s="1390"/>
      <c r="Y19" s="1390"/>
      <c r="Z19" s="1390"/>
      <c r="AA19" s="1390"/>
      <c r="AB19" s="1390"/>
      <c r="AC19" s="1390"/>
      <c r="AD19" s="1390"/>
      <c r="AE19" s="1390"/>
      <c r="AF19" s="1390"/>
      <c r="AG19" s="1390"/>
      <c r="AH19" s="1390"/>
      <c r="AI19" s="1390"/>
      <c r="AJ19" s="1390"/>
      <c r="AK19" s="1390"/>
      <c r="AL19" s="1390"/>
      <c r="AW19" s="444"/>
      <c r="AX19" s="441">
        <v>0</v>
      </c>
    </row>
    <row s="1390" customFormat="1" customHeight="1" ht="15" hidden="1">
      <c r="C20" s="696"/>
      <c r="K20" s="1390"/>
      <c r="L20" s="1390"/>
      <c r="M20" s="1390"/>
      <c r="N20" s="1390"/>
      <c r="O20" s="1390"/>
      <c r="P20" s="1390"/>
      <c r="Q20" s="1390"/>
      <c r="R20" s="1390"/>
      <c r="S20" s="1390"/>
      <c r="T20" s="1390"/>
      <c r="U20" s="1390"/>
      <c r="V20" s="1390"/>
      <c r="W20" s="1390"/>
      <c r="X20" s="1390"/>
      <c r="Y20" s="1390"/>
      <c r="Z20" s="1390"/>
      <c r="AA20" s="1390"/>
      <c r="AB20" s="1390"/>
      <c r="AC20" s="1390"/>
      <c r="AD20" s="1390"/>
      <c r="AE20" s="1390"/>
      <c r="AF20" s="1390"/>
      <c r="AG20" s="1390"/>
      <c r="AH20" s="1390"/>
      <c r="AI20" s="1390"/>
      <c r="AJ20" s="1390"/>
      <c r="AK20" s="1390"/>
      <c r="AL20" s="1390"/>
      <c r="AW20" s="444"/>
      <c r="AX20" s="441">
        <v>0</v>
      </c>
    </row>
    <row customHeight="1" ht="15.75">
      <c r="C21" s="200"/>
      <c r="D21" s="533"/>
      <c r="E21" s="533"/>
      <c r="F21" s="533"/>
      <c r="G21" s="533"/>
      <c r="H21" s="533"/>
      <c r="I21" s="533"/>
      <c r="J21" s="533"/>
      <c r="K21" s="1659"/>
      <c r="L21" s="1659"/>
      <c r="M21" s="1659"/>
      <c r="N21" s="1659"/>
      <c r="O21" s="1659"/>
      <c r="P21" s="1659"/>
      <c r="Q21" s="1659"/>
      <c r="R21" s="1659"/>
      <c r="S21" s="1659"/>
      <c r="T21" s="1659"/>
      <c r="U21" s="1659"/>
      <c r="V21" s="1659"/>
      <c r="W21" s="1659"/>
      <c r="X21" s="1659"/>
      <c r="Y21" s="1659"/>
      <c r="Z21" s="1659"/>
      <c r="AA21" s="1659"/>
      <c r="AB21" s="1659"/>
      <c r="AC21" s="1659"/>
      <c r="AD21" s="1659"/>
      <c r="AE21" s="1659"/>
      <c r="AF21" s="1659"/>
      <c r="AG21" s="1659"/>
      <c r="AH21" s="1659"/>
      <c r="AI21" s="1659"/>
      <c r="AJ21" s="1659"/>
      <c r="AK21" s="1659"/>
      <c r="AL21" s="1659"/>
      <c r="AX21" s="529">
        <v>15</v>
      </c>
    </row>
    <row customHeight="1" ht="23.25">
      <c r="C22" s="200"/>
      <c r="D22" s="226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61"/>
      <c r="F22" s="2261"/>
      <c r="G22" s="2261"/>
      <c r="H22" s="2261"/>
      <c r="I22" s="2261"/>
      <c r="J22" s="700"/>
      <c r="K22" s="2272"/>
      <c r="L22" s="2272"/>
      <c r="M22" s="2272"/>
      <c r="N22" s="2272"/>
      <c r="O22" s="2272"/>
      <c r="P22" s="2272"/>
      <c r="Q22" s="2272"/>
      <c r="R22" s="2272"/>
      <c r="S22" s="2272"/>
      <c r="T22" s="2272"/>
      <c r="U22" s="2272"/>
      <c r="V22" s="2272"/>
      <c r="W22" s="2272"/>
      <c r="X22" s="2272"/>
      <c r="Y22" s="2272"/>
      <c r="Z22" s="2272"/>
      <c r="AA22" s="2272"/>
      <c r="AB22" s="2272"/>
      <c r="AC22" s="2272"/>
      <c r="AD22" s="2272"/>
      <c r="AE22" s="2272"/>
      <c r="AF22" s="2272"/>
      <c r="AG22" s="2272"/>
      <c r="AH22" s="2272"/>
      <c r="AI22" s="2272"/>
      <c r="AJ22" s="2272"/>
      <c r="AK22" s="2272"/>
      <c r="AL22" s="2272"/>
      <c r="AM22" s="561"/>
      <c r="AX22" s="529">
        <v>22</v>
      </c>
    </row>
    <row customHeight="1" ht="15.75">
      <c r="C23" s="200"/>
      <c r="D23" s="2200" t="str">
        <f>IF(org=0,"Не определено",org)</f>
        <v>АО "ДГК"</v>
      </c>
      <c r="E23" s="2200"/>
      <c r="F23" s="2200"/>
      <c r="G23" s="2200"/>
      <c r="H23" s="2200"/>
      <c r="I23" s="2200"/>
      <c r="J23" s="700"/>
      <c r="K23" s="2273"/>
      <c r="L23" s="2273"/>
      <c r="M23" s="2273"/>
      <c r="N23" s="2273"/>
      <c r="O23" s="2273"/>
      <c r="P23" s="2273"/>
      <c r="Q23" s="2273"/>
      <c r="R23" s="2273"/>
      <c r="S23" s="2273"/>
      <c r="T23" s="2273"/>
      <c r="U23" s="2273"/>
      <c r="V23" s="2273"/>
      <c r="W23" s="2273"/>
      <c r="X23" s="2273"/>
      <c r="Y23" s="2273"/>
      <c r="Z23" s="2273"/>
      <c r="AA23" s="2273"/>
      <c r="AB23" s="2273"/>
      <c r="AC23" s="2273"/>
      <c r="AD23" s="2273"/>
      <c r="AE23" s="2273"/>
      <c r="AF23" s="2273"/>
      <c r="AG23" s="2273"/>
      <c r="AH23" s="2273"/>
      <c r="AI23" s="2273"/>
      <c r="AJ23" s="2273"/>
      <c r="AK23" s="2273"/>
      <c r="AL23" s="2273"/>
      <c r="AM23" s="561"/>
      <c r="AX23" s="529">
        <v>15</v>
      </c>
    </row>
    <row customHeight="1" ht="15.75">
      <c r="C24" s="200"/>
      <c r="D24" s="533"/>
      <c r="E24" s="533"/>
      <c r="F24" s="533"/>
      <c r="G24" s="561">
        <v>22</v>
      </c>
      <c r="H24" s="776"/>
      <c r="I24" s="561">
        <v>22</v>
      </c>
      <c r="J24" s="776"/>
      <c r="K24" s="1390" t="s">
        <v>22</v>
      </c>
      <c r="L24" s="776"/>
      <c r="M24" s="1390" t="s">
        <v>22</v>
      </c>
      <c r="N24" s="776"/>
      <c r="O24" s="1390" t="s">
        <v>22</v>
      </c>
      <c r="P24" s="776"/>
      <c r="Q24" s="1390" t="s">
        <v>22</v>
      </c>
      <c r="R24" s="776"/>
      <c r="S24" s="1390" t="s">
        <v>22</v>
      </c>
      <c r="T24" s="776"/>
      <c r="U24" s="1390" t="s">
        <v>22</v>
      </c>
      <c r="V24" s="776"/>
      <c r="W24" s="1390" t="s">
        <v>22</v>
      </c>
      <c r="X24" s="776"/>
      <c r="Y24" s="1390" t="s">
        <v>22</v>
      </c>
      <c r="Z24" s="776"/>
      <c r="AA24" s="1390" t="s">
        <v>22</v>
      </c>
      <c r="AB24" s="776"/>
      <c r="AC24" s="1390" t="s">
        <v>22</v>
      </c>
      <c r="AD24" s="776"/>
      <c r="AE24" s="1390" t="s">
        <v>22</v>
      </c>
      <c r="AF24" s="776"/>
      <c r="AG24" s="1390" t="s">
        <v>22</v>
      </c>
      <c r="AH24" s="776"/>
      <c r="AI24" s="1390" t="s">
        <v>22</v>
      </c>
      <c r="AJ24" s="776"/>
      <c r="AK24" s="1390" t="s">
        <v>22</v>
      </c>
      <c r="AL24" s="776"/>
      <c r="AX24" s="529">
        <v>15</v>
      </c>
    </row>
    <row s="1659" customFormat="1" customHeight="1" ht="1.05">
      <c r="A25" s="783"/>
      <c r="C25" s="200"/>
      <c r="D25" s="533"/>
      <c r="E25" s="533"/>
      <c r="F25" s="533"/>
      <c r="G25" s="561"/>
      <c r="H25" s="776"/>
      <c r="I25" s="561" t="s">
        <v>176</v>
      </c>
      <c r="J25" s="776"/>
      <c r="K25" s="1390" t="s">
        <v>181</v>
      </c>
      <c r="L25" s="776"/>
      <c r="M25" s="1390" t="s">
        <v>183</v>
      </c>
      <c r="N25" s="776"/>
      <c r="O25" s="1390" t="s">
        <v>185</v>
      </c>
      <c r="P25" s="776"/>
      <c r="Q25" s="1390" t="s">
        <v>187</v>
      </c>
      <c r="R25" s="776"/>
      <c r="S25" s="1390" t="s">
        <v>189</v>
      </c>
      <c r="T25" s="776"/>
      <c r="U25" s="1390" t="s">
        <v>191</v>
      </c>
      <c r="V25" s="776"/>
      <c r="W25" s="1390" t="s">
        <v>193</v>
      </c>
      <c r="X25" s="776"/>
      <c r="Y25" s="1390" t="s">
        <v>195</v>
      </c>
      <c r="Z25" s="776"/>
      <c r="AA25" s="1390" t="s">
        <v>197</v>
      </c>
      <c r="AB25" s="776"/>
      <c r="AC25" s="1390" t="s">
        <v>199</v>
      </c>
      <c r="AD25" s="776"/>
      <c r="AE25" s="1390" t="s">
        <v>201</v>
      </c>
      <c r="AF25" s="776"/>
      <c r="AG25" s="1390" t="s">
        <v>203</v>
      </c>
      <c r="AH25" s="776"/>
      <c r="AI25" s="1390" t="s">
        <v>205</v>
      </c>
      <c r="AJ25" s="776"/>
      <c r="AK25" s="1390" t="s">
        <v>207</v>
      </c>
      <c r="AL25" s="776"/>
      <c r="AM25" s="441"/>
      <c r="AW25" s="699"/>
      <c r="AX25" s="782">
        <v>1</v>
      </c>
    </row>
    <row customHeight="1" ht="15.75">
      <c r="C26" s="200"/>
      <c r="D26" s="735"/>
      <c r="E26" s="2391" t="s">
        <v>166</v>
      </c>
      <c r="F26" s="2392"/>
      <c r="G26" s="2419" t="str">
        <f>IF(G25="","",INDEX(DIFFERENTIATION_UNMERGE_VD,MATCH(G25,DIFFERENTIATION_ID_DIFF,0)))</f>
        <v/>
      </c>
      <c r="H26" s="2420"/>
      <c r="I26" s="2419" t="str">
        <f>IF(I25="","",INDEX(DIFFERENTIATION_UNMERGE_VD,MATCH(I25,DIFFERENTIATION_ID_DIFF,0)))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26" s="2420"/>
      <c r="K26" s="2419" t="str">
        <f>IF(K25="","",INDEX(DIFFERENTIATION_UNMERGE_VD,MATCH(K25,DIFFERENTIATION_ID_DIFF,0)))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L26" s="2420"/>
      <c r="M26" s="2419" t="str">
        <f>IF(M25="","",INDEX(DIFFERENTIATION_UNMERGE_VD,MATCH(M25,DIFFERENTIATION_ID_DIFF,0)))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N26" s="2420"/>
      <c r="O26" s="2419" t="str">
        <f>IF(O25="","",INDEX(DIFFERENTIATION_UNMERGE_VD,MATCH(O25,DIFFERENTIATION_ID_DIFF,0)))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26" s="2420"/>
      <c r="Q26" s="2419" t="str">
        <f>IF(Q25="","",INDEX(DIFFERENTIATION_UNMERGE_VD,MATCH(Q25,DIFFERENTIATION_ID_DIFF,0)))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R26" s="2420"/>
      <c r="S26" s="2419" t="str">
        <f>IF(S25="","",INDEX(DIFFERENTIATION_UNMERGE_VD,MATCH(S25,DIFFERENTIATION_ID_DIFF,0)))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T26" s="2420"/>
      <c r="U26" s="2419" t="str">
        <f>IF(U25="","",INDEX(DIFFERENTIATION_UNMERGE_VD,MATCH(U25,DIFFERENTIATION_ID_DIFF,0)))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V26" s="2420"/>
      <c r="W26" s="2419" t="str">
        <f>IF(W25="","",INDEX(DIFFERENTIATION_UNMERGE_VD,MATCH(W25,DIFFERENTIATION_ID_DIFF,0)))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X26" s="2420"/>
      <c r="Y26" s="2419" t="str">
        <f>IF(Y25="","",INDEX(DIFFERENTIATION_UNMERGE_VD,MATCH(Y25,DIFFERENTIATION_ID_DIFF,0)))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Z26" s="2420"/>
      <c r="AA26" s="2419" t="str">
        <f>IF(AA25="","",INDEX(DIFFERENTIATION_UNMERGE_VD,MATCH(AA25,DIFFERENTIATION_ID_DIFF,0)))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B26" s="2420"/>
      <c r="AC26" s="2419" t="str">
        <f>IF(AC25="","",INDEX(DIFFERENTIATION_UNMERGE_VD,MATCH(AC25,DIFFERENTIATION_ID_DIFF,0)))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D26" s="2420"/>
      <c r="AE26" s="2419" t="str">
        <f>IF(AE25="","",INDEX(DIFFERENTIATION_UNMERGE_VD,MATCH(AE25,DIFFERENTIATION_ID_DIFF,0)))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F26" s="2420"/>
      <c r="AG26" s="2419" t="str">
        <f>IF(AG25="","",INDEX(DIFFERENTIATION_UNMERGE_VD,MATCH(AG25,DIFFERENTIATION_ID_DIFF,0)))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H26" s="2420"/>
      <c r="AI26" s="2419" t="str">
        <f>IF(AI25="","",INDEX(DIFFERENTIATION_UNMERGE_VD,MATCH(AI25,DIFFERENTIATION_ID_DIFF,0)))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J26" s="2420"/>
      <c r="AK26" s="2419" t="str">
        <f>IF(AK25="","",INDEX(DIFFERENTIATION_UNMERGE_VD,MATCH(AK25,DIFFERENTIATION_ID_DIFF,0)))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L26" s="2420"/>
      <c r="AM26" s="2199" t="s">
        <v>385</v>
      </c>
      <c r="AX26" s="529">
        <v>15</v>
      </c>
    </row>
    <row s="1659" customFormat="1" customHeight="1" ht="15.75">
      <c r="A27" s="783"/>
      <c r="C27" s="200"/>
      <c r="D27" s="735"/>
      <c r="E27" s="2391" t="s">
        <v>648</v>
      </c>
      <c r="F27" s="2392"/>
      <c r="G27" s="2419" t="str">
        <f>IF(G25="","",INDEX(DIFFERENTIATION_UNMERGE_AREA,MATCH(G25,DIFFERENTIATION_ID_DIFF,0)))</f>
        <v/>
      </c>
      <c r="H27" s="2420"/>
      <c r="I27" s="2419" t="str">
        <f>IF(I25="","",INDEX(DIFFERENTIATION_UNMERGE_AREA,MATCH(I25,DIFFERENTIATION_ID_DIFF,0)))</f>
        <v>Территория 1</v>
      </c>
      <c r="J27" s="2420"/>
      <c r="K27" s="2419" t="str">
        <f>IF(K25="","",INDEX(DIFFERENTIATION_UNMERGE_AREA,MATCH(K25,DIFFERENTIATION_ID_DIFF,0)))</f>
        <v>Территория 2</v>
      </c>
      <c r="L27" s="2420"/>
      <c r="M27" s="2419" t="str">
        <f>IF(M25="","",INDEX(DIFFERENTIATION_UNMERGE_AREA,MATCH(M25,DIFFERENTIATION_ID_DIFF,0)))</f>
        <v>Территория 2</v>
      </c>
      <c r="N27" s="2420"/>
      <c r="O27" s="2419" t="str">
        <f>IF(O25="","",INDEX(DIFFERENTIATION_UNMERGE_AREA,MATCH(O25,DIFFERENTIATION_ID_DIFF,0)))</f>
        <v>Территория 3</v>
      </c>
      <c r="P27" s="2420"/>
      <c r="Q27" s="2419" t="str">
        <f>IF(Q25="","",INDEX(DIFFERENTIATION_UNMERGE_AREA,MATCH(Q25,DIFFERENTIATION_ID_DIFF,0)))</f>
        <v>Территория 3</v>
      </c>
      <c r="R27" s="2420"/>
      <c r="S27" s="2419" t="str">
        <f>IF(S25="","",INDEX(DIFFERENTIATION_UNMERGE_AREA,MATCH(S25,DIFFERENTIATION_ID_DIFF,0)))</f>
        <v>Территория 3</v>
      </c>
      <c r="T27" s="2420"/>
      <c r="U27" s="2419" t="str">
        <f>IF(U25="","",INDEX(DIFFERENTIATION_UNMERGE_AREA,MATCH(U25,DIFFERENTIATION_ID_DIFF,0)))</f>
        <v>Территория 3</v>
      </c>
      <c r="V27" s="2420"/>
      <c r="W27" s="2419" t="str">
        <f>IF(W25="","",INDEX(DIFFERENTIATION_UNMERGE_AREA,MATCH(W25,DIFFERENTIATION_ID_DIFF,0)))</f>
        <v>Территория 4</v>
      </c>
      <c r="X27" s="2420"/>
      <c r="Y27" s="2419" t="str">
        <f>IF(Y25="","",INDEX(DIFFERENTIATION_UNMERGE_AREA,MATCH(Y25,DIFFERENTIATION_ID_DIFF,0)))</f>
        <v>Территория 5</v>
      </c>
      <c r="Z27" s="2420"/>
      <c r="AA27" s="2419" t="str">
        <f>IF(AA25="","",INDEX(DIFFERENTIATION_UNMERGE_AREA,MATCH(AA25,DIFFERENTIATION_ID_DIFF,0)))</f>
        <v>Территория 6</v>
      </c>
      <c r="AB27" s="2420"/>
      <c r="AC27" s="2419" t="str">
        <f>IF(AC25="","",INDEX(DIFFERENTIATION_UNMERGE_AREA,MATCH(AC25,DIFFERENTIATION_ID_DIFF,0)))</f>
        <v>Территория 7</v>
      </c>
      <c r="AD27" s="2420"/>
      <c r="AE27" s="2419" t="str">
        <f>IF(AE25="","",INDEX(DIFFERENTIATION_UNMERGE_AREA,MATCH(AE25,DIFFERENTIATION_ID_DIFF,0)))</f>
        <v>Территория 8</v>
      </c>
      <c r="AF27" s="2420"/>
      <c r="AG27" s="2419" t="str">
        <f>IF(AG25="","",INDEX(DIFFERENTIATION_UNMERGE_AREA,MATCH(AG25,DIFFERENTIATION_ID_DIFF,0)))</f>
        <v>Территория 8</v>
      </c>
      <c r="AH27" s="2420"/>
      <c r="AI27" s="2419" t="str">
        <f>IF(AI25="","",INDEX(DIFFERENTIATION_UNMERGE_AREA,MATCH(AI25,DIFFERENTIATION_ID_DIFF,0)))</f>
        <v>Территория 9</v>
      </c>
      <c r="AJ27" s="2420"/>
      <c r="AK27" s="2419" t="str">
        <f>IF(AK25="","",INDEX(DIFFERENTIATION_UNMERGE_AREA,MATCH(AK25,DIFFERENTIATION_ID_DIFF,0)))</f>
        <v>Территория 10</v>
      </c>
      <c r="AL27" s="2420"/>
      <c r="AM27" s="2219"/>
      <c r="AW27" s="699"/>
      <c r="AX27" s="782">
        <v>15</v>
      </c>
    </row>
    <row s="1659" customFormat="1" customHeight="1" ht="15.75">
      <c r="A28" s="783"/>
      <c r="C28" s="200"/>
      <c r="D28" s="735"/>
      <c r="E28" s="2391" t="s">
        <v>649</v>
      </c>
      <c r="F28" s="2392"/>
      <c r="G28" s="2419" t="str">
        <f>IF(G25="","",INDEX(DIFFERENTIATION_UNMERGE_SYSTEM,MATCH(G25,DIFFERENTIATION_ID_DIFF,0)))</f>
        <v/>
      </c>
      <c r="H28" s="2420"/>
      <c r="I28" s="2419" t="str">
        <f>IF(I25="","",INDEX(DIFFERENTIATION_UNMERGE_SYSTEM,MATCH(I25,DIFFERENTIATION_ID_DIFF,0)))</f>
        <v>Амурская ТЭЦ-1 (г. Амурск)</v>
      </c>
      <c r="J28" s="2420"/>
      <c r="K28" s="2419" t="str">
        <f>IF(K25="","",INDEX(DIFFERENTIATION_UNMERGE_SYSTEM,MATCH(K25,DIFFERENTIATION_ID_DIFF,0)))</f>
        <v>Николаевская ТЭЦ (г. Николаевск)</v>
      </c>
      <c r="L28" s="2420"/>
      <c r="M28" s="2419" t="str">
        <f>IF(M25="","",INDEX(DIFFERENTIATION_UNMERGE_SYSTEM,MATCH(M25,DIFFERENTIATION_ID_DIFF,0)))</f>
        <v>котельная "Аэропорт"</v>
      </c>
      <c r="N28" s="2420"/>
      <c r="O28" s="2419" t="str">
        <f>IF(O25="","",INDEX(DIFFERENTIATION_UNMERGE_SYSTEM,MATCH(O25,DIFFERENTIATION_ID_DIFF,0)))</f>
        <v>Комсомольская ТЭЦ-1 (г. Комсомольск)</v>
      </c>
      <c r="P28" s="2420"/>
      <c r="Q28" s="2419" t="str">
        <f>IF(Q25="","",INDEX(DIFFERENTIATION_UNMERGE_SYSTEM,MATCH(Q25,DIFFERENTIATION_ID_DIFF,0)))</f>
        <v>Комсомольская ТЭЦ-2 (г. Комсомольск)</v>
      </c>
      <c r="R28" s="2420"/>
      <c r="S28" s="2419" t="str">
        <f>IF(S25="","",INDEX(DIFFERENTIATION_UNMERGE_SYSTEM,MATCH(S25,DIFFERENTIATION_ID_DIFF,0)))</f>
        <v>Комсомольская ТЭЦ-3 (г. Комсомольск)</v>
      </c>
      <c r="T28" s="2420"/>
      <c r="U28" s="2419" t="str">
        <f>IF(U25="","",INDEX(DIFFERENTIATION_UNMERGE_SYSTEM,MATCH(U25,DIFFERENTIATION_ID_DIFF,0)))</f>
        <v>ВК "Дземги" (г. Комсомольск)</v>
      </c>
      <c r="V28" s="2420"/>
      <c r="W28" s="2419" t="str">
        <f>IF(W25="","",INDEX(DIFFERENTIATION_UNMERGE_SYSTEM,MATCH(W25,DIFFERENTIATION_ID_DIFF,0)))</f>
        <v>ТЭЦ в г. Советская Гавань</v>
      </c>
      <c r="X28" s="2420"/>
      <c r="Y28" s="2419" t="str">
        <f>IF(Y25="","",INDEX(DIFFERENTIATION_UNMERGE_SYSTEM,MATCH(Y25,DIFFERENTIATION_ID_DIFF,0)))</f>
        <v>Майская котельная </v>
      </c>
      <c r="Z28" s="2420"/>
      <c r="AA28" s="2419" t="str">
        <f>IF(AA25="","",INDEX(DIFFERENTIATION_UNMERGE_SYSTEM,MATCH(AA25,DIFFERENTIATION_ID_DIFF,0)))</f>
        <v>Ургальская котельная (п. Чегдомын)</v>
      </c>
      <c r="AB28" s="2420"/>
      <c r="AC28" s="2419" t="str">
        <f>IF(AC25="","",INDEX(DIFFERENTIATION_UNMERGE_SYSTEM,MATCH(AC25,DIFFERENTIATION_ID_DIFF,0)))</f>
        <v>Хабаровская ТЭЦ-1 (г. Хабаровск, с. Ильинское, п. Корфовский, с. Ракитненское)</v>
      </c>
      <c r="AD28" s="2420"/>
      <c r="AE28" s="2419" t="str">
        <f>IF(AE25="","",INDEX(DIFFERENTIATION_UNMERGE_SYSTEM,MATCH(AE25,DIFFERENTIATION_ID_DIFF,0)))</f>
        <v>Хабаровская ТЭЦ-2 (г. Хабаровск)</v>
      </c>
      <c r="AF28" s="2420"/>
      <c r="AG28" s="2419" t="str">
        <f>IF(AG25="","",INDEX(DIFFERENTIATION_UNMERGE_SYSTEM,MATCH(AG25,DIFFERENTIATION_ID_DIFF,0)))</f>
        <v>Котельная в Волочаевском городке</v>
      </c>
      <c r="AH28" s="2420"/>
      <c r="AI28" s="2419" t="str">
        <f>IF(AI25="","",INDEX(DIFFERENTIATION_UNMERGE_SYSTEM,MATCH(AI25,DIFFERENTIATION_ID_DIFF,0)))</f>
        <v>Хабаровская ТЭЦ-3 (г. Хабаровск, с. Восточное, с. Мирненское, с. Тополевское)</v>
      </c>
      <c r="AJ28" s="2420"/>
      <c r="AK28" s="2419" t="str">
        <f>IF(AK25="","",INDEX(DIFFERENTIATION_UNMERGE_SYSTEM,MATCH(AK25,DIFFERENTIATION_ID_DIFF,0)))</f>
        <v>Котельная в с. Некрасовка (с. Дружбинское, с. Некрасовское) </v>
      </c>
      <c r="AL28" s="2420"/>
      <c r="AM28" s="2219"/>
      <c r="AW28" s="699"/>
      <c r="AX28" s="782">
        <v>15</v>
      </c>
    </row>
    <row s="1659" customFormat="1" customHeight="1" ht="15.75">
      <c r="A29" s="783"/>
      <c r="C29" s="200"/>
      <c r="D29" s="2393" t="s">
        <v>384</v>
      </c>
      <c r="E29" s="2394"/>
      <c r="F29" s="2394"/>
      <c r="G29" s="911"/>
      <c r="H29" s="911"/>
      <c r="I29" s="911"/>
      <c r="J29" s="912"/>
      <c r="K29" s="2391"/>
      <c r="L29" s="2391"/>
      <c r="M29" s="2391"/>
      <c r="N29" s="2391"/>
      <c r="O29" s="2391"/>
      <c r="P29" s="2391"/>
      <c r="Q29" s="2391"/>
      <c r="R29" s="2391"/>
      <c r="S29" s="2391"/>
      <c r="T29" s="2391"/>
      <c r="U29" s="2391"/>
      <c r="V29" s="2391"/>
      <c r="W29" s="2391"/>
      <c r="X29" s="2391"/>
      <c r="Y29" s="2391"/>
      <c r="Z29" s="2391"/>
      <c r="AA29" s="2391"/>
      <c r="AB29" s="2391"/>
      <c r="AC29" s="2391"/>
      <c r="AD29" s="2391"/>
      <c r="AE29" s="2391"/>
      <c r="AF29" s="2391"/>
      <c r="AG29" s="2391"/>
      <c r="AH29" s="2391"/>
      <c r="AI29" s="2391"/>
      <c r="AJ29" s="2391"/>
      <c r="AK29" s="2391"/>
      <c r="AL29" s="2391"/>
      <c r="AM29" s="2219"/>
      <c r="AW29" s="699"/>
      <c r="AX29" s="782">
        <v>15</v>
      </c>
    </row>
    <row customHeight="1" ht="35.699999999999996">
      <c r="C30" s="200"/>
      <c r="D30" s="785" t="s">
        <v>88</v>
      </c>
      <c r="E30" s="784" t="s">
        <v>386</v>
      </c>
      <c r="F30" s="784" t="s">
        <v>650</v>
      </c>
      <c r="G30" s="832" t="s">
        <v>387</v>
      </c>
      <c r="H30" s="831" t="s">
        <v>474</v>
      </c>
      <c r="I30" s="708" t="s">
        <v>387</v>
      </c>
      <c r="J30" s="489" t="s">
        <v>474</v>
      </c>
      <c r="K30" s="2286" t="s">
        <v>387</v>
      </c>
      <c r="L30" s="2336" t="s">
        <v>474</v>
      </c>
      <c r="M30" s="2286" t="s">
        <v>387</v>
      </c>
      <c r="N30" s="2336" t="s">
        <v>474</v>
      </c>
      <c r="O30" s="2286" t="s">
        <v>387</v>
      </c>
      <c r="P30" s="2336" t="s">
        <v>474</v>
      </c>
      <c r="Q30" s="2286" t="s">
        <v>387</v>
      </c>
      <c r="R30" s="2336" t="s">
        <v>474</v>
      </c>
      <c r="S30" s="2286" t="s">
        <v>387</v>
      </c>
      <c r="T30" s="2336" t="s">
        <v>474</v>
      </c>
      <c r="U30" s="2286" t="s">
        <v>387</v>
      </c>
      <c r="V30" s="2336" t="s">
        <v>474</v>
      </c>
      <c r="W30" s="2286" t="s">
        <v>387</v>
      </c>
      <c r="X30" s="2336" t="s">
        <v>474</v>
      </c>
      <c r="Y30" s="2286" t="s">
        <v>387</v>
      </c>
      <c r="Z30" s="2336" t="s">
        <v>474</v>
      </c>
      <c r="AA30" s="2286" t="s">
        <v>387</v>
      </c>
      <c r="AB30" s="2336" t="s">
        <v>474</v>
      </c>
      <c r="AC30" s="2286" t="s">
        <v>387</v>
      </c>
      <c r="AD30" s="2336" t="s">
        <v>474</v>
      </c>
      <c r="AE30" s="2286" t="s">
        <v>387</v>
      </c>
      <c r="AF30" s="2336" t="s">
        <v>474</v>
      </c>
      <c r="AG30" s="2286" t="s">
        <v>387</v>
      </c>
      <c r="AH30" s="2336" t="s">
        <v>474</v>
      </c>
      <c r="AI30" s="2286" t="s">
        <v>387</v>
      </c>
      <c r="AJ30" s="2336" t="s">
        <v>474</v>
      </c>
      <c r="AK30" s="2286" t="s">
        <v>387</v>
      </c>
      <c r="AL30" s="2336" t="s">
        <v>474</v>
      </c>
      <c r="AM30" s="2225"/>
      <c r="AX30" s="529">
        <v>34</v>
      </c>
    </row>
    <row customHeight="1" ht="15" hidden="1">
      <c r="C31" s="200"/>
      <c r="D31" s="617"/>
      <c r="E31" s="617"/>
      <c r="F31" s="617"/>
      <c r="G31" s="683"/>
      <c r="H31" s="683"/>
      <c r="I31" s="683"/>
      <c r="J31" s="683"/>
      <c r="K31" s="707"/>
      <c r="L31" s="707"/>
      <c r="M31" s="707"/>
      <c r="N31" s="707"/>
      <c r="O31" s="707"/>
      <c r="P31" s="707"/>
      <c r="Q31" s="707"/>
      <c r="R31" s="707"/>
      <c r="S31" s="707"/>
      <c r="T31" s="707"/>
      <c r="U31" s="707"/>
      <c r="V31" s="707"/>
      <c r="W31" s="707"/>
      <c r="X31" s="707"/>
      <c r="Y31" s="707"/>
      <c r="Z31" s="707"/>
      <c r="AA31" s="707"/>
      <c r="AB31" s="707"/>
      <c r="AC31" s="707"/>
      <c r="AD31" s="707"/>
      <c r="AE31" s="707"/>
      <c r="AF31" s="707"/>
      <c r="AG31" s="707"/>
      <c r="AH31" s="707"/>
      <c r="AI31" s="707"/>
      <c r="AJ31" s="707"/>
      <c r="AK31" s="707"/>
      <c r="AL31" s="707"/>
      <c r="AM31" s="313"/>
      <c r="AX31" s="529">
        <v>0</v>
      </c>
    </row>
    <row customHeight="1" ht="24">
      <c r="A32" s="529"/>
      <c r="B32" s="529" t="s">
        <v>1048</v>
      </c>
      <c r="C32" s="550"/>
      <c r="D32" s="716">
        <v>1</v>
      </c>
      <c r="E32" s="717" t="s">
        <v>1049</v>
      </c>
      <c r="F32" s="715" t="s">
        <v>390</v>
      </c>
      <c r="G32" s="837" t="s">
        <v>390</v>
      </c>
      <c r="H32" s="837" t="s">
        <v>390</v>
      </c>
      <c r="I32" s="715" t="s">
        <v>390</v>
      </c>
      <c r="J32" s="715" t="s">
        <v>390</v>
      </c>
      <c r="K32" s="2287" t="s">
        <v>390</v>
      </c>
      <c r="L32" s="2287" t="s">
        <v>390</v>
      </c>
      <c r="M32" s="2287" t="s">
        <v>390</v>
      </c>
      <c r="N32" s="2287" t="s">
        <v>390</v>
      </c>
      <c r="O32" s="2287" t="s">
        <v>390</v>
      </c>
      <c r="P32" s="2287" t="s">
        <v>390</v>
      </c>
      <c r="Q32" s="2287" t="s">
        <v>390</v>
      </c>
      <c r="R32" s="2287" t="s">
        <v>390</v>
      </c>
      <c r="S32" s="2287" t="s">
        <v>390</v>
      </c>
      <c r="T32" s="2287" t="s">
        <v>390</v>
      </c>
      <c r="U32" s="2287" t="s">
        <v>390</v>
      </c>
      <c r="V32" s="2287" t="s">
        <v>390</v>
      </c>
      <c r="W32" s="2287" t="s">
        <v>390</v>
      </c>
      <c r="X32" s="2287" t="s">
        <v>390</v>
      </c>
      <c r="Y32" s="2287" t="s">
        <v>390</v>
      </c>
      <c r="Z32" s="2287" t="s">
        <v>390</v>
      </c>
      <c r="AA32" s="2287" t="s">
        <v>390</v>
      </c>
      <c r="AB32" s="2287" t="s">
        <v>390</v>
      </c>
      <c r="AC32" s="2287" t="s">
        <v>390</v>
      </c>
      <c r="AD32" s="2287" t="s">
        <v>390</v>
      </c>
      <c r="AE32" s="2287" t="s">
        <v>390</v>
      </c>
      <c r="AF32" s="2287" t="s">
        <v>390</v>
      </c>
      <c r="AG32" s="2287" t="s">
        <v>390</v>
      </c>
      <c r="AH32" s="2287" t="s">
        <v>390</v>
      </c>
      <c r="AI32" s="2287" t="s">
        <v>390</v>
      </c>
      <c r="AJ32" s="2287" t="s">
        <v>390</v>
      </c>
      <c r="AK32" s="2287" t="s">
        <v>390</v>
      </c>
      <c r="AL32" s="2287" t="s">
        <v>390</v>
      </c>
      <c r="AM32" s="313"/>
      <c r="AX32" s="529">
        <v>23</v>
      </c>
    </row>
    <row s="1874" customFormat="1" customHeight="1" ht="22.5">
      <c r="A33" s="1659"/>
      <c r="B33" s="2421" t="s">
        <v>1050</v>
      </c>
      <c r="C33" s="2422" t="s">
        <v>104</v>
      </c>
      <c r="D33" s="713" t="str">
        <f>B33&amp;".1"</f>
        <v>1.1.1</v>
      </c>
      <c r="E33" s="1691" t="s">
        <v>1033</v>
      </c>
      <c r="F33" s="2287" t="s">
        <v>390</v>
      </c>
      <c r="G33" s="2377"/>
      <c r="H33" s="842"/>
      <c r="I33" s="2377" t="s">
        <v>1051</v>
      </c>
      <c r="J33" s="842"/>
      <c r="K33" s="2377"/>
      <c r="L33" s="842"/>
      <c r="M33" s="2377"/>
      <c r="N33" s="842"/>
      <c r="O33" s="2377"/>
      <c r="P33" s="842"/>
      <c r="Q33" s="2377"/>
      <c r="R33" s="842"/>
      <c r="S33" s="2377"/>
      <c r="T33" s="842"/>
      <c r="U33" s="2377"/>
      <c r="V33" s="842"/>
      <c r="W33" s="2377"/>
      <c r="X33" s="842"/>
      <c r="Y33" s="2377"/>
      <c r="Z33" s="842"/>
      <c r="AA33" s="2377"/>
      <c r="AB33" s="842"/>
      <c r="AC33" s="2377"/>
      <c r="AD33" s="842"/>
      <c r="AE33" s="2377"/>
      <c r="AF33" s="842"/>
      <c r="AG33" s="2377"/>
      <c r="AH33" s="842"/>
      <c r="AI33" s="2377"/>
      <c r="AJ33" s="842"/>
      <c r="AK33" s="2377"/>
      <c r="AL33" s="842"/>
      <c r="AM33" s="1549" t="s">
        <v>1034</v>
      </c>
      <c r="AN33" s="1659"/>
      <c r="AO33" s="1659"/>
      <c r="AP33" s="1659"/>
      <c r="AQ33" s="1659"/>
      <c r="AR33" s="1659"/>
      <c r="AS33" s="1659"/>
      <c r="AT33" s="1659"/>
      <c r="AU33" s="1659"/>
      <c r="AV33" s="1659"/>
      <c r="AW33" s="699"/>
      <c r="AX33" s="1659">
        <v>0</v>
      </c>
    </row>
    <row s="1874" customFormat="1" customHeight="1" ht="15">
      <c r="A34" s="1659"/>
      <c r="B34" s="2421"/>
      <c r="C34" s="2422"/>
      <c r="D34" s="713" t="str">
        <f>B33&amp;".2"</f>
        <v>1.1.2</v>
      </c>
      <c r="E34" s="1691" t="s">
        <v>1035</v>
      </c>
      <c r="F34" s="2287" t="s">
        <v>390</v>
      </c>
      <c r="G34" s="1762" t="s">
        <v>22</v>
      </c>
      <c r="H34" s="842"/>
      <c r="I34" s="1762">
        <v>46023</v>
      </c>
      <c r="J34" s="842"/>
      <c r="K34" s="1762" t="s">
        <v>22</v>
      </c>
      <c r="L34" s="842"/>
      <c r="M34" s="1762" t="s">
        <v>22</v>
      </c>
      <c r="N34" s="842"/>
      <c r="O34" s="1762" t="s">
        <v>22</v>
      </c>
      <c r="P34" s="842"/>
      <c r="Q34" s="1762" t="s">
        <v>22</v>
      </c>
      <c r="R34" s="842"/>
      <c r="S34" s="1762" t="s">
        <v>22</v>
      </c>
      <c r="T34" s="842"/>
      <c r="U34" s="1762" t="s">
        <v>22</v>
      </c>
      <c r="V34" s="842"/>
      <c r="W34" s="1762" t="s">
        <v>22</v>
      </c>
      <c r="X34" s="842"/>
      <c r="Y34" s="1762" t="s">
        <v>22</v>
      </c>
      <c r="Z34" s="842"/>
      <c r="AA34" s="1762" t="s">
        <v>22</v>
      </c>
      <c r="AB34" s="842"/>
      <c r="AC34" s="1762" t="s">
        <v>22</v>
      </c>
      <c r="AD34" s="842"/>
      <c r="AE34" s="1762" t="s">
        <v>22</v>
      </c>
      <c r="AF34" s="842"/>
      <c r="AG34" s="1762" t="s">
        <v>22</v>
      </c>
      <c r="AH34" s="842"/>
      <c r="AI34" s="1762" t="s">
        <v>22</v>
      </c>
      <c r="AJ34" s="842"/>
      <c r="AK34" s="1762" t="s">
        <v>22</v>
      </c>
      <c r="AL34" s="842"/>
      <c r="AM34" s="1549" t="s">
        <v>1036</v>
      </c>
      <c r="AN34" s="1659"/>
      <c r="AO34" s="1659"/>
      <c r="AP34" s="1659"/>
      <c r="AQ34" s="1659"/>
      <c r="AR34" s="1659"/>
      <c r="AS34" s="1659"/>
      <c r="AT34" s="1659"/>
      <c r="AU34" s="1659"/>
      <c r="AV34" s="1659"/>
      <c r="AW34" s="699"/>
      <c r="AX34" s="1659">
        <v>0</v>
      </c>
    </row>
    <row customHeight="1" ht="11.549999999999999">
      <c r="A35" s="529"/>
      <c r="C35" s="529"/>
      <c r="D35" s="371"/>
      <c r="E35" s="604" t="s">
        <v>670</v>
      </c>
      <c r="F35" s="596"/>
      <c r="G35" s="596"/>
      <c r="H35" s="596"/>
      <c r="I35" s="596"/>
      <c r="J35" s="596"/>
      <c r="K35" s="2783"/>
      <c r="L35" s="2784"/>
      <c r="M35" s="2785"/>
      <c r="N35" s="2786"/>
      <c r="O35" s="2787"/>
      <c r="P35" s="2788"/>
      <c r="Q35" s="2789"/>
      <c r="R35" s="2790"/>
      <c r="S35" s="2791"/>
      <c r="T35" s="2792"/>
      <c r="U35" s="2793"/>
      <c r="V35" s="2794"/>
      <c r="W35" s="2795"/>
      <c r="X35" s="2796"/>
      <c r="Y35" s="2797"/>
      <c r="Z35" s="2798"/>
      <c r="AA35" s="2799"/>
      <c r="AB35" s="2800"/>
      <c r="AC35" s="2801"/>
      <c r="AD35" s="2802"/>
      <c r="AE35" s="2803"/>
      <c r="AF35" s="2804"/>
      <c r="AG35" s="2805"/>
      <c r="AH35" s="2806"/>
      <c r="AI35" s="2807"/>
      <c r="AJ35" s="2808"/>
      <c r="AK35" s="2809"/>
      <c r="AL35" s="2810"/>
      <c r="AM35" s="597"/>
      <c r="AW35" s="529"/>
      <c r="AX35" s="529">
        <v>11</v>
      </c>
    </row>
    <row customHeight="1" ht="24">
      <c r="A36" s="529"/>
      <c r="B36" s="605" t="s">
        <v>734</v>
      </c>
      <c r="C36" s="550"/>
      <c r="D36" s="716">
        <v>2</v>
      </c>
      <c r="E36" s="717" t="s">
        <v>1052</v>
      </c>
      <c r="F36" s="844" t="s">
        <v>390</v>
      </c>
      <c r="G36" s="844" t="s">
        <v>390</v>
      </c>
      <c r="H36" s="844" t="s">
        <v>390</v>
      </c>
      <c r="I36" s="715"/>
      <c r="J36" s="715"/>
      <c r="K36" s="2287" t="s">
        <v>390</v>
      </c>
      <c r="L36" s="2287" t="s">
        <v>390</v>
      </c>
      <c r="M36" s="2287" t="s">
        <v>390</v>
      </c>
      <c r="N36" s="2287" t="s">
        <v>390</v>
      </c>
      <c r="O36" s="2287" t="s">
        <v>390</v>
      </c>
      <c r="P36" s="2287" t="s">
        <v>390</v>
      </c>
      <c r="Q36" s="2287" t="s">
        <v>390</v>
      </c>
      <c r="R36" s="2287" t="s">
        <v>390</v>
      </c>
      <c r="S36" s="2287" t="s">
        <v>390</v>
      </c>
      <c r="T36" s="2287" t="s">
        <v>390</v>
      </c>
      <c r="U36" s="2287" t="s">
        <v>390</v>
      </c>
      <c r="V36" s="2287" t="s">
        <v>390</v>
      </c>
      <c r="W36" s="2287" t="s">
        <v>390</v>
      </c>
      <c r="X36" s="2287" t="s">
        <v>390</v>
      </c>
      <c r="Y36" s="2287" t="s">
        <v>390</v>
      </c>
      <c r="Z36" s="2287" t="s">
        <v>390</v>
      </c>
      <c r="AA36" s="2287" t="s">
        <v>390</v>
      </c>
      <c r="AB36" s="2287" t="s">
        <v>390</v>
      </c>
      <c r="AC36" s="2287" t="s">
        <v>390</v>
      </c>
      <c r="AD36" s="2287" t="s">
        <v>390</v>
      </c>
      <c r="AE36" s="2287" t="s">
        <v>390</v>
      </c>
      <c r="AF36" s="2287" t="s">
        <v>390</v>
      </c>
      <c r="AG36" s="2287" t="s">
        <v>390</v>
      </c>
      <c r="AH36" s="2287" t="s">
        <v>390</v>
      </c>
      <c r="AI36" s="2287" t="s">
        <v>390</v>
      </c>
      <c r="AJ36" s="2287" t="s">
        <v>390</v>
      </c>
      <c r="AK36" s="2287" t="s">
        <v>390</v>
      </c>
      <c r="AL36" s="2287" t="s">
        <v>390</v>
      </c>
      <c r="AM36" s="313"/>
      <c r="AX36" s="529">
        <v>23</v>
      </c>
    </row>
    <row customHeight="1" ht="11.549999999999999">
      <c r="A37" s="529"/>
      <c r="C37" s="529"/>
      <c r="D37" s="371"/>
      <c r="E37" s="604" t="s">
        <v>1053</v>
      </c>
      <c r="F37" s="596"/>
      <c r="G37" s="718"/>
      <c r="H37" s="596"/>
      <c r="I37" s="718"/>
      <c r="J37" s="596"/>
      <c r="K37" s="2811"/>
      <c r="L37" s="2812"/>
      <c r="M37" s="2813"/>
      <c r="N37" s="2814"/>
      <c r="O37" s="2815"/>
      <c r="P37" s="2816"/>
      <c r="Q37" s="2817"/>
      <c r="R37" s="2818"/>
      <c r="S37" s="2819"/>
      <c r="T37" s="2820"/>
      <c r="U37" s="2821"/>
      <c r="V37" s="2822"/>
      <c r="W37" s="2823"/>
      <c r="X37" s="2824"/>
      <c r="Y37" s="2825"/>
      <c r="Z37" s="2826"/>
      <c r="AA37" s="2827"/>
      <c r="AB37" s="2828"/>
      <c r="AC37" s="2829"/>
      <c r="AD37" s="2830"/>
      <c r="AE37" s="2831"/>
      <c r="AF37" s="2832"/>
      <c r="AG37" s="2833"/>
      <c r="AH37" s="2834"/>
      <c r="AI37" s="2835"/>
      <c r="AJ37" s="2836"/>
      <c r="AK37" s="2837"/>
      <c r="AL37" s="2838"/>
      <c r="AM37" s="597"/>
      <c r="AW37" s="529"/>
      <c r="AX37" s="529">
        <v>11</v>
      </c>
    </row>
    <row customHeight="1" ht="71.25">
      <c r="A38" s="529"/>
      <c r="B38" s="529" t="s">
        <v>1054</v>
      </c>
      <c r="C38" s="550"/>
      <c r="D38" s="716">
        <v>3</v>
      </c>
      <c r="E38" s="717" t="s">
        <v>1055</v>
      </c>
      <c r="F38" s="719" t="s">
        <v>390</v>
      </c>
      <c r="G38" s="838" t="s">
        <v>1056</v>
      </c>
      <c r="H38" s="837" t="s">
        <v>390</v>
      </c>
      <c r="I38" s="548" t="s">
        <v>1056</v>
      </c>
      <c r="J38" s="715" t="s">
        <v>390</v>
      </c>
      <c r="K38" s="2131" t="s">
        <v>1056</v>
      </c>
      <c r="L38" s="2287" t="s">
        <v>390</v>
      </c>
      <c r="M38" s="2131" t="s">
        <v>1057</v>
      </c>
      <c r="N38" s="2287" t="s">
        <v>390</v>
      </c>
      <c r="O38" s="2131" t="s">
        <v>1056</v>
      </c>
      <c r="P38" s="2287" t="s">
        <v>390</v>
      </c>
      <c r="Q38" s="2131" t="s">
        <v>1056</v>
      </c>
      <c r="R38" s="2287" t="s">
        <v>390</v>
      </c>
      <c r="S38" s="2131" t="s">
        <v>1056</v>
      </c>
      <c r="T38" s="2287" t="s">
        <v>390</v>
      </c>
      <c r="U38" s="2131" t="s">
        <v>1056</v>
      </c>
      <c r="V38" s="2287" t="s">
        <v>390</v>
      </c>
      <c r="W38" s="2131" t="s">
        <v>1056</v>
      </c>
      <c r="X38" s="2287" t="s">
        <v>390</v>
      </c>
      <c r="Y38" s="2131" t="s">
        <v>1056</v>
      </c>
      <c r="Z38" s="2287" t="s">
        <v>390</v>
      </c>
      <c r="AA38" s="2131" t="s">
        <v>1057</v>
      </c>
      <c r="AB38" s="2287" t="s">
        <v>390</v>
      </c>
      <c r="AC38" s="2131" t="s">
        <v>1056</v>
      </c>
      <c r="AD38" s="2287" t="s">
        <v>390</v>
      </c>
      <c r="AE38" s="2131" t="s">
        <v>1056</v>
      </c>
      <c r="AF38" s="2287" t="s">
        <v>390</v>
      </c>
      <c r="AG38" s="2131" t="s">
        <v>1057</v>
      </c>
      <c r="AH38" s="2287" t="s">
        <v>390</v>
      </c>
      <c r="AI38" s="2131" t="s">
        <v>1056</v>
      </c>
      <c r="AJ38" s="2287" t="s">
        <v>390</v>
      </c>
      <c r="AK38" s="2131" t="s">
        <v>1056</v>
      </c>
      <c r="AL38" s="2287" t="s">
        <v>390</v>
      </c>
      <c r="AM38" s="313" t="s">
        <v>1058</v>
      </c>
      <c r="AX38" s="529">
        <v>68</v>
      </c>
    </row>
    <row s="1874" customFormat="1" customHeight="1" ht="22.5">
      <c r="A39" s="1659"/>
      <c r="B39" s="2421" t="s">
        <v>408</v>
      </c>
      <c r="C39" s="2422" t="s">
        <v>104</v>
      </c>
      <c r="D39" s="713" t="str">
        <f>B39&amp;".1"</f>
        <v>3.1.1</v>
      </c>
      <c r="E39" s="1691" t="s">
        <v>1039</v>
      </c>
      <c r="F39" s="2287" t="s">
        <v>390</v>
      </c>
      <c r="G39" s="885" t="s">
        <v>22</v>
      </c>
      <c r="H39" s="842" t="s">
        <v>22</v>
      </c>
      <c r="I39" s="885" t="s">
        <v>1059</v>
      </c>
      <c r="J39" s="842" t="s">
        <v>22</v>
      </c>
      <c r="K39" s="885" t="s">
        <v>1060</v>
      </c>
      <c r="L39" s="842" t="s">
        <v>22</v>
      </c>
      <c r="M39" s="2939" t="s">
        <v>22</v>
      </c>
      <c r="N39" s="2940" t="s">
        <v>22</v>
      </c>
      <c r="O39" s="885" t="s">
        <v>1059</v>
      </c>
      <c r="P39" s="842" t="s">
        <v>22</v>
      </c>
      <c r="Q39" s="885" t="s">
        <v>1059</v>
      </c>
      <c r="R39" s="842" t="s">
        <v>22</v>
      </c>
      <c r="S39" s="885" t="s">
        <v>1061</v>
      </c>
      <c r="T39" s="842" t="s">
        <v>22</v>
      </c>
      <c r="U39" s="885" t="s">
        <v>1059</v>
      </c>
      <c r="V39" s="842" t="s">
        <v>22</v>
      </c>
      <c r="W39" s="885" t="s">
        <v>1062</v>
      </c>
      <c r="X39" s="842" t="s">
        <v>22</v>
      </c>
      <c r="Y39" s="885" t="s">
        <v>1063</v>
      </c>
      <c r="Z39" s="842" t="s">
        <v>22</v>
      </c>
      <c r="AA39" s="2939" t="s">
        <v>22</v>
      </c>
      <c r="AB39" s="2940" t="s">
        <v>22</v>
      </c>
      <c r="AC39" s="885" t="s">
        <v>1059</v>
      </c>
      <c r="AD39" s="842" t="s">
        <v>22</v>
      </c>
      <c r="AE39" s="885" t="s">
        <v>1059</v>
      </c>
      <c r="AF39" s="842" t="s">
        <v>22</v>
      </c>
      <c r="AG39" s="2939" t="s">
        <v>22</v>
      </c>
      <c r="AH39" s="2940" t="s">
        <v>22</v>
      </c>
      <c r="AI39" s="885" t="s">
        <v>1064</v>
      </c>
      <c r="AJ39" s="842" t="s">
        <v>22</v>
      </c>
      <c r="AK39" s="885" t="s">
        <v>1059</v>
      </c>
      <c r="AL39" s="842" t="s">
        <v>22</v>
      </c>
      <c r="AM39" s="1549"/>
      <c r="AN39" s="1659"/>
      <c r="AO39" s="1659"/>
      <c r="AP39" s="1659"/>
      <c r="AQ39" s="1659"/>
      <c r="AR39" s="1659"/>
      <c r="AS39" s="1659"/>
      <c r="AT39" s="1659"/>
      <c r="AU39" s="1659"/>
      <c r="AV39" s="1659"/>
      <c r="AW39" s="699"/>
      <c r="AX39" s="1659">
        <v>0</v>
      </c>
    </row>
    <row s="1874" customFormat="1" customHeight="1" ht="15">
      <c r="A40" s="1659"/>
      <c r="B40" s="2421"/>
      <c r="C40" s="2422"/>
      <c r="D40" s="713" t="str">
        <f>B39&amp;".2"</f>
        <v>3.1.2</v>
      </c>
      <c r="E40" s="1691" t="s">
        <v>1040</v>
      </c>
      <c r="F40" s="2287" t="s">
        <v>390</v>
      </c>
      <c r="G40" s="1756" t="s">
        <v>22</v>
      </c>
      <c r="H40" s="842" t="s">
        <v>22</v>
      </c>
      <c r="I40" s="1756">
        <v>46113</v>
      </c>
      <c r="J40" s="842" t="s">
        <v>22</v>
      </c>
      <c r="K40" s="1756">
        <v>46129</v>
      </c>
      <c r="L40" s="842" t="s">
        <v>22</v>
      </c>
      <c r="M40" s="2941" t="s">
        <v>22</v>
      </c>
      <c r="N40" s="2940" t="s">
        <v>22</v>
      </c>
      <c r="O40" s="1756">
        <v>46113</v>
      </c>
      <c r="P40" s="842" t="s">
        <v>22</v>
      </c>
      <c r="Q40" s="1756">
        <v>46113</v>
      </c>
      <c r="R40" s="842" t="s">
        <v>22</v>
      </c>
      <c r="S40" s="1756">
        <v>46113</v>
      </c>
      <c r="T40" s="842" t="s">
        <v>22</v>
      </c>
      <c r="U40" s="1756">
        <v>46113</v>
      </c>
      <c r="V40" s="842" t="s">
        <v>22</v>
      </c>
      <c r="W40" s="1756">
        <v>46113.669953703706</v>
      </c>
      <c r="X40" s="842" t="s">
        <v>22</v>
      </c>
      <c r="Y40" s="1756">
        <v>46141.67392361111</v>
      </c>
      <c r="Z40" s="842" t="s">
        <v>22</v>
      </c>
      <c r="AA40" s="2941" t="s">
        <v>22</v>
      </c>
      <c r="AB40" s="2940" t="s">
        <v>22</v>
      </c>
      <c r="AC40" s="1756">
        <v>46113</v>
      </c>
      <c r="AD40" s="842" t="s">
        <v>22</v>
      </c>
      <c r="AE40" s="1756">
        <v>46114</v>
      </c>
      <c r="AF40" s="842" t="s">
        <v>22</v>
      </c>
      <c r="AG40" s="2941" t="s">
        <v>22</v>
      </c>
      <c r="AH40" s="2940" t="s">
        <v>22</v>
      </c>
      <c r="AI40" s="1756">
        <v>46113</v>
      </c>
      <c r="AJ40" s="842" t="s">
        <v>22</v>
      </c>
      <c r="AK40" s="1756">
        <v>46125</v>
      </c>
      <c r="AL40" s="842" t="s">
        <v>22</v>
      </c>
      <c r="AM40" s="1549" t="s">
        <v>1041</v>
      </c>
      <c r="AN40" s="1659"/>
      <c r="AO40" s="1659"/>
      <c r="AP40" s="1659"/>
      <c r="AQ40" s="1659"/>
      <c r="AR40" s="1659"/>
      <c r="AS40" s="1659"/>
      <c r="AT40" s="1659"/>
      <c r="AU40" s="1659"/>
      <c r="AV40" s="1659"/>
      <c r="AW40" s="699"/>
      <c r="AX40" s="1659">
        <v>0</v>
      </c>
    </row>
    <row s="1874" customFormat="1" customHeight="1" ht="15">
      <c r="A41" s="1659"/>
      <c r="B41" s="2421"/>
      <c r="C41" s="2422"/>
      <c r="D41" s="713" t="str">
        <f>B39&amp;".3"</f>
        <v>3.1.3</v>
      </c>
      <c r="E41" s="1691" t="s">
        <v>1042</v>
      </c>
      <c r="F41" s="2287" t="s">
        <v>390</v>
      </c>
      <c r="G41" s="1756" t="s">
        <v>22</v>
      </c>
      <c r="H41" s="842" t="s">
        <v>22</v>
      </c>
      <c r="I41" s="1756">
        <v>46203</v>
      </c>
      <c r="J41" s="842" t="s">
        <v>22</v>
      </c>
      <c r="K41" s="1756">
        <v>46203</v>
      </c>
      <c r="L41" s="842" t="s">
        <v>22</v>
      </c>
      <c r="M41" s="2941" t="s">
        <v>22</v>
      </c>
      <c r="N41" s="2940" t="s">
        <v>22</v>
      </c>
      <c r="O41" s="1756">
        <v>46203</v>
      </c>
      <c r="P41" s="842" t="s">
        <v>22</v>
      </c>
      <c r="Q41" s="1756">
        <v>46203</v>
      </c>
      <c r="R41" s="842" t="s">
        <v>22</v>
      </c>
      <c r="S41" s="1756">
        <v>46203</v>
      </c>
      <c r="T41" s="842" t="s">
        <v>22</v>
      </c>
      <c r="U41" s="1756">
        <v>46203</v>
      </c>
      <c r="V41" s="842" t="s">
        <v>22</v>
      </c>
      <c r="W41" s="1756">
        <v>46113.670023148145</v>
      </c>
      <c r="X41" s="842" t="s">
        <v>22</v>
      </c>
      <c r="Y41" s="1756">
        <v>46203.67402777778</v>
      </c>
      <c r="Z41" s="842" t="s">
        <v>22</v>
      </c>
      <c r="AA41" s="2941" t="s">
        <v>22</v>
      </c>
      <c r="AB41" s="2940" t="s">
        <v>22</v>
      </c>
      <c r="AC41" s="1756">
        <v>46203</v>
      </c>
      <c r="AD41" s="842" t="s">
        <v>22</v>
      </c>
      <c r="AE41" s="1756">
        <v>46203</v>
      </c>
      <c r="AF41" s="842" t="s">
        <v>22</v>
      </c>
      <c r="AG41" s="2941" t="s">
        <v>22</v>
      </c>
      <c r="AH41" s="2940" t="s">
        <v>22</v>
      </c>
      <c r="AI41" s="1756">
        <v>46203</v>
      </c>
      <c r="AJ41" s="842" t="s">
        <v>22</v>
      </c>
      <c r="AK41" s="1756">
        <v>46203</v>
      </c>
      <c r="AL41" s="842" t="s">
        <v>22</v>
      </c>
      <c r="AM41" s="1549" t="s">
        <v>1043</v>
      </c>
      <c r="AN41" s="1659"/>
      <c r="AO41" s="1659"/>
      <c r="AP41" s="1659"/>
      <c r="AQ41" s="1659"/>
      <c r="AR41" s="1659"/>
      <c r="AS41" s="1659"/>
      <c r="AT41" s="1659"/>
      <c r="AU41" s="1659"/>
      <c r="AV41" s="1659"/>
      <c r="AW41" s="699"/>
      <c r="AX41" s="1659">
        <v>0</v>
      </c>
    </row>
    <row s="1874" customFormat="1" customHeight="1" ht="22.5">
      <c r="A42" s="1659"/>
      <c r="B42" s="2421" t="s">
        <v>416</v>
      </c>
      <c r="C42" s="2422" t="s">
        <v>104</v>
      </c>
      <c r="D42" s="713" t="str">
        <f>B42&amp;".1"</f>
        <v>3.2.1</v>
      </c>
      <c r="E42" s="1691" t="s">
        <v>1039</v>
      </c>
      <c r="F42" s="2287" t="s">
        <v>390</v>
      </c>
      <c r="G42" s="2377" t="s">
        <v>22</v>
      </c>
      <c r="H42" s="842" t="s">
        <v>22</v>
      </c>
      <c r="I42" s="2377" t="s">
        <v>1059</v>
      </c>
      <c r="J42" s="842" t="s">
        <v>22</v>
      </c>
      <c r="K42" s="2377" t="s">
        <v>1060</v>
      </c>
      <c r="L42" s="842" t="s">
        <v>22</v>
      </c>
      <c r="M42" s="2942" t="s">
        <v>22</v>
      </c>
      <c r="N42" s="2940" t="s">
        <v>22</v>
      </c>
      <c r="O42" s="2377" t="s">
        <v>1059</v>
      </c>
      <c r="P42" s="842" t="s">
        <v>22</v>
      </c>
      <c r="Q42" s="2377" t="s">
        <v>1059</v>
      </c>
      <c r="R42" s="842" t="s">
        <v>22</v>
      </c>
      <c r="S42" s="2377" t="s">
        <v>1059</v>
      </c>
      <c r="T42" s="842" t="s">
        <v>22</v>
      </c>
      <c r="U42" s="2377" t="s">
        <v>1059</v>
      </c>
      <c r="V42" s="842" t="s">
        <v>22</v>
      </c>
      <c r="W42" s="2377" t="s">
        <v>1065</v>
      </c>
      <c r="X42" s="842" t="s">
        <v>22</v>
      </c>
      <c r="Y42" s="2377" t="s">
        <v>1063</v>
      </c>
      <c r="Z42" s="842" t="s">
        <v>22</v>
      </c>
      <c r="AA42" s="2942" t="s">
        <v>22</v>
      </c>
      <c r="AB42" s="2940" t="s">
        <v>22</v>
      </c>
      <c r="AC42" s="2377" t="s">
        <v>1059</v>
      </c>
      <c r="AD42" s="842" t="s">
        <v>22</v>
      </c>
      <c r="AE42" s="2377" t="s">
        <v>1059</v>
      </c>
      <c r="AF42" s="842" t="s">
        <v>22</v>
      </c>
      <c r="AG42" s="2942" t="s">
        <v>22</v>
      </c>
      <c r="AH42" s="2940" t="s">
        <v>22</v>
      </c>
      <c r="AI42" s="2377" t="s">
        <v>1059</v>
      </c>
      <c r="AJ42" s="842" t="s">
        <v>22</v>
      </c>
      <c r="AK42" s="2377" t="s">
        <v>22</v>
      </c>
      <c r="AL42" s="842" t="s">
        <v>22</v>
      </c>
      <c r="AM42" s="1549"/>
      <c r="AN42" s="1659"/>
      <c r="AO42" s="1659"/>
      <c r="AP42" s="1659"/>
      <c r="AQ42" s="1659"/>
      <c r="AR42" s="1659"/>
      <c r="AS42" s="1659"/>
      <c r="AT42" s="1659"/>
      <c r="AU42" s="1659"/>
      <c r="AV42" s="1659"/>
      <c r="AW42" s="699"/>
      <c r="AX42" s="1659">
        <v>0</v>
      </c>
    </row>
    <row s="1874" customFormat="1" customHeight="1" ht="15">
      <c r="A43" s="1659"/>
      <c r="B43" s="2421"/>
      <c r="C43" s="2422"/>
      <c r="D43" s="713" t="str">
        <f>B42&amp;".2"</f>
        <v>3.2.2</v>
      </c>
      <c r="E43" s="1691" t="s">
        <v>1040</v>
      </c>
      <c r="F43" s="2287" t="s">
        <v>390</v>
      </c>
      <c r="G43" s="1762" t="s">
        <v>22</v>
      </c>
      <c r="H43" s="842" t="s">
        <v>22</v>
      </c>
      <c r="I43" s="1762">
        <v>46113</v>
      </c>
      <c r="J43" s="842" t="s">
        <v>22</v>
      </c>
      <c r="K43" s="1762">
        <v>46129</v>
      </c>
      <c r="L43" s="842" t="s">
        <v>22</v>
      </c>
      <c r="M43" s="2943" t="s">
        <v>22</v>
      </c>
      <c r="N43" s="2940" t="s">
        <v>22</v>
      </c>
      <c r="O43" s="1762">
        <v>46113</v>
      </c>
      <c r="P43" s="842" t="s">
        <v>22</v>
      </c>
      <c r="Q43" s="1762">
        <v>46113</v>
      </c>
      <c r="R43" s="842" t="s">
        <v>22</v>
      </c>
      <c r="S43" s="1762">
        <v>46113</v>
      </c>
      <c r="T43" s="842" t="s">
        <v>22</v>
      </c>
      <c r="U43" s="1762">
        <v>46113</v>
      </c>
      <c r="V43" s="842" t="s">
        <v>22</v>
      </c>
      <c r="W43" s="1762">
        <v>46115.670810185184</v>
      </c>
      <c r="X43" s="842" t="s">
        <v>22</v>
      </c>
      <c r="Y43" s="1762">
        <v>46142.67673611111</v>
      </c>
      <c r="Z43" s="842" t="s">
        <v>22</v>
      </c>
      <c r="AA43" s="2943" t="s">
        <v>22</v>
      </c>
      <c r="AB43" s="2940" t="s">
        <v>22</v>
      </c>
      <c r="AC43" s="1762">
        <v>46114</v>
      </c>
      <c r="AD43" s="842" t="s">
        <v>22</v>
      </c>
      <c r="AE43" s="1762">
        <v>46121</v>
      </c>
      <c r="AF43" s="842" t="s">
        <v>22</v>
      </c>
      <c r="AG43" s="2943" t="s">
        <v>22</v>
      </c>
      <c r="AH43" s="2940" t="s">
        <v>22</v>
      </c>
      <c r="AI43" s="1762">
        <v>46113</v>
      </c>
      <c r="AJ43" s="842" t="s">
        <v>22</v>
      </c>
      <c r="AK43" s="1762" t="s">
        <v>22</v>
      </c>
      <c r="AL43" s="842" t="s">
        <v>22</v>
      </c>
      <c r="AM43" s="1549" t="s">
        <v>1041</v>
      </c>
      <c r="AN43" s="1659"/>
      <c r="AO43" s="1659"/>
      <c r="AP43" s="1659"/>
      <c r="AQ43" s="1659"/>
      <c r="AR43" s="1659"/>
      <c r="AS43" s="1659"/>
      <c r="AT43" s="1659"/>
      <c r="AU43" s="1659"/>
      <c r="AV43" s="1659"/>
      <c r="AW43" s="699"/>
      <c r="AX43" s="1659">
        <v>0</v>
      </c>
    </row>
    <row s="1874" customFormat="1" customHeight="1" ht="15">
      <c r="A44" s="1659"/>
      <c r="B44" s="2421"/>
      <c r="C44" s="2422"/>
      <c r="D44" s="713" t="str">
        <f>B42&amp;".3"</f>
        <v>3.2.3</v>
      </c>
      <c r="E44" s="1691" t="s">
        <v>1042</v>
      </c>
      <c r="F44" s="2287" t="s">
        <v>390</v>
      </c>
      <c r="G44" s="1762" t="s">
        <v>22</v>
      </c>
      <c r="H44" s="842" t="s">
        <v>22</v>
      </c>
      <c r="I44" s="1762" t="s">
        <v>22</v>
      </c>
      <c r="J44" s="842" t="s">
        <v>22</v>
      </c>
      <c r="K44" s="1762" t="s">
        <v>22</v>
      </c>
      <c r="L44" s="842" t="s">
        <v>22</v>
      </c>
      <c r="M44" s="2943" t="s">
        <v>22</v>
      </c>
      <c r="N44" s="2940" t="s">
        <v>22</v>
      </c>
      <c r="O44" s="1762" t="s">
        <v>22</v>
      </c>
      <c r="P44" s="842" t="s">
        <v>22</v>
      </c>
      <c r="Q44" s="1762" t="s">
        <v>22</v>
      </c>
      <c r="R44" s="842" t="s">
        <v>22</v>
      </c>
      <c r="S44" s="1762" t="s">
        <v>22</v>
      </c>
      <c r="T44" s="842" t="s">
        <v>22</v>
      </c>
      <c r="U44" s="1762" t="s">
        <v>22</v>
      </c>
      <c r="V44" s="842" t="s">
        <v>22</v>
      </c>
      <c r="W44" s="1762"/>
      <c r="X44" s="842" t="s">
        <v>22</v>
      </c>
      <c r="Y44" s="1762"/>
      <c r="Z44" s="842" t="s">
        <v>22</v>
      </c>
      <c r="AA44" s="2943" t="s">
        <v>22</v>
      </c>
      <c r="AB44" s="2940" t="s">
        <v>22</v>
      </c>
      <c r="AC44" s="1762" t="s">
        <v>22</v>
      </c>
      <c r="AD44" s="842" t="s">
        <v>22</v>
      </c>
      <c r="AE44" s="1762"/>
      <c r="AF44" s="842" t="s">
        <v>22</v>
      </c>
      <c r="AG44" s="2943" t="s">
        <v>22</v>
      </c>
      <c r="AH44" s="2940" t="s">
        <v>22</v>
      </c>
      <c r="AI44" s="1762" t="s">
        <v>22</v>
      </c>
      <c r="AJ44" s="842" t="s">
        <v>22</v>
      </c>
      <c r="AK44" s="1762" t="s">
        <v>22</v>
      </c>
      <c r="AL44" s="842" t="s">
        <v>22</v>
      </c>
      <c r="AM44" s="1549" t="s">
        <v>1043</v>
      </c>
      <c r="AN44" s="1659"/>
      <c r="AO44" s="1659"/>
      <c r="AP44" s="1659"/>
      <c r="AQ44" s="1659"/>
      <c r="AR44" s="1659"/>
      <c r="AS44" s="1659"/>
      <c r="AT44" s="1659"/>
      <c r="AU44" s="1659"/>
      <c r="AV44" s="1659"/>
      <c r="AW44" s="699"/>
      <c r="AX44" s="1659">
        <v>0</v>
      </c>
    </row>
    <row s="1874" customFormat="1" customHeight="1" ht="22.5">
      <c r="A45" s="1659"/>
      <c r="B45" s="2421" t="s">
        <v>418</v>
      </c>
      <c r="C45" s="2422" t="s">
        <v>104</v>
      </c>
      <c r="D45" s="713" t="str">
        <f>B45&amp;".1"</f>
        <v>3.3.1</v>
      </c>
      <c r="E45" s="1691" t="s">
        <v>1039</v>
      </c>
      <c r="F45" s="2287" t="s">
        <v>390</v>
      </c>
      <c r="G45" s="2377" t="s">
        <v>22</v>
      </c>
      <c r="H45" s="842" t="s">
        <v>22</v>
      </c>
      <c r="I45" s="2377" t="s">
        <v>1059</v>
      </c>
      <c r="J45" s="842" t="s">
        <v>22</v>
      </c>
      <c r="K45" s="2377" t="s">
        <v>1059</v>
      </c>
      <c r="L45" s="842" t="s">
        <v>22</v>
      </c>
      <c r="M45" s="2942" t="s">
        <v>22</v>
      </c>
      <c r="N45" s="2940" t="s">
        <v>22</v>
      </c>
      <c r="O45" s="2377" t="s">
        <v>1059</v>
      </c>
      <c r="P45" s="842" t="s">
        <v>22</v>
      </c>
      <c r="Q45" s="2377" t="s">
        <v>1059</v>
      </c>
      <c r="R45" s="842" t="s">
        <v>22</v>
      </c>
      <c r="S45" s="2377" t="s">
        <v>1059</v>
      </c>
      <c r="T45" s="842" t="s">
        <v>22</v>
      </c>
      <c r="U45" s="2377" t="s">
        <v>1059</v>
      </c>
      <c r="V45" s="842" t="s">
        <v>22</v>
      </c>
      <c r="W45" s="2377" t="s">
        <v>1062</v>
      </c>
      <c r="X45" s="842" t="s">
        <v>22</v>
      </c>
      <c r="Y45" s="2377" t="s">
        <v>1063</v>
      </c>
      <c r="Z45" s="842" t="s">
        <v>22</v>
      </c>
      <c r="AA45" s="2942" t="s">
        <v>22</v>
      </c>
      <c r="AB45" s="2940" t="s">
        <v>22</v>
      </c>
      <c r="AC45" s="2377" t="s">
        <v>1059</v>
      </c>
      <c r="AD45" s="842" t="s">
        <v>22</v>
      </c>
      <c r="AE45" s="2377" t="s">
        <v>1059</v>
      </c>
      <c r="AF45" s="842" t="s">
        <v>22</v>
      </c>
      <c r="AG45" s="2942" t="s">
        <v>22</v>
      </c>
      <c r="AH45" s="2940" t="s">
        <v>22</v>
      </c>
      <c r="AI45" s="2377" t="s">
        <v>1059</v>
      </c>
      <c r="AJ45" s="842" t="s">
        <v>22</v>
      </c>
      <c r="AK45" s="2377" t="s">
        <v>22</v>
      </c>
      <c r="AL45" s="842" t="s">
        <v>22</v>
      </c>
      <c r="AM45" s="1549"/>
      <c r="AN45" s="1659"/>
      <c r="AO45" s="1659"/>
      <c r="AP45" s="1659"/>
      <c r="AQ45" s="1659"/>
      <c r="AR45" s="1659"/>
      <c r="AS45" s="1659"/>
      <c r="AT45" s="1659"/>
      <c r="AU45" s="1659"/>
      <c r="AV45" s="1659"/>
      <c r="AW45" s="699"/>
      <c r="AX45" s="1659">
        <v>0</v>
      </c>
    </row>
    <row s="1874" customFormat="1" customHeight="1" ht="15">
      <c r="A46" s="1659"/>
      <c r="B46" s="2421"/>
      <c r="C46" s="2422"/>
      <c r="D46" s="713" t="str">
        <f>B45&amp;".2"</f>
        <v>3.3.2</v>
      </c>
      <c r="E46" s="1691" t="s">
        <v>1040</v>
      </c>
      <c r="F46" s="2287" t="s">
        <v>390</v>
      </c>
      <c r="G46" s="1762" t="s">
        <v>22</v>
      </c>
      <c r="H46" s="842" t="s">
        <v>22</v>
      </c>
      <c r="I46" s="1762">
        <v>46113</v>
      </c>
      <c r="J46" s="842" t="s">
        <v>22</v>
      </c>
      <c r="K46" s="1762">
        <v>46163</v>
      </c>
      <c r="L46" s="842" t="s">
        <v>22</v>
      </c>
      <c r="M46" s="2943" t="s">
        <v>22</v>
      </c>
      <c r="N46" s="2940" t="s">
        <v>22</v>
      </c>
      <c r="O46" s="1762">
        <v>46113</v>
      </c>
      <c r="P46" s="842" t="s">
        <v>22</v>
      </c>
      <c r="Q46" s="1762">
        <v>46113</v>
      </c>
      <c r="R46" s="842" t="s">
        <v>22</v>
      </c>
      <c r="S46" s="1762">
        <v>46113</v>
      </c>
      <c r="T46" s="842" t="s">
        <v>22</v>
      </c>
      <c r="U46" s="1762">
        <v>46113</v>
      </c>
      <c r="V46" s="842" t="s">
        <v>22</v>
      </c>
      <c r="W46" s="1762">
        <v>46133.67144675926</v>
      </c>
      <c r="X46" s="842" t="s">
        <v>22</v>
      </c>
      <c r="Y46" s="1762">
        <v>46169.67851851852</v>
      </c>
      <c r="Z46" s="842" t="s">
        <v>22</v>
      </c>
      <c r="AA46" s="2943" t="s">
        <v>22</v>
      </c>
      <c r="AB46" s="2940" t="s">
        <v>22</v>
      </c>
      <c r="AC46" s="1762">
        <v>46114</v>
      </c>
      <c r="AD46" s="842" t="s">
        <v>22</v>
      </c>
      <c r="AE46" s="1762">
        <v>46121</v>
      </c>
      <c r="AF46" s="842" t="s">
        <v>22</v>
      </c>
      <c r="AG46" s="2943" t="s">
        <v>22</v>
      </c>
      <c r="AH46" s="2940" t="s">
        <v>22</v>
      </c>
      <c r="AI46" s="1762">
        <v>46113</v>
      </c>
      <c r="AJ46" s="842" t="s">
        <v>22</v>
      </c>
      <c r="AK46" s="1762" t="s">
        <v>22</v>
      </c>
      <c r="AL46" s="842" t="s">
        <v>22</v>
      </c>
      <c r="AM46" s="1549" t="s">
        <v>1041</v>
      </c>
      <c r="AN46" s="1659"/>
      <c r="AO46" s="1659"/>
      <c r="AP46" s="1659"/>
      <c r="AQ46" s="1659"/>
      <c r="AR46" s="1659"/>
      <c r="AS46" s="1659"/>
      <c r="AT46" s="1659"/>
      <c r="AU46" s="1659"/>
      <c r="AV46" s="1659"/>
      <c r="AW46" s="699"/>
      <c r="AX46" s="1659">
        <v>0</v>
      </c>
    </row>
    <row s="1874" customFormat="1" customHeight="1" ht="15">
      <c r="A47" s="1659"/>
      <c r="B47" s="2421"/>
      <c r="C47" s="2422"/>
      <c r="D47" s="713" t="str">
        <f>B45&amp;".3"</f>
        <v>3.3.3</v>
      </c>
      <c r="E47" s="1691" t="s">
        <v>1042</v>
      </c>
      <c r="F47" s="2287" t="s">
        <v>390</v>
      </c>
      <c r="G47" s="1762" t="s">
        <v>22</v>
      </c>
      <c r="H47" s="842" t="s">
        <v>22</v>
      </c>
      <c r="I47" s="1762" t="s">
        <v>22</v>
      </c>
      <c r="J47" s="842" t="s">
        <v>22</v>
      </c>
      <c r="K47" s="1762" t="s">
        <v>22</v>
      </c>
      <c r="L47" s="842" t="s">
        <v>22</v>
      </c>
      <c r="M47" s="2943" t="s">
        <v>22</v>
      </c>
      <c r="N47" s="2940" t="s">
        <v>22</v>
      </c>
      <c r="O47" s="1762" t="s">
        <v>22</v>
      </c>
      <c r="P47" s="842" t="s">
        <v>22</v>
      </c>
      <c r="Q47" s="1762" t="s">
        <v>22</v>
      </c>
      <c r="R47" s="842" t="s">
        <v>22</v>
      </c>
      <c r="S47" s="1762" t="s">
        <v>22</v>
      </c>
      <c r="T47" s="842" t="s">
        <v>22</v>
      </c>
      <c r="U47" s="1762" t="s">
        <v>22</v>
      </c>
      <c r="V47" s="842" t="s">
        <v>22</v>
      </c>
      <c r="W47" s="1762">
        <v>46133.67153935185</v>
      </c>
      <c r="X47" s="842" t="s">
        <v>22</v>
      </c>
      <c r="Y47" s="1762"/>
      <c r="Z47" s="842" t="s">
        <v>22</v>
      </c>
      <c r="AA47" s="2943" t="s">
        <v>22</v>
      </c>
      <c r="AB47" s="2940" t="s">
        <v>22</v>
      </c>
      <c r="AC47" s="1762" t="s">
        <v>22</v>
      </c>
      <c r="AD47" s="842" t="s">
        <v>22</v>
      </c>
      <c r="AE47" s="1762" t="s">
        <v>22</v>
      </c>
      <c r="AF47" s="842" t="s">
        <v>22</v>
      </c>
      <c r="AG47" s="2943" t="s">
        <v>22</v>
      </c>
      <c r="AH47" s="2940" t="s">
        <v>22</v>
      </c>
      <c r="AI47" s="1762" t="s">
        <v>22</v>
      </c>
      <c r="AJ47" s="842" t="s">
        <v>22</v>
      </c>
      <c r="AK47" s="1762" t="s">
        <v>22</v>
      </c>
      <c r="AL47" s="842" t="s">
        <v>22</v>
      </c>
      <c r="AM47" s="1549" t="s">
        <v>1043</v>
      </c>
      <c r="AN47" s="1659"/>
      <c r="AO47" s="1659"/>
      <c r="AP47" s="1659"/>
      <c r="AQ47" s="1659"/>
      <c r="AR47" s="1659"/>
      <c r="AS47" s="1659"/>
      <c r="AT47" s="1659"/>
      <c r="AU47" s="1659"/>
      <c r="AV47" s="1659"/>
      <c r="AW47" s="699"/>
      <c r="AX47" s="1659">
        <v>0</v>
      </c>
    </row>
    <row s="1874" customFormat="1" customHeight="1" ht="22.5">
      <c r="A48" s="1659"/>
      <c r="B48" s="2421" t="s">
        <v>420</v>
      </c>
      <c r="C48" s="2422" t="s">
        <v>104</v>
      </c>
      <c r="D48" s="713" t="str">
        <f>B48&amp;".1"</f>
        <v>3.4.1</v>
      </c>
      <c r="E48" s="1691" t="s">
        <v>1039</v>
      </c>
      <c r="F48" s="2287" t="s">
        <v>390</v>
      </c>
      <c r="G48" s="2377" t="s">
        <v>22</v>
      </c>
      <c r="H48" s="842" t="s">
        <v>22</v>
      </c>
      <c r="I48" s="2377" t="s">
        <v>1059</v>
      </c>
      <c r="J48" s="842" t="s">
        <v>22</v>
      </c>
      <c r="K48" s="2377" t="s">
        <v>1064</v>
      </c>
      <c r="L48" s="842" t="s">
        <v>22</v>
      </c>
      <c r="M48" s="2942" t="s">
        <v>22</v>
      </c>
      <c r="N48" s="2940" t="s">
        <v>22</v>
      </c>
      <c r="O48" s="2377" t="s">
        <v>1059</v>
      </c>
      <c r="P48" s="842" t="s">
        <v>22</v>
      </c>
      <c r="Q48" s="2377" t="s">
        <v>1059</v>
      </c>
      <c r="R48" s="842" t="s">
        <v>22</v>
      </c>
      <c r="S48" s="2377" t="s">
        <v>1059</v>
      </c>
      <c r="T48" s="842" t="s">
        <v>22</v>
      </c>
      <c r="U48" s="2377" t="s">
        <v>1059</v>
      </c>
      <c r="V48" s="842" t="s">
        <v>22</v>
      </c>
      <c r="W48" s="2377" t="s">
        <v>1062</v>
      </c>
      <c r="X48" s="842" t="s">
        <v>22</v>
      </c>
      <c r="Y48" s="2377" t="s">
        <v>22</v>
      </c>
      <c r="Z48" s="842" t="s">
        <v>22</v>
      </c>
      <c r="AA48" s="2942" t="s">
        <v>22</v>
      </c>
      <c r="AB48" s="2940" t="s">
        <v>22</v>
      </c>
      <c r="AC48" s="2377" t="s">
        <v>1064</v>
      </c>
      <c r="AD48" s="842" t="s">
        <v>22</v>
      </c>
      <c r="AE48" s="2377" t="s">
        <v>1059</v>
      </c>
      <c r="AF48" s="842" t="s">
        <v>22</v>
      </c>
      <c r="AG48" s="2942" t="s">
        <v>22</v>
      </c>
      <c r="AH48" s="2940" t="s">
        <v>22</v>
      </c>
      <c r="AI48" s="2377" t="s">
        <v>1064</v>
      </c>
      <c r="AJ48" s="842" t="s">
        <v>22</v>
      </c>
      <c r="AK48" s="2377" t="s">
        <v>22</v>
      </c>
      <c r="AL48" s="842" t="s">
        <v>22</v>
      </c>
      <c r="AM48" s="1549"/>
      <c r="AN48" s="1659"/>
      <c r="AO48" s="1659"/>
      <c r="AP48" s="1659"/>
      <c r="AQ48" s="1659"/>
      <c r="AR48" s="1659"/>
      <c r="AS48" s="1659"/>
      <c r="AT48" s="1659"/>
      <c r="AU48" s="1659"/>
      <c r="AV48" s="1659"/>
      <c r="AW48" s="699"/>
      <c r="AX48" s="1659">
        <v>0</v>
      </c>
    </row>
    <row s="1874" customFormat="1" customHeight="1" ht="15">
      <c r="A49" s="1659"/>
      <c r="B49" s="2421"/>
      <c r="C49" s="2422"/>
      <c r="D49" s="713" t="str">
        <f>B48&amp;".2"</f>
        <v>3.4.2</v>
      </c>
      <c r="E49" s="1691" t="s">
        <v>1040</v>
      </c>
      <c r="F49" s="2287" t="s">
        <v>390</v>
      </c>
      <c r="G49" s="1762" t="s">
        <v>22</v>
      </c>
      <c r="H49" s="842" t="s">
        <v>22</v>
      </c>
      <c r="I49" s="1762">
        <v>46113</v>
      </c>
      <c r="J49" s="842" t="s">
        <v>22</v>
      </c>
      <c r="K49" s="1762">
        <v>46163</v>
      </c>
      <c r="L49" s="842" t="s">
        <v>22</v>
      </c>
      <c r="M49" s="2943" t="s">
        <v>22</v>
      </c>
      <c r="N49" s="2940" t="s">
        <v>22</v>
      </c>
      <c r="O49" s="1762">
        <v>46113</v>
      </c>
      <c r="P49" s="842" t="s">
        <v>22</v>
      </c>
      <c r="Q49" s="1762">
        <v>46113</v>
      </c>
      <c r="R49" s="842" t="s">
        <v>22</v>
      </c>
      <c r="S49" s="1762">
        <v>46113</v>
      </c>
      <c r="T49" s="842" t="s">
        <v>22</v>
      </c>
      <c r="U49" s="1762">
        <v>46113</v>
      </c>
      <c r="V49" s="842" t="s">
        <v>22</v>
      </c>
      <c r="W49" s="1762">
        <v>46134.67181712963</v>
      </c>
      <c r="X49" s="842" t="s">
        <v>22</v>
      </c>
      <c r="Y49" s="1762" t="s">
        <v>22</v>
      </c>
      <c r="Z49" s="842" t="s">
        <v>22</v>
      </c>
      <c r="AA49" s="2943" t="s">
        <v>22</v>
      </c>
      <c r="AB49" s="2940" t="s">
        <v>22</v>
      </c>
      <c r="AC49" s="1762">
        <v>46115</v>
      </c>
      <c r="AD49" s="842" t="s">
        <v>22</v>
      </c>
      <c r="AE49" s="1762">
        <v>46122</v>
      </c>
      <c r="AF49" s="842" t="s">
        <v>22</v>
      </c>
      <c r="AG49" s="2943" t="s">
        <v>22</v>
      </c>
      <c r="AH49" s="2940" t="s">
        <v>22</v>
      </c>
      <c r="AI49" s="1762">
        <v>46114</v>
      </c>
      <c r="AJ49" s="842" t="s">
        <v>22</v>
      </c>
      <c r="AK49" s="1762" t="s">
        <v>22</v>
      </c>
      <c r="AL49" s="842" t="s">
        <v>22</v>
      </c>
      <c r="AM49" s="1549" t="s">
        <v>1041</v>
      </c>
      <c r="AN49" s="1659"/>
      <c r="AO49" s="1659"/>
      <c r="AP49" s="1659"/>
      <c r="AQ49" s="1659"/>
      <c r="AR49" s="1659"/>
      <c r="AS49" s="1659"/>
      <c r="AT49" s="1659"/>
      <c r="AU49" s="1659"/>
      <c r="AV49" s="1659"/>
      <c r="AW49" s="699"/>
      <c r="AX49" s="1659">
        <v>0</v>
      </c>
    </row>
    <row s="1874" customFormat="1" customHeight="1" ht="15">
      <c r="A50" s="1659"/>
      <c r="B50" s="2421"/>
      <c r="C50" s="2422"/>
      <c r="D50" s="713" t="str">
        <f>B48&amp;".3"</f>
        <v>3.4.3</v>
      </c>
      <c r="E50" s="1691" t="s">
        <v>1042</v>
      </c>
      <c r="F50" s="2287" t="s">
        <v>390</v>
      </c>
      <c r="G50" s="1762" t="s">
        <v>22</v>
      </c>
      <c r="H50" s="842" t="s">
        <v>22</v>
      </c>
      <c r="I50" s="1762" t="s">
        <v>22</v>
      </c>
      <c r="J50" s="842" t="s">
        <v>22</v>
      </c>
      <c r="K50" s="1762" t="s">
        <v>22</v>
      </c>
      <c r="L50" s="842" t="s">
        <v>22</v>
      </c>
      <c r="M50" s="2943" t="s">
        <v>22</v>
      </c>
      <c r="N50" s="2940" t="s">
        <v>22</v>
      </c>
      <c r="O50" s="1762" t="s">
        <v>22</v>
      </c>
      <c r="P50" s="842" t="s">
        <v>22</v>
      </c>
      <c r="Q50" s="1762" t="s">
        <v>22</v>
      </c>
      <c r="R50" s="842" t="s">
        <v>22</v>
      </c>
      <c r="S50" s="1762" t="s">
        <v>22</v>
      </c>
      <c r="T50" s="842" t="s">
        <v>22</v>
      </c>
      <c r="U50" s="1762" t="s">
        <v>22</v>
      </c>
      <c r="V50" s="842" t="s">
        <v>22</v>
      </c>
      <c r="W50" s="1762">
        <v>46134.671898148146</v>
      </c>
      <c r="X50" s="842" t="s">
        <v>22</v>
      </c>
      <c r="Y50" s="1762" t="s">
        <v>22</v>
      </c>
      <c r="Z50" s="842" t="s">
        <v>22</v>
      </c>
      <c r="AA50" s="2943" t="s">
        <v>22</v>
      </c>
      <c r="AB50" s="2940" t="s">
        <v>22</v>
      </c>
      <c r="AC50" s="1762" t="s">
        <v>22</v>
      </c>
      <c r="AD50" s="842" t="s">
        <v>22</v>
      </c>
      <c r="AE50" s="1762" t="s">
        <v>22</v>
      </c>
      <c r="AF50" s="842" t="s">
        <v>22</v>
      </c>
      <c r="AG50" s="2943" t="s">
        <v>22</v>
      </c>
      <c r="AH50" s="2940" t="s">
        <v>22</v>
      </c>
      <c r="AI50" s="1762" t="s">
        <v>22</v>
      </c>
      <c r="AJ50" s="842" t="s">
        <v>22</v>
      </c>
      <c r="AK50" s="1762" t="s">
        <v>22</v>
      </c>
      <c r="AL50" s="842" t="s">
        <v>22</v>
      </c>
      <c r="AM50" s="1549" t="s">
        <v>1043</v>
      </c>
      <c r="AN50" s="1659"/>
      <c r="AO50" s="1659"/>
      <c r="AP50" s="1659"/>
      <c r="AQ50" s="1659"/>
      <c r="AR50" s="1659"/>
      <c r="AS50" s="1659"/>
      <c r="AT50" s="1659"/>
      <c r="AU50" s="1659"/>
      <c r="AV50" s="1659"/>
      <c r="AW50" s="699"/>
      <c r="AX50" s="1659">
        <v>0</v>
      </c>
    </row>
    <row s="1874" customFormat="1" customHeight="1" ht="22.5">
      <c r="A51" s="1659"/>
      <c r="B51" s="2421" t="s">
        <v>1015</v>
      </c>
      <c r="C51" s="2422" t="s">
        <v>104</v>
      </c>
      <c r="D51" s="713" t="str">
        <f>B51&amp;".1"</f>
        <v>3.5.1</v>
      </c>
      <c r="E51" s="1691" t="s">
        <v>1039</v>
      </c>
      <c r="F51" s="2287" t="s">
        <v>390</v>
      </c>
      <c r="G51" s="2377" t="s">
        <v>22</v>
      </c>
      <c r="H51" s="842" t="s">
        <v>22</v>
      </c>
      <c r="I51" s="2377" t="s">
        <v>1059</v>
      </c>
      <c r="J51" s="842" t="s">
        <v>22</v>
      </c>
      <c r="K51" s="2377" t="s">
        <v>22</v>
      </c>
      <c r="L51" s="842" t="s">
        <v>22</v>
      </c>
      <c r="M51" s="2942" t="s">
        <v>22</v>
      </c>
      <c r="N51" s="2940" t="s">
        <v>22</v>
      </c>
      <c r="O51" s="2377" t="s">
        <v>1059</v>
      </c>
      <c r="P51" s="842" t="s">
        <v>22</v>
      </c>
      <c r="Q51" s="2377" t="s">
        <v>1059</v>
      </c>
      <c r="R51" s="842" t="s">
        <v>22</v>
      </c>
      <c r="S51" s="2377" t="s">
        <v>1059</v>
      </c>
      <c r="T51" s="842" t="s">
        <v>22</v>
      </c>
      <c r="U51" s="2377" t="s">
        <v>1059</v>
      </c>
      <c r="V51" s="842" t="s">
        <v>22</v>
      </c>
      <c r="W51" s="2377" t="s">
        <v>1065</v>
      </c>
      <c r="X51" s="842" t="s">
        <v>22</v>
      </c>
      <c r="Y51" s="2377" t="s">
        <v>22</v>
      </c>
      <c r="Z51" s="842" t="s">
        <v>22</v>
      </c>
      <c r="AA51" s="2942" t="s">
        <v>22</v>
      </c>
      <c r="AB51" s="2940" t="s">
        <v>22</v>
      </c>
      <c r="AC51" s="2377" t="s">
        <v>1059</v>
      </c>
      <c r="AD51" s="842" t="s">
        <v>22</v>
      </c>
      <c r="AE51" s="2377" t="s">
        <v>1064</v>
      </c>
      <c r="AF51" s="842" t="s">
        <v>22</v>
      </c>
      <c r="AG51" s="2942" t="s">
        <v>22</v>
      </c>
      <c r="AH51" s="2940" t="s">
        <v>22</v>
      </c>
      <c r="AI51" s="2377" t="s">
        <v>1059</v>
      </c>
      <c r="AJ51" s="842" t="s">
        <v>22</v>
      </c>
      <c r="AK51" s="2377" t="s">
        <v>22</v>
      </c>
      <c r="AL51" s="842" t="s">
        <v>22</v>
      </c>
      <c r="AM51" s="1549"/>
      <c r="AN51" s="1659"/>
      <c r="AO51" s="1659"/>
      <c r="AP51" s="1659"/>
      <c r="AQ51" s="1659"/>
      <c r="AR51" s="1659"/>
      <c r="AS51" s="1659"/>
      <c r="AT51" s="1659"/>
      <c r="AU51" s="1659"/>
      <c r="AV51" s="1659"/>
      <c r="AW51" s="699"/>
      <c r="AX51" s="1659">
        <v>0</v>
      </c>
    </row>
    <row s="1874" customFormat="1" customHeight="1" ht="15">
      <c r="A52" s="1659"/>
      <c r="B52" s="2421"/>
      <c r="C52" s="2422"/>
      <c r="D52" s="713" t="str">
        <f>B51&amp;".2"</f>
        <v>3.5.2</v>
      </c>
      <c r="E52" s="1691" t="s">
        <v>1040</v>
      </c>
      <c r="F52" s="2287" t="s">
        <v>390</v>
      </c>
      <c r="G52" s="1762" t="s">
        <v>22</v>
      </c>
      <c r="H52" s="842" t="s">
        <v>22</v>
      </c>
      <c r="I52" s="1762">
        <v>46113</v>
      </c>
      <c r="J52" s="842" t="s">
        <v>22</v>
      </c>
      <c r="K52" s="1762" t="s">
        <v>22</v>
      </c>
      <c r="L52" s="842" t="s">
        <v>22</v>
      </c>
      <c r="M52" s="2943" t="s">
        <v>22</v>
      </c>
      <c r="N52" s="2940" t="s">
        <v>22</v>
      </c>
      <c r="O52" s="1762">
        <v>46113</v>
      </c>
      <c r="P52" s="842" t="s">
        <v>22</v>
      </c>
      <c r="Q52" s="1762">
        <v>46113</v>
      </c>
      <c r="R52" s="842" t="s">
        <v>22</v>
      </c>
      <c r="S52" s="1762">
        <v>46113</v>
      </c>
      <c r="T52" s="842" t="s">
        <v>22</v>
      </c>
      <c r="U52" s="1762">
        <v>46113</v>
      </c>
      <c r="V52" s="842" t="s">
        <v>22</v>
      </c>
      <c r="W52" s="1762">
        <v>46136.67270833333</v>
      </c>
      <c r="X52" s="842" t="s">
        <v>22</v>
      </c>
      <c r="Y52" s="1762" t="s">
        <v>22</v>
      </c>
      <c r="Z52" s="842" t="s">
        <v>22</v>
      </c>
      <c r="AA52" s="2943" t="s">
        <v>22</v>
      </c>
      <c r="AB52" s="2940" t="s">
        <v>22</v>
      </c>
      <c r="AC52" s="1762">
        <v>46115</v>
      </c>
      <c r="AD52" s="842" t="s">
        <v>22</v>
      </c>
      <c r="AE52" s="1762">
        <v>46125</v>
      </c>
      <c r="AF52" s="842" t="s">
        <v>22</v>
      </c>
      <c r="AG52" s="2943" t="s">
        <v>22</v>
      </c>
      <c r="AH52" s="2940" t="s">
        <v>22</v>
      </c>
      <c r="AI52" s="1762">
        <v>46115</v>
      </c>
      <c r="AJ52" s="842" t="s">
        <v>22</v>
      </c>
      <c r="AK52" s="1762" t="s">
        <v>22</v>
      </c>
      <c r="AL52" s="842" t="s">
        <v>22</v>
      </c>
      <c r="AM52" s="1549" t="s">
        <v>1041</v>
      </c>
      <c r="AN52" s="1659"/>
      <c r="AO52" s="1659"/>
      <c r="AP52" s="1659"/>
      <c r="AQ52" s="1659"/>
      <c r="AR52" s="1659"/>
      <c r="AS52" s="1659"/>
      <c r="AT52" s="1659"/>
      <c r="AU52" s="1659"/>
      <c r="AV52" s="1659"/>
      <c r="AW52" s="699"/>
      <c r="AX52" s="1659">
        <v>0</v>
      </c>
    </row>
    <row s="1874" customFormat="1" customHeight="1" ht="15">
      <c r="A53" s="1659"/>
      <c r="B53" s="2421"/>
      <c r="C53" s="2422"/>
      <c r="D53" s="713" t="str">
        <f>B51&amp;".3"</f>
        <v>3.5.3</v>
      </c>
      <c r="E53" s="1691" t="s">
        <v>1042</v>
      </c>
      <c r="F53" s="2287" t="s">
        <v>390</v>
      </c>
      <c r="G53" s="1762" t="s">
        <v>22</v>
      </c>
      <c r="H53" s="842" t="s">
        <v>22</v>
      </c>
      <c r="I53" s="1762" t="s">
        <v>22</v>
      </c>
      <c r="J53" s="842" t="s">
        <v>22</v>
      </c>
      <c r="K53" s="1762" t="s">
        <v>22</v>
      </c>
      <c r="L53" s="842" t="s">
        <v>22</v>
      </c>
      <c r="M53" s="2943" t="s">
        <v>22</v>
      </c>
      <c r="N53" s="2940" t="s">
        <v>22</v>
      </c>
      <c r="O53" s="1762" t="s">
        <v>22</v>
      </c>
      <c r="P53" s="842" t="s">
        <v>22</v>
      </c>
      <c r="Q53" s="1762" t="s">
        <v>22</v>
      </c>
      <c r="R53" s="842" t="s">
        <v>22</v>
      </c>
      <c r="S53" s="1762" t="s">
        <v>22</v>
      </c>
      <c r="T53" s="842" t="s">
        <v>22</v>
      </c>
      <c r="U53" s="1762" t="s">
        <v>22</v>
      </c>
      <c r="V53" s="842" t="s">
        <v>22</v>
      </c>
      <c r="W53" s="1762">
        <v>46140.6728125</v>
      </c>
      <c r="X53" s="842" t="s">
        <v>22</v>
      </c>
      <c r="Y53" s="1762" t="s">
        <v>22</v>
      </c>
      <c r="Z53" s="842" t="s">
        <v>22</v>
      </c>
      <c r="AA53" s="2943" t="s">
        <v>22</v>
      </c>
      <c r="AB53" s="2940" t="s">
        <v>22</v>
      </c>
      <c r="AC53" s="1762" t="s">
        <v>22</v>
      </c>
      <c r="AD53" s="842" t="s">
        <v>22</v>
      </c>
      <c r="AE53" s="1762" t="s">
        <v>22</v>
      </c>
      <c r="AF53" s="842" t="s">
        <v>22</v>
      </c>
      <c r="AG53" s="2943" t="s">
        <v>22</v>
      </c>
      <c r="AH53" s="2940" t="s">
        <v>22</v>
      </c>
      <c r="AI53" s="1762" t="s">
        <v>22</v>
      </c>
      <c r="AJ53" s="842" t="s">
        <v>22</v>
      </c>
      <c r="AK53" s="1762" t="s">
        <v>22</v>
      </c>
      <c r="AL53" s="842" t="s">
        <v>22</v>
      </c>
      <c r="AM53" s="1549" t="s">
        <v>1043</v>
      </c>
      <c r="AN53" s="1659"/>
      <c r="AO53" s="1659"/>
      <c r="AP53" s="1659"/>
      <c r="AQ53" s="1659"/>
      <c r="AR53" s="1659"/>
      <c r="AS53" s="1659"/>
      <c r="AT53" s="1659"/>
      <c r="AU53" s="1659"/>
      <c r="AV53" s="1659"/>
      <c r="AW53" s="699"/>
      <c r="AX53" s="1659">
        <v>0</v>
      </c>
    </row>
    <row s="1874" customFormat="1" customHeight="1" ht="22.5">
      <c r="A54" s="1659"/>
      <c r="B54" s="2421" t="s">
        <v>1017</v>
      </c>
      <c r="C54" s="2422" t="s">
        <v>104</v>
      </c>
      <c r="D54" s="713" t="str">
        <f>B54&amp;".1"</f>
        <v>3.6.1</v>
      </c>
      <c r="E54" s="1691" t="s">
        <v>1039</v>
      </c>
      <c r="F54" s="2287" t="s">
        <v>390</v>
      </c>
      <c r="G54" s="2377" t="s">
        <v>22</v>
      </c>
      <c r="H54" s="842" t="s">
        <v>22</v>
      </c>
      <c r="I54" s="2377" t="s">
        <v>1059</v>
      </c>
      <c r="J54" s="842" t="s">
        <v>22</v>
      </c>
      <c r="K54" s="2377" t="s">
        <v>22</v>
      </c>
      <c r="L54" s="842" t="s">
        <v>22</v>
      </c>
      <c r="M54" s="2942" t="s">
        <v>22</v>
      </c>
      <c r="N54" s="2940" t="s">
        <v>22</v>
      </c>
      <c r="O54" s="2377" t="s">
        <v>1059</v>
      </c>
      <c r="P54" s="842" t="s">
        <v>22</v>
      </c>
      <c r="Q54" s="2377" t="s">
        <v>1059</v>
      </c>
      <c r="R54" s="842" t="s">
        <v>22</v>
      </c>
      <c r="S54" s="2377" t="s">
        <v>1059</v>
      </c>
      <c r="T54" s="842" t="s">
        <v>22</v>
      </c>
      <c r="U54" s="2377" t="s">
        <v>1059</v>
      </c>
      <c r="V54" s="842" t="s">
        <v>22</v>
      </c>
      <c r="W54" s="2377" t="s">
        <v>1063</v>
      </c>
      <c r="X54" s="842" t="s">
        <v>22</v>
      </c>
      <c r="Y54" s="2377" t="s">
        <v>22</v>
      </c>
      <c r="Z54" s="842" t="s">
        <v>22</v>
      </c>
      <c r="AA54" s="2942" t="s">
        <v>22</v>
      </c>
      <c r="AB54" s="2940" t="s">
        <v>22</v>
      </c>
      <c r="AC54" s="2377" t="s">
        <v>1059</v>
      </c>
      <c r="AD54" s="842" t="s">
        <v>22</v>
      </c>
      <c r="AE54" s="2377" t="s">
        <v>1059</v>
      </c>
      <c r="AF54" s="842" t="s">
        <v>22</v>
      </c>
      <c r="AG54" s="2942" t="s">
        <v>22</v>
      </c>
      <c r="AH54" s="2940" t="s">
        <v>22</v>
      </c>
      <c r="AI54" s="2377" t="s">
        <v>1059</v>
      </c>
      <c r="AJ54" s="842" t="s">
        <v>22</v>
      </c>
      <c r="AK54" s="2377" t="s">
        <v>22</v>
      </c>
      <c r="AL54" s="842" t="s">
        <v>22</v>
      </c>
      <c r="AM54" s="1549"/>
      <c r="AN54" s="1659"/>
      <c r="AO54" s="1659"/>
      <c r="AP54" s="1659"/>
      <c r="AQ54" s="1659"/>
      <c r="AR54" s="1659"/>
      <c r="AS54" s="1659"/>
      <c r="AT54" s="1659"/>
      <c r="AU54" s="1659"/>
      <c r="AV54" s="1659"/>
      <c r="AW54" s="699"/>
      <c r="AX54" s="1659">
        <v>0</v>
      </c>
    </row>
    <row s="1874" customFormat="1" customHeight="1" ht="15">
      <c r="A55" s="1659"/>
      <c r="B55" s="2421"/>
      <c r="C55" s="2422"/>
      <c r="D55" s="713" t="str">
        <f>B54&amp;".2"</f>
        <v>3.6.2</v>
      </c>
      <c r="E55" s="1691" t="s">
        <v>1040</v>
      </c>
      <c r="F55" s="2287" t="s">
        <v>390</v>
      </c>
      <c r="G55" s="1762" t="s">
        <v>22</v>
      </c>
      <c r="H55" s="842" t="s">
        <v>22</v>
      </c>
      <c r="I55" s="1762">
        <v>46113</v>
      </c>
      <c r="J55" s="842" t="s">
        <v>22</v>
      </c>
      <c r="K55" s="1762" t="s">
        <v>22</v>
      </c>
      <c r="L55" s="842" t="s">
        <v>22</v>
      </c>
      <c r="M55" s="2943" t="s">
        <v>22</v>
      </c>
      <c r="N55" s="2940" t="s">
        <v>22</v>
      </c>
      <c r="O55" s="1762">
        <v>46113</v>
      </c>
      <c r="P55" s="842" t="s">
        <v>22</v>
      </c>
      <c r="Q55" s="1762">
        <v>46113</v>
      </c>
      <c r="R55" s="842" t="s">
        <v>22</v>
      </c>
      <c r="S55" s="1762">
        <v>46113</v>
      </c>
      <c r="T55" s="842" t="s">
        <v>22</v>
      </c>
      <c r="U55" s="1762">
        <v>46113</v>
      </c>
      <c r="V55" s="842" t="s">
        <v>22</v>
      </c>
      <c r="W55" s="1762">
        <v>46142.67717592593</v>
      </c>
      <c r="X55" s="842" t="s">
        <v>22</v>
      </c>
      <c r="Y55" s="1762" t="s">
        <v>22</v>
      </c>
      <c r="Z55" s="842" t="s">
        <v>22</v>
      </c>
      <c r="AA55" s="2943" t="s">
        <v>22</v>
      </c>
      <c r="AB55" s="2940" t="s">
        <v>22</v>
      </c>
      <c r="AC55" s="1762">
        <v>46115</v>
      </c>
      <c r="AD55" s="842" t="s">
        <v>22</v>
      </c>
      <c r="AE55" s="1762">
        <v>46125</v>
      </c>
      <c r="AF55" s="842" t="s">
        <v>22</v>
      </c>
      <c r="AG55" s="2943" t="s">
        <v>22</v>
      </c>
      <c r="AH55" s="2940" t="s">
        <v>22</v>
      </c>
      <c r="AI55" s="1762">
        <v>46118</v>
      </c>
      <c r="AJ55" s="842" t="s">
        <v>22</v>
      </c>
      <c r="AK55" s="1762" t="s">
        <v>22</v>
      </c>
      <c r="AL55" s="842" t="s">
        <v>22</v>
      </c>
      <c r="AM55" s="1549" t="s">
        <v>1041</v>
      </c>
      <c r="AN55" s="1659"/>
      <c r="AO55" s="1659"/>
      <c r="AP55" s="1659"/>
      <c r="AQ55" s="1659"/>
      <c r="AR55" s="1659"/>
      <c r="AS55" s="1659"/>
      <c r="AT55" s="1659"/>
      <c r="AU55" s="1659"/>
      <c r="AV55" s="1659"/>
      <c r="AW55" s="699"/>
      <c r="AX55" s="1659">
        <v>0</v>
      </c>
    </row>
    <row s="1874" customFormat="1" customHeight="1" ht="15">
      <c r="A56" s="1659"/>
      <c r="B56" s="2421"/>
      <c r="C56" s="2422"/>
      <c r="D56" s="713" t="str">
        <f>B54&amp;".3"</f>
        <v>3.6.3</v>
      </c>
      <c r="E56" s="1691" t="s">
        <v>1042</v>
      </c>
      <c r="F56" s="2287" t="s">
        <v>390</v>
      </c>
      <c r="G56" s="1762" t="s">
        <v>22</v>
      </c>
      <c r="H56" s="842" t="s">
        <v>22</v>
      </c>
      <c r="I56" s="1762" t="s">
        <v>22</v>
      </c>
      <c r="J56" s="842" t="s">
        <v>22</v>
      </c>
      <c r="K56" s="1762" t="s">
        <v>22</v>
      </c>
      <c r="L56" s="842" t="s">
        <v>22</v>
      </c>
      <c r="M56" s="2943" t="s">
        <v>22</v>
      </c>
      <c r="N56" s="2940" t="s">
        <v>22</v>
      </c>
      <c r="O56" s="1762" t="s">
        <v>22</v>
      </c>
      <c r="P56" s="842" t="s">
        <v>22</v>
      </c>
      <c r="Q56" s="1762" t="s">
        <v>22</v>
      </c>
      <c r="R56" s="842" t="s">
        <v>22</v>
      </c>
      <c r="S56" s="1762" t="s">
        <v>22</v>
      </c>
      <c r="T56" s="842" t="s">
        <v>22</v>
      </c>
      <c r="U56" s="1762" t="s">
        <v>22</v>
      </c>
      <c r="V56" s="842" t="s">
        <v>22</v>
      </c>
      <c r="W56" s="1762"/>
      <c r="X56" s="842" t="s">
        <v>22</v>
      </c>
      <c r="Y56" s="1762" t="s">
        <v>22</v>
      </c>
      <c r="Z56" s="842" t="s">
        <v>22</v>
      </c>
      <c r="AA56" s="2943" t="s">
        <v>22</v>
      </c>
      <c r="AB56" s="2940" t="s">
        <v>22</v>
      </c>
      <c r="AC56" s="1762" t="s">
        <v>22</v>
      </c>
      <c r="AD56" s="842" t="s">
        <v>22</v>
      </c>
      <c r="AE56" s="1762" t="s">
        <v>22</v>
      </c>
      <c r="AF56" s="842" t="s">
        <v>22</v>
      </c>
      <c r="AG56" s="2943" t="s">
        <v>22</v>
      </c>
      <c r="AH56" s="2940" t="s">
        <v>22</v>
      </c>
      <c r="AI56" s="1762" t="s">
        <v>22</v>
      </c>
      <c r="AJ56" s="842" t="s">
        <v>22</v>
      </c>
      <c r="AK56" s="1762" t="s">
        <v>22</v>
      </c>
      <c r="AL56" s="842" t="s">
        <v>22</v>
      </c>
      <c r="AM56" s="1549" t="s">
        <v>1043</v>
      </c>
      <c r="AN56" s="1659"/>
      <c r="AO56" s="1659"/>
      <c r="AP56" s="1659"/>
      <c r="AQ56" s="1659"/>
      <c r="AR56" s="1659"/>
      <c r="AS56" s="1659"/>
      <c r="AT56" s="1659"/>
      <c r="AU56" s="1659"/>
      <c r="AV56" s="1659"/>
      <c r="AW56" s="699"/>
      <c r="AX56" s="1659">
        <v>0</v>
      </c>
    </row>
    <row s="1874" customFormat="1" customHeight="1" ht="22.5">
      <c r="A57" s="1659"/>
      <c r="B57" s="2421" t="s">
        <v>1019</v>
      </c>
      <c r="C57" s="2422" t="s">
        <v>104</v>
      </c>
      <c r="D57" s="713" t="str">
        <f>B57&amp;".1"</f>
        <v>3.7.1</v>
      </c>
      <c r="E57" s="1691" t="s">
        <v>1039</v>
      </c>
      <c r="F57" s="2287" t="s">
        <v>390</v>
      </c>
      <c r="G57" s="2377" t="s">
        <v>22</v>
      </c>
      <c r="H57" s="842" t="s">
        <v>22</v>
      </c>
      <c r="I57" s="2377" t="s">
        <v>1059</v>
      </c>
      <c r="J57" s="842" t="s">
        <v>22</v>
      </c>
      <c r="K57" s="2377" t="s">
        <v>22</v>
      </c>
      <c r="L57" s="842" t="s">
        <v>22</v>
      </c>
      <c r="M57" s="2942" t="s">
        <v>22</v>
      </c>
      <c r="N57" s="2940" t="s">
        <v>22</v>
      </c>
      <c r="O57" s="2377" t="s">
        <v>1059</v>
      </c>
      <c r="P57" s="842" t="s">
        <v>22</v>
      </c>
      <c r="Q57" s="2377" t="s">
        <v>1059</v>
      </c>
      <c r="R57" s="842" t="s">
        <v>22</v>
      </c>
      <c r="S57" s="2377" t="s">
        <v>1059</v>
      </c>
      <c r="T57" s="842" t="s">
        <v>22</v>
      </c>
      <c r="U57" s="2377" t="s">
        <v>1059</v>
      </c>
      <c r="V57" s="842" t="s">
        <v>22</v>
      </c>
      <c r="W57" s="2377" t="s">
        <v>1062</v>
      </c>
      <c r="X57" s="842" t="s">
        <v>22</v>
      </c>
      <c r="Y57" s="2377" t="s">
        <v>22</v>
      </c>
      <c r="Z57" s="842" t="s">
        <v>22</v>
      </c>
      <c r="AA57" s="2942" t="s">
        <v>22</v>
      </c>
      <c r="AB57" s="2940" t="s">
        <v>22</v>
      </c>
      <c r="AC57" s="2377" t="s">
        <v>1066</v>
      </c>
      <c r="AD57" s="842" t="s">
        <v>22</v>
      </c>
      <c r="AE57" s="2377" t="s">
        <v>1059</v>
      </c>
      <c r="AF57" s="842" t="s">
        <v>22</v>
      </c>
      <c r="AG57" s="2942" t="s">
        <v>22</v>
      </c>
      <c r="AH57" s="2940" t="s">
        <v>22</v>
      </c>
      <c r="AI57" s="2377" t="s">
        <v>1059</v>
      </c>
      <c r="AJ57" s="842" t="s">
        <v>22</v>
      </c>
      <c r="AK57" s="2377" t="s">
        <v>22</v>
      </c>
      <c r="AL57" s="842" t="s">
        <v>22</v>
      </c>
      <c r="AM57" s="1549"/>
      <c r="AN57" s="1659"/>
      <c r="AO57" s="1659"/>
      <c r="AP57" s="1659"/>
      <c r="AQ57" s="1659"/>
      <c r="AR57" s="1659"/>
      <c r="AS57" s="1659"/>
      <c r="AT57" s="1659"/>
      <c r="AU57" s="1659"/>
      <c r="AV57" s="1659"/>
      <c r="AW57" s="699"/>
      <c r="AX57" s="1659">
        <v>0</v>
      </c>
    </row>
    <row s="1874" customFormat="1" customHeight="1" ht="15">
      <c r="A58" s="1659"/>
      <c r="B58" s="2421"/>
      <c r="C58" s="2422"/>
      <c r="D58" s="713" t="str">
        <f>B57&amp;".2"</f>
        <v>3.7.2</v>
      </c>
      <c r="E58" s="1691" t="s">
        <v>1040</v>
      </c>
      <c r="F58" s="2287" t="s">
        <v>390</v>
      </c>
      <c r="G58" s="1762" t="s">
        <v>22</v>
      </c>
      <c r="H58" s="842" t="s">
        <v>22</v>
      </c>
      <c r="I58" s="1762">
        <v>46113</v>
      </c>
      <c r="J58" s="842" t="s">
        <v>22</v>
      </c>
      <c r="K58" s="1762" t="s">
        <v>22</v>
      </c>
      <c r="L58" s="842" t="s">
        <v>22</v>
      </c>
      <c r="M58" s="2943" t="s">
        <v>22</v>
      </c>
      <c r="N58" s="2940" t="s">
        <v>22</v>
      </c>
      <c r="O58" s="1762">
        <v>46113</v>
      </c>
      <c r="P58" s="842" t="s">
        <v>22</v>
      </c>
      <c r="Q58" s="1762">
        <v>46113</v>
      </c>
      <c r="R58" s="842" t="s">
        <v>22</v>
      </c>
      <c r="S58" s="1762">
        <v>46113</v>
      </c>
      <c r="T58" s="842" t="s">
        <v>22</v>
      </c>
      <c r="U58" s="1762">
        <v>46113</v>
      </c>
      <c r="V58" s="842" t="s">
        <v>22</v>
      </c>
      <c r="W58" s="1762">
        <v>46148.67759259259</v>
      </c>
      <c r="X58" s="842" t="s">
        <v>22</v>
      </c>
      <c r="Y58" s="1762" t="s">
        <v>22</v>
      </c>
      <c r="Z58" s="842" t="s">
        <v>22</v>
      </c>
      <c r="AA58" s="2943" t="s">
        <v>22</v>
      </c>
      <c r="AB58" s="2940" t="s">
        <v>22</v>
      </c>
      <c r="AC58" s="1762">
        <v>46118</v>
      </c>
      <c r="AD58" s="842" t="s">
        <v>22</v>
      </c>
      <c r="AE58" s="1762">
        <v>46125</v>
      </c>
      <c r="AF58" s="842" t="s">
        <v>22</v>
      </c>
      <c r="AG58" s="2943" t="s">
        <v>22</v>
      </c>
      <c r="AH58" s="2940" t="s">
        <v>22</v>
      </c>
      <c r="AI58" s="1762">
        <v>46118</v>
      </c>
      <c r="AJ58" s="842" t="s">
        <v>22</v>
      </c>
      <c r="AK58" s="1762" t="s">
        <v>22</v>
      </c>
      <c r="AL58" s="842" t="s">
        <v>22</v>
      </c>
      <c r="AM58" s="1549" t="s">
        <v>1041</v>
      </c>
      <c r="AN58" s="1659"/>
      <c r="AO58" s="1659"/>
      <c r="AP58" s="1659"/>
      <c r="AQ58" s="1659"/>
      <c r="AR58" s="1659"/>
      <c r="AS58" s="1659"/>
      <c r="AT58" s="1659"/>
      <c r="AU58" s="1659"/>
      <c r="AV58" s="1659"/>
      <c r="AW58" s="699"/>
      <c r="AX58" s="1659">
        <v>0</v>
      </c>
    </row>
    <row s="1874" customFormat="1" customHeight="1" ht="15">
      <c r="A59" s="1659"/>
      <c r="B59" s="2421"/>
      <c r="C59" s="2422"/>
      <c r="D59" s="713" t="str">
        <f>B57&amp;".3"</f>
        <v>3.7.3</v>
      </c>
      <c r="E59" s="1691" t="s">
        <v>1042</v>
      </c>
      <c r="F59" s="2287" t="s">
        <v>390</v>
      </c>
      <c r="G59" s="1762" t="s">
        <v>22</v>
      </c>
      <c r="H59" s="842" t="s">
        <v>22</v>
      </c>
      <c r="I59" s="1762" t="s">
        <v>22</v>
      </c>
      <c r="J59" s="842" t="s">
        <v>22</v>
      </c>
      <c r="K59" s="1762" t="s">
        <v>22</v>
      </c>
      <c r="L59" s="842" t="s">
        <v>22</v>
      </c>
      <c r="M59" s="2943" t="s">
        <v>22</v>
      </c>
      <c r="N59" s="2940" t="s">
        <v>22</v>
      </c>
      <c r="O59" s="1762" t="s">
        <v>22</v>
      </c>
      <c r="P59" s="842" t="s">
        <v>22</v>
      </c>
      <c r="Q59" s="1762" t="s">
        <v>22</v>
      </c>
      <c r="R59" s="842" t="s">
        <v>22</v>
      </c>
      <c r="S59" s="1762" t="s">
        <v>22</v>
      </c>
      <c r="T59" s="842" t="s">
        <v>22</v>
      </c>
      <c r="U59" s="1762" t="s">
        <v>22</v>
      </c>
      <c r="V59" s="842" t="s">
        <v>22</v>
      </c>
      <c r="W59" s="1762">
        <v>46148.67767361111</v>
      </c>
      <c r="X59" s="842" t="s">
        <v>22</v>
      </c>
      <c r="Y59" s="1762" t="s">
        <v>22</v>
      </c>
      <c r="Z59" s="842" t="s">
        <v>22</v>
      </c>
      <c r="AA59" s="2943" t="s">
        <v>22</v>
      </c>
      <c r="AB59" s="2940" t="s">
        <v>22</v>
      </c>
      <c r="AC59" s="1762" t="s">
        <v>22</v>
      </c>
      <c r="AD59" s="842" t="s">
        <v>22</v>
      </c>
      <c r="AE59" s="1762" t="s">
        <v>22</v>
      </c>
      <c r="AF59" s="842" t="s">
        <v>22</v>
      </c>
      <c r="AG59" s="2943" t="s">
        <v>22</v>
      </c>
      <c r="AH59" s="2940" t="s">
        <v>22</v>
      </c>
      <c r="AI59" s="1762" t="s">
        <v>22</v>
      </c>
      <c r="AJ59" s="842" t="s">
        <v>22</v>
      </c>
      <c r="AK59" s="1762" t="s">
        <v>22</v>
      </c>
      <c r="AL59" s="842" t="s">
        <v>22</v>
      </c>
      <c r="AM59" s="1549" t="s">
        <v>1043</v>
      </c>
      <c r="AN59" s="1659"/>
      <c r="AO59" s="1659"/>
      <c r="AP59" s="1659"/>
      <c r="AQ59" s="1659"/>
      <c r="AR59" s="1659"/>
      <c r="AS59" s="1659"/>
      <c r="AT59" s="1659"/>
      <c r="AU59" s="1659"/>
      <c r="AV59" s="1659"/>
      <c r="AW59" s="699"/>
      <c r="AX59" s="1659">
        <v>0</v>
      </c>
    </row>
    <row s="1874" customFormat="1" customHeight="1" ht="22.5">
      <c r="A60" s="1659"/>
      <c r="B60" s="2421" t="s">
        <v>1067</v>
      </c>
      <c r="C60" s="2422" t="s">
        <v>104</v>
      </c>
      <c r="D60" s="713" t="str">
        <f>B60&amp;".1"</f>
        <v>3.8.1</v>
      </c>
      <c r="E60" s="1691" t="s">
        <v>1039</v>
      </c>
      <c r="F60" s="2287" t="s">
        <v>390</v>
      </c>
      <c r="G60" s="2377" t="s">
        <v>22</v>
      </c>
      <c r="H60" s="842" t="s">
        <v>22</v>
      </c>
      <c r="I60" s="2377" t="s">
        <v>1059</v>
      </c>
      <c r="J60" s="842" t="s">
        <v>22</v>
      </c>
      <c r="K60" s="2377" t="s">
        <v>22</v>
      </c>
      <c r="L60" s="842" t="s">
        <v>22</v>
      </c>
      <c r="M60" s="2942" t="s">
        <v>22</v>
      </c>
      <c r="N60" s="2940" t="s">
        <v>22</v>
      </c>
      <c r="O60" s="2377" t="s">
        <v>1059</v>
      </c>
      <c r="P60" s="842" t="s">
        <v>22</v>
      </c>
      <c r="Q60" s="2377" t="s">
        <v>1059</v>
      </c>
      <c r="R60" s="842" t="s">
        <v>22</v>
      </c>
      <c r="S60" s="2377" t="s">
        <v>1059</v>
      </c>
      <c r="T60" s="842" t="s">
        <v>22</v>
      </c>
      <c r="U60" s="2377" t="s">
        <v>1059</v>
      </c>
      <c r="V60" s="842" t="s">
        <v>22</v>
      </c>
      <c r="W60" s="2377" t="s">
        <v>1068</v>
      </c>
      <c r="X60" s="842" t="s">
        <v>22</v>
      </c>
      <c r="Y60" s="2377" t="s">
        <v>22</v>
      </c>
      <c r="Z60" s="842" t="s">
        <v>22</v>
      </c>
      <c r="AA60" s="2942" t="s">
        <v>22</v>
      </c>
      <c r="AB60" s="2940" t="s">
        <v>22</v>
      </c>
      <c r="AC60" s="2377" t="s">
        <v>1059</v>
      </c>
      <c r="AD60" s="842" t="s">
        <v>22</v>
      </c>
      <c r="AE60" s="2377" t="s">
        <v>1059</v>
      </c>
      <c r="AF60" s="842" t="s">
        <v>22</v>
      </c>
      <c r="AG60" s="2942" t="s">
        <v>22</v>
      </c>
      <c r="AH60" s="2940" t="s">
        <v>22</v>
      </c>
      <c r="AI60" s="2377" t="s">
        <v>1059</v>
      </c>
      <c r="AJ60" s="842" t="s">
        <v>22</v>
      </c>
      <c r="AK60" s="2377" t="s">
        <v>22</v>
      </c>
      <c r="AL60" s="842" t="s">
        <v>22</v>
      </c>
      <c r="AM60" s="1549"/>
      <c r="AN60" s="1659"/>
      <c r="AO60" s="1659"/>
      <c r="AP60" s="1659"/>
      <c r="AQ60" s="1659"/>
      <c r="AR60" s="1659"/>
      <c r="AS60" s="1659"/>
      <c r="AT60" s="1659"/>
      <c r="AU60" s="1659"/>
      <c r="AV60" s="1659"/>
      <c r="AW60" s="699"/>
      <c r="AX60" s="1659">
        <v>0</v>
      </c>
    </row>
    <row s="1874" customFormat="1" customHeight="1" ht="15">
      <c r="A61" s="1659"/>
      <c r="B61" s="2421"/>
      <c r="C61" s="2422"/>
      <c r="D61" s="713" t="str">
        <f>B60&amp;".2"</f>
        <v>3.8.2</v>
      </c>
      <c r="E61" s="1691" t="s">
        <v>1040</v>
      </c>
      <c r="F61" s="2287" t="s">
        <v>390</v>
      </c>
      <c r="G61" s="1762" t="s">
        <v>22</v>
      </c>
      <c r="H61" s="842" t="s">
        <v>22</v>
      </c>
      <c r="I61" s="1762">
        <v>46113</v>
      </c>
      <c r="J61" s="842" t="s">
        <v>22</v>
      </c>
      <c r="K61" s="1762" t="s">
        <v>22</v>
      </c>
      <c r="L61" s="842" t="s">
        <v>22</v>
      </c>
      <c r="M61" s="2943" t="s">
        <v>22</v>
      </c>
      <c r="N61" s="2940" t="s">
        <v>22</v>
      </c>
      <c r="O61" s="1762">
        <v>46113</v>
      </c>
      <c r="P61" s="842" t="s">
        <v>22</v>
      </c>
      <c r="Q61" s="1762">
        <v>46113</v>
      </c>
      <c r="R61" s="842" t="s">
        <v>22</v>
      </c>
      <c r="S61" s="1762">
        <v>46113</v>
      </c>
      <c r="T61" s="842" t="s">
        <v>22</v>
      </c>
      <c r="U61" s="1762">
        <v>46113</v>
      </c>
      <c r="V61" s="842" t="s">
        <v>22</v>
      </c>
      <c r="W61" s="1762">
        <v>46156.678090277775</v>
      </c>
      <c r="X61" s="842" t="s">
        <v>22</v>
      </c>
      <c r="Y61" s="1762" t="s">
        <v>22</v>
      </c>
      <c r="Z61" s="842" t="s">
        <v>22</v>
      </c>
      <c r="AA61" s="2943" t="s">
        <v>22</v>
      </c>
      <c r="AB61" s="2940" t="s">
        <v>22</v>
      </c>
      <c r="AC61" s="1762">
        <v>46119</v>
      </c>
      <c r="AD61" s="842" t="s">
        <v>22</v>
      </c>
      <c r="AE61" s="1762">
        <v>46125</v>
      </c>
      <c r="AF61" s="842" t="s">
        <v>22</v>
      </c>
      <c r="AG61" s="2943" t="s">
        <v>22</v>
      </c>
      <c r="AH61" s="2940" t="s">
        <v>22</v>
      </c>
      <c r="AI61" s="1762">
        <v>46118</v>
      </c>
      <c r="AJ61" s="842" t="s">
        <v>22</v>
      </c>
      <c r="AK61" s="1762" t="s">
        <v>22</v>
      </c>
      <c r="AL61" s="842" t="s">
        <v>22</v>
      </c>
      <c r="AM61" s="1549" t="s">
        <v>1041</v>
      </c>
      <c r="AN61" s="1659"/>
      <c r="AO61" s="1659"/>
      <c r="AP61" s="1659"/>
      <c r="AQ61" s="1659"/>
      <c r="AR61" s="1659"/>
      <c r="AS61" s="1659"/>
      <c r="AT61" s="1659"/>
      <c r="AU61" s="1659"/>
      <c r="AV61" s="1659"/>
      <c r="AW61" s="699"/>
      <c r="AX61" s="1659">
        <v>0</v>
      </c>
    </row>
    <row s="1874" customFormat="1" customHeight="1" ht="15">
      <c r="A62" s="1659"/>
      <c r="B62" s="2421"/>
      <c r="C62" s="2422"/>
      <c r="D62" s="713" t="str">
        <f>B60&amp;".3"</f>
        <v>3.8.3</v>
      </c>
      <c r="E62" s="1691" t="s">
        <v>1042</v>
      </c>
      <c r="F62" s="2287" t="s">
        <v>390</v>
      </c>
      <c r="G62" s="1762" t="s">
        <v>22</v>
      </c>
      <c r="H62" s="842" t="s">
        <v>22</v>
      </c>
      <c r="I62" s="1762" t="s">
        <v>22</v>
      </c>
      <c r="J62" s="842" t="s">
        <v>22</v>
      </c>
      <c r="K62" s="1762" t="s">
        <v>22</v>
      </c>
      <c r="L62" s="842" t="s">
        <v>22</v>
      </c>
      <c r="M62" s="2943" t="s">
        <v>22</v>
      </c>
      <c r="N62" s="2940" t="s">
        <v>22</v>
      </c>
      <c r="O62" s="1762" t="s">
        <v>22</v>
      </c>
      <c r="P62" s="842" t="s">
        <v>22</v>
      </c>
      <c r="Q62" s="1762" t="s">
        <v>22</v>
      </c>
      <c r="R62" s="842" t="s">
        <v>22</v>
      </c>
      <c r="S62" s="1762" t="s">
        <v>22</v>
      </c>
      <c r="T62" s="842" t="s">
        <v>22</v>
      </c>
      <c r="U62" s="1762" t="s">
        <v>22</v>
      </c>
      <c r="V62" s="842" t="s">
        <v>22</v>
      </c>
      <c r="W62" s="1762"/>
      <c r="X62" s="842" t="s">
        <v>22</v>
      </c>
      <c r="Y62" s="1762" t="s">
        <v>22</v>
      </c>
      <c r="Z62" s="842" t="s">
        <v>22</v>
      </c>
      <c r="AA62" s="2943" t="s">
        <v>22</v>
      </c>
      <c r="AB62" s="2940" t="s">
        <v>22</v>
      </c>
      <c r="AC62" s="1762" t="s">
        <v>22</v>
      </c>
      <c r="AD62" s="842" t="s">
        <v>22</v>
      </c>
      <c r="AE62" s="1762" t="s">
        <v>22</v>
      </c>
      <c r="AF62" s="842" t="s">
        <v>22</v>
      </c>
      <c r="AG62" s="2943" t="s">
        <v>22</v>
      </c>
      <c r="AH62" s="2940" t="s">
        <v>22</v>
      </c>
      <c r="AI62" s="1762" t="s">
        <v>22</v>
      </c>
      <c r="AJ62" s="842" t="s">
        <v>22</v>
      </c>
      <c r="AK62" s="1762" t="s">
        <v>22</v>
      </c>
      <c r="AL62" s="842" t="s">
        <v>22</v>
      </c>
      <c r="AM62" s="1549" t="s">
        <v>1043</v>
      </c>
      <c r="AN62" s="1659"/>
      <c r="AO62" s="1659"/>
      <c r="AP62" s="1659"/>
      <c r="AQ62" s="1659"/>
      <c r="AR62" s="1659"/>
      <c r="AS62" s="1659"/>
      <c r="AT62" s="1659"/>
      <c r="AU62" s="1659"/>
      <c r="AV62" s="1659"/>
      <c r="AW62" s="699"/>
      <c r="AX62" s="1659">
        <v>0</v>
      </c>
    </row>
    <row s="1874" customFormat="1" customHeight="1" ht="22.5">
      <c r="A63" s="1659"/>
      <c r="B63" s="2421" t="s">
        <v>1069</v>
      </c>
      <c r="C63" s="2422" t="s">
        <v>104</v>
      </c>
      <c r="D63" s="713" t="str">
        <f>B63&amp;".1"</f>
        <v>3.9.1</v>
      </c>
      <c r="E63" s="1691" t="s">
        <v>1039</v>
      </c>
      <c r="F63" s="2287" t="s">
        <v>390</v>
      </c>
      <c r="G63" s="2377" t="s">
        <v>22</v>
      </c>
      <c r="H63" s="842" t="s">
        <v>22</v>
      </c>
      <c r="I63" s="2377" t="s">
        <v>1059</v>
      </c>
      <c r="J63" s="842" t="s">
        <v>22</v>
      </c>
      <c r="K63" s="2377" t="s">
        <v>22</v>
      </c>
      <c r="L63" s="842" t="s">
        <v>22</v>
      </c>
      <c r="M63" s="2942" t="s">
        <v>22</v>
      </c>
      <c r="N63" s="2940" t="s">
        <v>22</v>
      </c>
      <c r="O63" s="2377" t="s">
        <v>1059</v>
      </c>
      <c r="P63" s="842" t="s">
        <v>22</v>
      </c>
      <c r="Q63" s="2377" t="s">
        <v>1059</v>
      </c>
      <c r="R63" s="842" t="s">
        <v>22</v>
      </c>
      <c r="S63" s="2377" t="s">
        <v>1059</v>
      </c>
      <c r="T63" s="842" t="s">
        <v>22</v>
      </c>
      <c r="U63" s="2377" t="s">
        <v>1059</v>
      </c>
      <c r="V63" s="842" t="s">
        <v>22</v>
      </c>
      <c r="W63" s="2377" t="s">
        <v>1068</v>
      </c>
      <c r="X63" s="842" t="s">
        <v>22</v>
      </c>
      <c r="Y63" s="2377" t="s">
        <v>22</v>
      </c>
      <c r="Z63" s="842" t="s">
        <v>22</v>
      </c>
      <c r="AA63" s="2942" t="s">
        <v>22</v>
      </c>
      <c r="AB63" s="2940" t="s">
        <v>22</v>
      </c>
      <c r="AC63" s="2377" t="s">
        <v>1059</v>
      </c>
      <c r="AD63" s="842" t="s">
        <v>22</v>
      </c>
      <c r="AE63" s="2377" t="s">
        <v>1059</v>
      </c>
      <c r="AF63" s="842" t="s">
        <v>22</v>
      </c>
      <c r="AG63" s="2942" t="s">
        <v>22</v>
      </c>
      <c r="AH63" s="2940" t="s">
        <v>22</v>
      </c>
      <c r="AI63" s="2377" t="s">
        <v>1059</v>
      </c>
      <c r="AJ63" s="842" t="s">
        <v>22</v>
      </c>
      <c r="AK63" s="2377" t="s">
        <v>22</v>
      </c>
      <c r="AL63" s="842" t="s">
        <v>22</v>
      </c>
      <c r="AM63" s="1549"/>
      <c r="AN63" s="1659"/>
      <c r="AO63" s="1659"/>
      <c r="AP63" s="1659"/>
      <c r="AQ63" s="1659"/>
      <c r="AR63" s="1659"/>
      <c r="AS63" s="1659"/>
      <c r="AT63" s="1659"/>
      <c r="AU63" s="1659"/>
      <c r="AV63" s="1659"/>
      <c r="AW63" s="699"/>
      <c r="AX63" s="1659">
        <v>0</v>
      </c>
    </row>
    <row s="1874" customFormat="1" customHeight="1" ht="15">
      <c r="A64" s="1659"/>
      <c r="B64" s="2421"/>
      <c r="C64" s="2422"/>
      <c r="D64" s="713" t="str">
        <f>B63&amp;".2"</f>
        <v>3.9.2</v>
      </c>
      <c r="E64" s="1691" t="s">
        <v>1040</v>
      </c>
      <c r="F64" s="2287" t="s">
        <v>390</v>
      </c>
      <c r="G64" s="1762" t="s">
        <v>22</v>
      </c>
      <c r="H64" s="842" t="s">
        <v>22</v>
      </c>
      <c r="I64" s="1762">
        <v>46113</v>
      </c>
      <c r="J64" s="842" t="s">
        <v>22</v>
      </c>
      <c r="K64" s="1762" t="s">
        <v>22</v>
      </c>
      <c r="L64" s="842" t="s">
        <v>22</v>
      </c>
      <c r="M64" s="2943" t="s">
        <v>22</v>
      </c>
      <c r="N64" s="2940" t="s">
        <v>22</v>
      </c>
      <c r="O64" s="1762">
        <v>46113</v>
      </c>
      <c r="P64" s="842" t="s">
        <v>22</v>
      </c>
      <c r="Q64" s="1762">
        <v>46113</v>
      </c>
      <c r="R64" s="842" t="s">
        <v>22</v>
      </c>
      <c r="S64" s="1762">
        <v>46113</v>
      </c>
      <c r="T64" s="842" t="s">
        <v>22</v>
      </c>
      <c r="U64" s="1762">
        <v>46113</v>
      </c>
      <c r="V64" s="842" t="s">
        <v>22</v>
      </c>
      <c r="W64" s="1762">
        <v>46169.67899305555</v>
      </c>
      <c r="X64" s="842" t="s">
        <v>22</v>
      </c>
      <c r="Y64" s="1762" t="s">
        <v>22</v>
      </c>
      <c r="Z64" s="842" t="s">
        <v>22</v>
      </c>
      <c r="AA64" s="2943" t="s">
        <v>22</v>
      </c>
      <c r="AB64" s="2940" t="s">
        <v>22</v>
      </c>
      <c r="AC64" s="1762">
        <v>46119</v>
      </c>
      <c r="AD64" s="842" t="s">
        <v>22</v>
      </c>
      <c r="AE64" s="1762">
        <v>46125</v>
      </c>
      <c r="AF64" s="842" t="s">
        <v>22</v>
      </c>
      <c r="AG64" s="2943" t="s">
        <v>22</v>
      </c>
      <c r="AH64" s="2940" t="s">
        <v>22</v>
      </c>
      <c r="AI64" s="1762">
        <v>46120</v>
      </c>
      <c r="AJ64" s="842" t="s">
        <v>22</v>
      </c>
      <c r="AK64" s="1762" t="s">
        <v>22</v>
      </c>
      <c r="AL64" s="842" t="s">
        <v>22</v>
      </c>
      <c r="AM64" s="1549" t="s">
        <v>1041</v>
      </c>
      <c r="AN64" s="1659"/>
      <c r="AO64" s="1659"/>
      <c r="AP64" s="1659"/>
      <c r="AQ64" s="1659"/>
      <c r="AR64" s="1659"/>
      <c r="AS64" s="1659"/>
      <c r="AT64" s="1659"/>
      <c r="AU64" s="1659"/>
      <c r="AV64" s="1659"/>
      <c r="AW64" s="699"/>
      <c r="AX64" s="1659">
        <v>0</v>
      </c>
    </row>
    <row s="1874" customFormat="1" customHeight="1" ht="15">
      <c r="A65" s="1659"/>
      <c r="B65" s="2421"/>
      <c r="C65" s="2422"/>
      <c r="D65" s="713" t="str">
        <f>B63&amp;".3"</f>
        <v>3.9.3</v>
      </c>
      <c r="E65" s="1691" t="s">
        <v>1042</v>
      </c>
      <c r="F65" s="2287" t="s">
        <v>390</v>
      </c>
      <c r="G65" s="1762" t="s">
        <v>22</v>
      </c>
      <c r="H65" s="842" t="s">
        <v>22</v>
      </c>
      <c r="I65" s="1762" t="s">
        <v>22</v>
      </c>
      <c r="J65" s="842" t="s">
        <v>22</v>
      </c>
      <c r="K65" s="1762" t="s">
        <v>22</v>
      </c>
      <c r="L65" s="842" t="s">
        <v>22</v>
      </c>
      <c r="M65" s="2943" t="s">
        <v>22</v>
      </c>
      <c r="N65" s="2940" t="s">
        <v>22</v>
      </c>
      <c r="O65" s="1762" t="s">
        <v>22</v>
      </c>
      <c r="P65" s="842" t="s">
        <v>22</v>
      </c>
      <c r="Q65" s="1762" t="s">
        <v>22</v>
      </c>
      <c r="R65" s="842" t="s">
        <v>22</v>
      </c>
      <c r="S65" s="1762" t="s">
        <v>22</v>
      </c>
      <c r="T65" s="842" t="s">
        <v>22</v>
      </c>
      <c r="U65" s="1762" t="s">
        <v>22</v>
      </c>
      <c r="V65" s="842" t="s">
        <v>22</v>
      </c>
      <c r="W65" s="1762"/>
      <c r="X65" s="842" t="s">
        <v>22</v>
      </c>
      <c r="Y65" s="1762" t="s">
        <v>22</v>
      </c>
      <c r="Z65" s="842" t="s">
        <v>22</v>
      </c>
      <c r="AA65" s="2943" t="s">
        <v>22</v>
      </c>
      <c r="AB65" s="2940" t="s">
        <v>22</v>
      </c>
      <c r="AC65" s="1762"/>
      <c r="AD65" s="842" t="s">
        <v>22</v>
      </c>
      <c r="AE65" s="1762" t="s">
        <v>22</v>
      </c>
      <c r="AF65" s="842" t="s">
        <v>22</v>
      </c>
      <c r="AG65" s="2943" t="s">
        <v>22</v>
      </c>
      <c r="AH65" s="2940" t="s">
        <v>22</v>
      </c>
      <c r="AI65" s="1762" t="s">
        <v>22</v>
      </c>
      <c r="AJ65" s="842" t="s">
        <v>22</v>
      </c>
      <c r="AK65" s="1762" t="s">
        <v>22</v>
      </c>
      <c r="AL65" s="842" t="s">
        <v>22</v>
      </c>
      <c r="AM65" s="1549" t="s">
        <v>1043</v>
      </c>
      <c r="AN65" s="1659"/>
      <c r="AO65" s="1659"/>
      <c r="AP65" s="1659"/>
      <c r="AQ65" s="1659"/>
      <c r="AR65" s="1659"/>
      <c r="AS65" s="1659"/>
      <c r="AT65" s="1659"/>
      <c r="AU65" s="1659"/>
      <c r="AV65" s="1659"/>
      <c r="AW65" s="699"/>
      <c r="AX65" s="1659">
        <v>0</v>
      </c>
    </row>
    <row s="1874" customFormat="1" customHeight="1" ht="22.5">
      <c r="A66" s="1659"/>
      <c r="B66" s="2421" t="s">
        <v>1070</v>
      </c>
      <c r="C66" s="2422" t="s">
        <v>104</v>
      </c>
      <c r="D66" s="713" t="str">
        <f>B66&amp;".1"</f>
        <v>3.10.1</v>
      </c>
      <c r="E66" s="1691" t="s">
        <v>1039</v>
      </c>
      <c r="F66" s="2287" t="s">
        <v>390</v>
      </c>
      <c r="G66" s="2377" t="s">
        <v>22</v>
      </c>
      <c r="H66" s="842" t="s">
        <v>22</v>
      </c>
      <c r="I66" s="2377" t="s">
        <v>1059</v>
      </c>
      <c r="J66" s="842" t="s">
        <v>22</v>
      </c>
      <c r="K66" s="2377" t="s">
        <v>22</v>
      </c>
      <c r="L66" s="842" t="s">
        <v>22</v>
      </c>
      <c r="M66" s="2942" t="s">
        <v>22</v>
      </c>
      <c r="N66" s="2940" t="s">
        <v>22</v>
      </c>
      <c r="O66" s="2377" t="s">
        <v>1059</v>
      </c>
      <c r="P66" s="842" t="s">
        <v>22</v>
      </c>
      <c r="Q66" s="2377" t="s">
        <v>1059</v>
      </c>
      <c r="R66" s="842" t="s">
        <v>22</v>
      </c>
      <c r="S66" s="2377" t="s">
        <v>1059</v>
      </c>
      <c r="T66" s="842" t="s">
        <v>22</v>
      </c>
      <c r="U66" s="2377" t="s">
        <v>1059</v>
      </c>
      <c r="V66" s="842" t="s">
        <v>22</v>
      </c>
      <c r="W66" s="2377" t="s">
        <v>1068</v>
      </c>
      <c r="X66" s="842" t="s">
        <v>22</v>
      </c>
      <c r="Y66" s="2377" t="s">
        <v>22</v>
      </c>
      <c r="Z66" s="842" t="s">
        <v>22</v>
      </c>
      <c r="AA66" s="2942" t="s">
        <v>22</v>
      </c>
      <c r="AB66" s="2940" t="s">
        <v>22</v>
      </c>
      <c r="AC66" s="2377" t="s">
        <v>1059</v>
      </c>
      <c r="AD66" s="842" t="s">
        <v>22</v>
      </c>
      <c r="AE66" s="2377" t="s">
        <v>1064</v>
      </c>
      <c r="AF66" s="842" t="s">
        <v>22</v>
      </c>
      <c r="AG66" s="2942" t="s">
        <v>22</v>
      </c>
      <c r="AH66" s="2940" t="s">
        <v>22</v>
      </c>
      <c r="AI66" s="2377" t="s">
        <v>1059</v>
      </c>
      <c r="AJ66" s="842" t="s">
        <v>22</v>
      </c>
      <c r="AK66" s="2377" t="s">
        <v>22</v>
      </c>
      <c r="AL66" s="842" t="s">
        <v>22</v>
      </c>
      <c r="AM66" s="1549"/>
      <c r="AN66" s="1659"/>
      <c r="AO66" s="1659"/>
      <c r="AP66" s="1659"/>
      <c r="AQ66" s="1659"/>
      <c r="AR66" s="1659"/>
      <c r="AS66" s="1659"/>
      <c r="AT66" s="1659"/>
      <c r="AU66" s="1659"/>
      <c r="AV66" s="1659"/>
      <c r="AW66" s="699"/>
      <c r="AX66" s="1659">
        <v>0</v>
      </c>
    </row>
    <row s="1874" customFormat="1" customHeight="1" ht="15">
      <c r="A67" s="1659"/>
      <c r="B67" s="2421"/>
      <c r="C67" s="2422"/>
      <c r="D67" s="713" t="str">
        <f>B66&amp;".2"</f>
        <v>3.10.2</v>
      </c>
      <c r="E67" s="1691" t="s">
        <v>1040</v>
      </c>
      <c r="F67" s="2287" t="s">
        <v>390</v>
      </c>
      <c r="G67" s="1762" t="s">
        <v>22</v>
      </c>
      <c r="H67" s="842" t="s">
        <v>22</v>
      </c>
      <c r="I67" s="1762">
        <v>46113</v>
      </c>
      <c r="J67" s="842" t="s">
        <v>22</v>
      </c>
      <c r="K67" s="1762" t="s">
        <v>22</v>
      </c>
      <c r="L67" s="842" t="s">
        <v>22</v>
      </c>
      <c r="M67" s="2943" t="s">
        <v>22</v>
      </c>
      <c r="N67" s="2940" t="s">
        <v>22</v>
      </c>
      <c r="O67" s="1762">
        <v>46113</v>
      </c>
      <c r="P67" s="842" t="s">
        <v>22</v>
      </c>
      <c r="Q67" s="1762">
        <v>46113</v>
      </c>
      <c r="R67" s="842" t="s">
        <v>22</v>
      </c>
      <c r="S67" s="1762">
        <v>46113</v>
      </c>
      <c r="T67" s="842" t="s">
        <v>22</v>
      </c>
      <c r="U67" s="1762">
        <v>46113</v>
      </c>
      <c r="V67" s="842" t="s">
        <v>22</v>
      </c>
      <c r="W67" s="1762">
        <v>46169.67953703704</v>
      </c>
      <c r="X67" s="842" t="s">
        <v>22</v>
      </c>
      <c r="Y67" s="1762" t="s">
        <v>22</v>
      </c>
      <c r="Z67" s="842" t="s">
        <v>22</v>
      </c>
      <c r="AA67" s="2943" t="s">
        <v>22</v>
      </c>
      <c r="AB67" s="2940" t="s">
        <v>22</v>
      </c>
      <c r="AC67" s="1762">
        <v>46121</v>
      </c>
      <c r="AD67" s="842" t="s">
        <v>22</v>
      </c>
      <c r="AE67" s="1762">
        <v>46126</v>
      </c>
      <c r="AF67" s="842" t="s">
        <v>22</v>
      </c>
      <c r="AG67" s="2943" t="s">
        <v>22</v>
      </c>
      <c r="AH67" s="2940" t="s">
        <v>22</v>
      </c>
      <c r="AI67" s="1762">
        <v>46120</v>
      </c>
      <c r="AJ67" s="842" t="s">
        <v>22</v>
      </c>
      <c r="AK67" s="1762" t="s">
        <v>22</v>
      </c>
      <c r="AL67" s="842" t="s">
        <v>22</v>
      </c>
      <c r="AM67" s="1549" t="s">
        <v>1041</v>
      </c>
      <c r="AN67" s="1659"/>
      <c r="AO67" s="1659"/>
      <c r="AP67" s="1659"/>
      <c r="AQ67" s="1659"/>
      <c r="AR67" s="1659"/>
      <c r="AS67" s="1659"/>
      <c r="AT67" s="1659"/>
      <c r="AU67" s="1659"/>
      <c r="AV67" s="1659"/>
      <c r="AW67" s="699"/>
      <c r="AX67" s="1659">
        <v>0</v>
      </c>
    </row>
    <row s="1874" customFormat="1" customHeight="1" ht="15">
      <c r="A68" s="1659"/>
      <c r="B68" s="2421"/>
      <c r="C68" s="2422"/>
      <c r="D68" s="713" t="str">
        <f>B66&amp;".3"</f>
        <v>3.10.3</v>
      </c>
      <c r="E68" s="1691" t="s">
        <v>1042</v>
      </c>
      <c r="F68" s="2287" t="s">
        <v>390</v>
      </c>
      <c r="G68" s="1762" t="s">
        <v>22</v>
      </c>
      <c r="H68" s="842" t="s">
        <v>22</v>
      </c>
      <c r="I68" s="1762" t="s">
        <v>22</v>
      </c>
      <c r="J68" s="842" t="s">
        <v>22</v>
      </c>
      <c r="K68" s="1762" t="s">
        <v>22</v>
      </c>
      <c r="L68" s="842" t="s">
        <v>22</v>
      </c>
      <c r="M68" s="2943" t="s">
        <v>22</v>
      </c>
      <c r="N68" s="2940" t="s">
        <v>22</v>
      </c>
      <c r="O68" s="1762" t="s">
        <v>22</v>
      </c>
      <c r="P68" s="842" t="s">
        <v>22</v>
      </c>
      <c r="Q68" s="1762" t="s">
        <v>22</v>
      </c>
      <c r="R68" s="842" t="s">
        <v>22</v>
      </c>
      <c r="S68" s="1762" t="s">
        <v>22</v>
      </c>
      <c r="T68" s="842" t="s">
        <v>22</v>
      </c>
      <c r="U68" s="1762" t="s">
        <v>22</v>
      </c>
      <c r="V68" s="842" t="s">
        <v>22</v>
      </c>
      <c r="W68" s="1762"/>
      <c r="X68" s="842" t="s">
        <v>22</v>
      </c>
      <c r="Y68" s="1762" t="s">
        <v>22</v>
      </c>
      <c r="Z68" s="842" t="s">
        <v>22</v>
      </c>
      <c r="AA68" s="2943" t="s">
        <v>22</v>
      </c>
      <c r="AB68" s="2940" t="s">
        <v>22</v>
      </c>
      <c r="AC68" s="1762" t="s">
        <v>22</v>
      </c>
      <c r="AD68" s="842" t="s">
        <v>22</v>
      </c>
      <c r="AE68" s="1762" t="s">
        <v>22</v>
      </c>
      <c r="AF68" s="842" t="s">
        <v>22</v>
      </c>
      <c r="AG68" s="2943" t="s">
        <v>22</v>
      </c>
      <c r="AH68" s="2940" t="s">
        <v>22</v>
      </c>
      <c r="AI68" s="1762" t="s">
        <v>22</v>
      </c>
      <c r="AJ68" s="842" t="s">
        <v>22</v>
      </c>
      <c r="AK68" s="1762" t="s">
        <v>22</v>
      </c>
      <c r="AL68" s="842" t="s">
        <v>22</v>
      </c>
      <c r="AM68" s="1549" t="s">
        <v>1043</v>
      </c>
      <c r="AN68" s="1659"/>
      <c r="AO68" s="1659"/>
      <c r="AP68" s="1659"/>
      <c r="AQ68" s="1659"/>
      <c r="AR68" s="1659"/>
      <c r="AS68" s="1659"/>
      <c r="AT68" s="1659"/>
      <c r="AU68" s="1659"/>
      <c r="AV68" s="1659"/>
      <c r="AW68" s="699"/>
      <c r="AX68" s="1659">
        <v>0</v>
      </c>
    </row>
    <row s="1874" customFormat="1" customHeight="1" ht="22.5">
      <c r="A69" s="1659"/>
      <c r="B69" s="2421" t="s">
        <v>1071</v>
      </c>
      <c r="C69" s="2422" t="s">
        <v>104</v>
      </c>
      <c r="D69" s="713" t="str">
        <f>B69&amp;".1"</f>
        <v>3.11.1</v>
      </c>
      <c r="E69" s="1691" t="s">
        <v>1039</v>
      </c>
      <c r="F69" s="2287" t="s">
        <v>390</v>
      </c>
      <c r="G69" s="2377" t="s">
        <v>22</v>
      </c>
      <c r="H69" s="842" t="s">
        <v>22</v>
      </c>
      <c r="I69" s="2377" t="s">
        <v>1059</v>
      </c>
      <c r="J69" s="842" t="s">
        <v>22</v>
      </c>
      <c r="K69" s="2377" t="s">
        <v>22</v>
      </c>
      <c r="L69" s="842" t="s">
        <v>22</v>
      </c>
      <c r="M69" s="2942" t="s">
        <v>22</v>
      </c>
      <c r="N69" s="2940" t="s">
        <v>22</v>
      </c>
      <c r="O69" s="2377" t="s">
        <v>1059</v>
      </c>
      <c r="P69" s="842" t="s">
        <v>22</v>
      </c>
      <c r="Q69" s="2377" t="s">
        <v>1059</v>
      </c>
      <c r="R69" s="842" t="s">
        <v>22</v>
      </c>
      <c r="S69" s="2377" t="s">
        <v>1059</v>
      </c>
      <c r="T69" s="842" t="s">
        <v>22</v>
      </c>
      <c r="U69" s="2377" t="s">
        <v>1059</v>
      </c>
      <c r="V69" s="842" t="s">
        <v>22</v>
      </c>
      <c r="W69" s="2377" t="s">
        <v>1068</v>
      </c>
      <c r="X69" s="842" t="s">
        <v>22</v>
      </c>
      <c r="Y69" s="2377" t="s">
        <v>22</v>
      </c>
      <c r="Z69" s="842" t="s">
        <v>22</v>
      </c>
      <c r="AA69" s="2942" t="s">
        <v>22</v>
      </c>
      <c r="AB69" s="2940" t="s">
        <v>22</v>
      </c>
      <c r="AC69" s="2377" t="s">
        <v>1059</v>
      </c>
      <c r="AD69" s="842" t="s">
        <v>22</v>
      </c>
      <c r="AE69" s="2377" t="s">
        <v>1059</v>
      </c>
      <c r="AF69" s="842" t="s">
        <v>22</v>
      </c>
      <c r="AG69" s="2942" t="s">
        <v>22</v>
      </c>
      <c r="AH69" s="2940" t="s">
        <v>22</v>
      </c>
      <c r="AI69" s="2377" t="s">
        <v>1059</v>
      </c>
      <c r="AJ69" s="842" t="s">
        <v>22</v>
      </c>
      <c r="AK69" s="2377" t="s">
        <v>22</v>
      </c>
      <c r="AL69" s="842" t="s">
        <v>22</v>
      </c>
      <c r="AM69" s="1549"/>
      <c r="AN69" s="1659"/>
      <c r="AO69" s="1659"/>
      <c r="AP69" s="1659"/>
      <c r="AQ69" s="1659"/>
      <c r="AR69" s="1659"/>
      <c r="AS69" s="1659"/>
      <c r="AT69" s="1659"/>
      <c r="AU69" s="1659"/>
      <c r="AV69" s="1659"/>
      <c r="AW69" s="699"/>
      <c r="AX69" s="1659">
        <v>0</v>
      </c>
    </row>
    <row s="1874" customFormat="1" customHeight="1" ht="15">
      <c r="A70" s="1659"/>
      <c r="B70" s="2421"/>
      <c r="C70" s="2422"/>
      <c r="D70" s="713" t="str">
        <f>B69&amp;".2"</f>
        <v>3.11.2</v>
      </c>
      <c r="E70" s="1691" t="s">
        <v>1040</v>
      </c>
      <c r="F70" s="2287" t="s">
        <v>390</v>
      </c>
      <c r="G70" s="1762" t="s">
        <v>22</v>
      </c>
      <c r="H70" s="842" t="s">
        <v>22</v>
      </c>
      <c r="I70" s="1762">
        <v>46113</v>
      </c>
      <c r="J70" s="842" t="s">
        <v>22</v>
      </c>
      <c r="K70" s="1762" t="s">
        <v>22</v>
      </c>
      <c r="L70" s="842" t="s">
        <v>22</v>
      </c>
      <c r="M70" s="2943" t="s">
        <v>22</v>
      </c>
      <c r="N70" s="2940" t="s">
        <v>22</v>
      </c>
      <c r="O70" s="1762">
        <v>46113</v>
      </c>
      <c r="P70" s="842" t="s">
        <v>22</v>
      </c>
      <c r="Q70" s="1762">
        <v>46113</v>
      </c>
      <c r="R70" s="842" t="s">
        <v>22</v>
      </c>
      <c r="S70" s="1762">
        <v>46113</v>
      </c>
      <c r="T70" s="842" t="s">
        <v>22</v>
      </c>
      <c r="U70" s="1762">
        <v>46113</v>
      </c>
      <c r="V70" s="842" t="s">
        <v>22</v>
      </c>
      <c r="W70" s="1762">
        <v>46169.67978009259</v>
      </c>
      <c r="X70" s="842" t="s">
        <v>22</v>
      </c>
      <c r="Y70" s="1762" t="s">
        <v>22</v>
      </c>
      <c r="Z70" s="842" t="s">
        <v>22</v>
      </c>
      <c r="AA70" s="2943" t="s">
        <v>22</v>
      </c>
      <c r="AB70" s="2940" t="s">
        <v>22</v>
      </c>
      <c r="AC70" s="1762">
        <v>46122</v>
      </c>
      <c r="AD70" s="842" t="s">
        <v>22</v>
      </c>
      <c r="AE70" s="1762">
        <v>46126</v>
      </c>
      <c r="AF70" s="842" t="s">
        <v>22</v>
      </c>
      <c r="AG70" s="2943" t="s">
        <v>22</v>
      </c>
      <c r="AH70" s="2940" t="s">
        <v>22</v>
      </c>
      <c r="AI70" s="1762">
        <v>46120</v>
      </c>
      <c r="AJ70" s="842" t="s">
        <v>22</v>
      </c>
      <c r="AK70" s="1762" t="s">
        <v>22</v>
      </c>
      <c r="AL70" s="842" t="s">
        <v>22</v>
      </c>
      <c r="AM70" s="1549" t="s">
        <v>1041</v>
      </c>
      <c r="AN70" s="1659"/>
      <c r="AO70" s="1659"/>
      <c r="AP70" s="1659"/>
      <c r="AQ70" s="1659"/>
      <c r="AR70" s="1659"/>
      <c r="AS70" s="1659"/>
      <c r="AT70" s="1659"/>
      <c r="AU70" s="1659"/>
      <c r="AV70" s="1659"/>
      <c r="AW70" s="699"/>
      <c r="AX70" s="1659">
        <v>0</v>
      </c>
    </row>
    <row s="1874" customFormat="1" customHeight="1" ht="15">
      <c r="A71" s="1659"/>
      <c r="B71" s="2421"/>
      <c r="C71" s="2422"/>
      <c r="D71" s="713" t="str">
        <f>B69&amp;".3"</f>
        <v>3.11.3</v>
      </c>
      <c r="E71" s="1691" t="s">
        <v>1042</v>
      </c>
      <c r="F71" s="2287" t="s">
        <v>390</v>
      </c>
      <c r="G71" s="1762" t="s">
        <v>22</v>
      </c>
      <c r="H71" s="842" t="s">
        <v>22</v>
      </c>
      <c r="I71" s="1762" t="s">
        <v>22</v>
      </c>
      <c r="J71" s="842" t="s">
        <v>22</v>
      </c>
      <c r="K71" s="1762" t="s">
        <v>22</v>
      </c>
      <c r="L71" s="842" t="s">
        <v>22</v>
      </c>
      <c r="M71" s="2943" t="s">
        <v>22</v>
      </c>
      <c r="N71" s="2940" t="s">
        <v>22</v>
      </c>
      <c r="O71" s="1762" t="s">
        <v>22</v>
      </c>
      <c r="P71" s="842" t="s">
        <v>22</v>
      </c>
      <c r="Q71" s="1762" t="s">
        <v>22</v>
      </c>
      <c r="R71" s="842" t="s">
        <v>22</v>
      </c>
      <c r="S71" s="1762" t="s">
        <v>22</v>
      </c>
      <c r="T71" s="842" t="s">
        <v>22</v>
      </c>
      <c r="U71" s="1762" t="s">
        <v>22</v>
      </c>
      <c r="V71" s="842" t="s">
        <v>22</v>
      </c>
      <c r="W71" s="1762"/>
      <c r="X71" s="842" t="s">
        <v>22</v>
      </c>
      <c r="Y71" s="1762" t="s">
        <v>22</v>
      </c>
      <c r="Z71" s="842" t="s">
        <v>22</v>
      </c>
      <c r="AA71" s="2943" t="s">
        <v>22</v>
      </c>
      <c r="AB71" s="2940" t="s">
        <v>22</v>
      </c>
      <c r="AC71" s="1762" t="s">
        <v>22</v>
      </c>
      <c r="AD71" s="842" t="s">
        <v>22</v>
      </c>
      <c r="AE71" s="1762" t="s">
        <v>22</v>
      </c>
      <c r="AF71" s="842" t="s">
        <v>22</v>
      </c>
      <c r="AG71" s="2943" t="s">
        <v>22</v>
      </c>
      <c r="AH71" s="2940" t="s">
        <v>22</v>
      </c>
      <c r="AI71" s="1762" t="s">
        <v>22</v>
      </c>
      <c r="AJ71" s="842" t="s">
        <v>22</v>
      </c>
      <c r="AK71" s="1762" t="s">
        <v>22</v>
      </c>
      <c r="AL71" s="842" t="s">
        <v>22</v>
      </c>
      <c r="AM71" s="1549" t="s">
        <v>1043</v>
      </c>
      <c r="AN71" s="1659"/>
      <c r="AO71" s="1659"/>
      <c r="AP71" s="1659"/>
      <c r="AQ71" s="1659"/>
      <c r="AR71" s="1659"/>
      <c r="AS71" s="1659"/>
      <c r="AT71" s="1659"/>
      <c r="AU71" s="1659"/>
      <c r="AV71" s="1659"/>
      <c r="AW71" s="699"/>
      <c r="AX71" s="1659">
        <v>0</v>
      </c>
    </row>
    <row s="1874" customFormat="1" customHeight="1" ht="22.5">
      <c r="A72" s="1659"/>
      <c r="B72" s="2421" t="s">
        <v>1072</v>
      </c>
      <c r="C72" s="2422" t="s">
        <v>104</v>
      </c>
      <c r="D72" s="713" t="str">
        <f>B72&amp;".1"</f>
        <v>3.12.1</v>
      </c>
      <c r="E72" s="1691" t="s">
        <v>1039</v>
      </c>
      <c r="F72" s="2287" t="s">
        <v>390</v>
      </c>
      <c r="G72" s="2377" t="s">
        <v>22</v>
      </c>
      <c r="H72" s="842" t="s">
        <v>22</v>
      </c>
      <c r="I72" s="2377" t="s">
        <v>1059</v>
      </c>
      <c r="J72" s="842" t="s">
        <v>22</v>
      </c>
      <c r="K72" s="2377" t="s">
        <v>22</v>
      </c>
      <c r="L72" s="842" t="s">
        <v>22</v>
      </c>
      <c r="M72" s="2942" t="s">
        <v>22</v>
      </c>
      <c r="N72" s="2940" t="s">
        <v>22</v>
      </c>
      <c r="O72" s="2377" t="s">
        <v>1059</v>
      </c>
      <c r="P72" s="842" t="s">
        <v>22</v>
      </c>
      <c r="Q72" s="2377" t="s">
        <v>1059</v>
      </c>
      <c r="R72" s="842" t="s">
        <v>22</v>
      </c>
      <c r="S72" s="2377" t="s">
        <v>1059</v>
      </c>
      <c r="T72" s="842" t="s">
        <v>22</v>
      </c>
      <c r="U72" s="2377" t="s">
        <v>1059</v>
      </c>
      <c r="V72" s="842" t="s">
        <v>22</v>
      </c>
      <c r="W72" s="2377" t="s">
        <v>22</v>
      </c>
      <c r="X72" s="842" t="s">
        <v>22</v>
      </c>
      <c r="Y72" s="2377" t="s">
        <v>22</v>
      </c>
      <c r="Z72" s="842" t="s">
        <v>22</v>
      </c>
      <c r="AA72" s="2942" t="s">
        <v>22</v>
      </c>
      <c r="AB72" s="2940" t="s">
        <v>22</v>
      </c>
      <c r="AC72" s="2377" t="s">
        <v>1059</v>
      </c>
      <c r="AD72" s="842" t="s">
        <v>22</v>
      </c>
      <c r="AE72" s="2377" t="s">
        <v>1059</v>
      </c>
      <c r="AF72" s="842" t="s">
        <v>22</v>
      </c>
      <c r="AG72" s="2942" t="s">
        <v>22</v>
      </c>
      <c r="AH72" s="2940" t="s">
        <v>22</v>
      </c>
      <c r="AI72" s="2377" t="s">
        <v>1059</v>
      </c>
      <c r="AJ72" s="842" t="s">
        <v>22</v>
      </c>
      <c r="AK72" s="2377" t="s">
        <v>22</v>
      </c>
      <c r="AL72" s="842" t="s">
        <v>22</v>
      </c>
      <c r="AM72" s="1549"/>
      <c r="AN72" s="1659"/>
      <c r="AO72" s="1659"/>
      <c r="AP72" s="1659"/>
      <c r="AQ72" s="1659"/>
      <c r="AR72" s="1659"/>
      <c r="AS72" s="1659"/>
      <c r="AT72" s="1659"/>
      <c r="AU72" s="1659"/>
      <c r="AV72" s="1659"/>
      <c r="AW72" s="699"/>
      <c r="AX72" s="1659">
        <v>0</v>
      </c>
    </row>
    <row s="1874" customFormat="1" customHeight="1" ht="15">
      <c r="A73" s="1659"/>
      <c r="B73" s="2421"/>
      <c r="C73" s="2422"/>
      <c r="D73" s="713" t="str">
        <f>B72&amp;".2"</f>
        <v>3.12.2</v>
      </c>
      <c r="E73" s="1691" t="s">
        <v>1040</v>
      </c>
      <c r="F73" s="2287" t="s">
        <v>390</v>
      </c>
      <c r="G73" s="1762" t="s">
        <v>22</v>
      </c>
      <c r="H73" s="842" t="s">
        <v>22</v>
      </c>
      <c r="I73" s="1762">
        <v>46113</v>
      </c>
      <c r="J73" s="842" t="s">
        <v>22</v>
      </c>
      <c r="K73" s="1762" t="s">
        <v>22</v>
      </c>
      <c r="L73" s="842" t="s">
        <v>22</v>
      </c>
      <c r="M73" s="2943" t="s">
        <v>22</v>
      </c>
      <c r="N73" s="2940" t="s">
        <v>22</v>
      </c>
      <c r="O73" s="1762">
        <v>46113</v>
      </c>
      <c r="P73" s="842" t="s">
        <v>22</v>
      </c>
      <c r="Q73" s="1762">
        <v>46113</v>
      </c>
      <c r="R73" s="842" t="s">
        <v>22</v>
      </c>
      <c r="S73" s="1762">
        <v>46113</v>
      </c>
      <c r="T73" s="842" t="s">
        <v>22</v>
      </c>
      <c r="U73" s="1762">
        <v>46113</v>
      </c>
      <c r="V73" s="842" t="s">
        <v>22</v>
      </c>
      <c r="W73" s="1762" t="s">
        <v>22</v>
      </c>
      <c r="X73" s="842" t="s">
        <v>22</v>
      </c>
      <c r="Y73" s="1762" t="s">
        <v>22</v>
      </c>
      <c r="Z73" s="842" t="s">
        <v>22</v>
      </c>
      <c r="AA73" s="2943" t="s">
        <v>22</v>
      </c>
      <c r="AB73" s="2940" t="s">
        <v>22</v>
      </c>
      <c r="AC73" s="1762">
        <v>46122</v>
      </c>
      <c r="AD73" s="842" t="s">
        <v>22</v>
      </c>
      <c r="AE73" s="1762">
        <v>46126</v>
      </c>
      <c r="AF73" s="842" t="s">
        <v>22</v>
      </c>
      <c r="AG73" s="2943" t="s">
        <v>22</v>
      </c>
      <c r="AH73" s="2940" t="s">
        <v>22</v>
      </c>
      <c r="AI73" s="1762">
        <v>46120</v>
      </c>
      <c r="AJ73" s="842" t="s">
        <v>22</v>
      </c>
      <c r="AK73" s="1762" t="s">
        <v>22</v>
      </c>
      <c r="AL73" s="842" t="s">
        <v>22</v>
      </c>
      <c r="AM73" s="1549" t="s">
        <v>1041</v>
      </c>
      <c r="AN73" s="1659"/>
      <c r="AO73" s="1659"/>
      <c r="AP73" s="1659"/>
      <c r="AQ73" s="1659"/>
      <c r="AR73" s="1659"/>
      <c r="AS73" s="1659"/>
      <c r="AT73" s="1659"/>
      <c r="AU73" s="1659"/>
      <c r="AV73" s="1659"/>
      <c r="AW73" s="699"/>
      <c r="AX73" s="1659">
        <v>0</v>
      </c>
    </row>
    <row s="1874" customFormat="1" customHeight="1" ht="15">
      <c r="A74" s="1659"/>
      <c r="B74" s="2421"/>
      <c r="C74" s="2422"/>
      <c r="D74" s="713" t="str">
        <f>B72&amp;".3"</f>
        <v>3.12.3</v>
      </c>
      <c r="E74" s="1691" t="s">
        <v>1042</v>
      </c>
      <c r="F74" s="2287" t="s">
        <v>390</v>
      </c>
      <c r="G74" s="1762" t="s">
        <v>22</v>
      </c>
      <c r="H74" s="842" t="s">
        <v>22</v>
      </c>
      <c r="I74" s="1762" t="s">
        <v>22</v>
      </c>
      <c r="J74" s="842" t="s">
        <v>22</v>
      </c>
      <c r="K74" s="1762" t="s">
        <v>22</v>
      </c>
      <c r="L74" s="842" t="s">
        <v>22</v>
      </c>
      <c r="M74" s="2943" t="s">
        <v>22</v>
      </c>
      <c r="N74" s="2940" t="s">
        <v>22</v>
      </c>
      <c r="O74" s="1762" t="s">
        <v>22</v>
      </c>
      <c r="P74" s="842" t="s">
        <v>22</v>
      </c>
      <c r="Q74" s="1762" t="s">
        <v>22</v>
      </c>
      <c r="R74" s="842" t="s">
        <v>22</v>
      </c>
      <c r="S74" s="1762" t="s">
        <v>22</v>
      </c>
      <c r="T74" s="842" t="s">
        <v>22</v>
      </c>
      <c r="U74" s="1762" t="s">
        <v>22</v>
      </c>
      <c r="V74" s="842" t="s">
        <v>22</v>
      </c>
      <c r="W74" s="1762" t="s">
        <v>22</v>
      </c>
      <c r="X74" s="842" t="s">
        <v>22</v>
      </c>
      <c r="Y74" s="1762" t="s">
        <v>22</v>
      </c>
      <c r="Z74" s="842" t="s">
        <v>22</v>
      </c>
      <c r="AA74" s="2943" t="s">
        <v>22</v>
      </c>
      <c r="AB74" s="2940" t="s">
        <v>22</v>
      </c>
      <c r="AC74" s="1762" t="s">
        <v>22</v>
      </c>
      <c r="AD74" s="842" t="s">
        <v>22</v>
      </c>
      <c r="AE74" s="1762" t="s">
        <v>22</v>
      </c>
      <c r="AF74" s="842" t="s">
        <v>22</v>
      </c>
      <c r="AG74" s="2943" t="s">
        <v>22</v>
      </c>
      <c r="AH74" s="2940" t="s">
        <v>22</v>
      </c>
      <c r="AI74" s="1762" t="s">
        <v>22</v>
      </c>
      <c r="AJ74" s="842" t="s">
        <v>22</v>
      </c>
      <c r="AK74" s="1762" t="s">
        <v>22</v>
      </c>
      <c r="AL74" s="842" t="s">
        <v>22</v>
      </c>
      <c r="AM74" s="1549" t="s">
        <v>1043</v>
      </c>
      <c r="AN74" s="1659"/>
      <c r="AO74" s="1659"/>
      <c r="AP74" s="1659"/>
      <c r="AQ74" s="1659"/>
      <c r="AR74" s="1659"/>
      <c r="AS74" s="1659"/>
      <c r="AT74" s="1659"/>
      <c r="AU74" s="1659"/>
      <c r="AV74" s="1659"/>
      <c r="AW74" s="699"/>
      <c r="AX74" s="1659">
        <v>0</v>
      </c>
    </row>
    <row s="1874" customFormat="1" customHeight="1" ht="22.5">
      <c r="A75" s="1659"/>
      <c r="B75" s="2421" t="s">
        <v>1073</v>
      </c>
      <c r="C75" s="2422" t="s">
        <v>104</v>
      </c>
      <c r="D75" s="713" t="str">
        <f>B75&amp;".1"</f>
        <v>3.13.1</v>
      </c>
      <c r="E75" s="1691" t="s">
        <v>1039</v>
      </c>
      <c r="F75" s="2287" t="s">
        <v>390</v>
      </c>
      <c r="G75" s="2377" t="s">
        <v>22</v>
      </c>
      <c r="H75" s="842" t="s">
        <v>22</v>
      </c>
      <c r="I75" s="2377" t="s">
        <v>1059</v>
      </c>
      <c r="J75" s="842" t="s">
        <v>22</v>
      </c>
      <c r="K75" s="2377" t="s">
        <v>22</v>
      </c>
      <c r="L75" s="842" t="s">
        <v>22</v>
      </c>
      <c r="M75" s="2942" t="s">
        <v>22</v>
      </c>
      <c r="N75" s="2940" t="s">
        <v>22</v>
      </c>
      <c r="O75" s="2377" t="s">
        <v>1059</v>
      </c>
      <c r="P75" s="842" t="s">
        <v>22</v>
      </c>
      <c r="Q75" s="2377" t="s">
        <v>1059</v>
      </c>
      <c r="R75" s="842" t="s">
        <v>22</v>
      </c>
      <c r="S75" s="2377" t="s">
        <v>1059</v>
      </c>
      <c r="T75" s="842" t="s">
        <v>22</v>
      </c>
      <c r="U75" s="2377" t="s">
        <v>1059</v>
      </c>
      <c r="V75" s="842" t="s">
        <v>22</v>
      </c>
      <c r="W75" s="2377" t="s">
        <v>22</v>
      </c>
      <c r="X75" s="842" t="s">
        <v>22</v>
      </c>
      <c r="Y75" s="2377" t="s">
        <v>22</v>
      </c>
      <c r="Z75" s="842" t="s">
        <v>22</v>
      </c>
      <c r="AA75" s="2942" t="s">
        <v>22</v>
      </c>
      <c r="AB75" s="2940" t="s">
        <v>22</v>
      </c>
      <c r="AC75" s="2377" t="s">
        <v>1059</v>
      </c>
      <c r="AD75" s="842" t="s">
        <v>22</v>
      </c>
      <c r="AE75" s="2377" t="s">
        <v>1074</v>
      </c>
      <c r="AF75" s="842" t="s">
        <v>22</v>
      </c>
      <c r="AG75" s="2942" t="s">
        <v>22</v>
      </c>
      <c r="AH75" s="2940" t="s">
        <v>22</v>
      </c>
      <c r="AI75" s="2377" t="s">
        <v>1059</v>
      </c>
      <c r="AJ75" s="842" t="s">
        <v>22</v>
      </c>
      <c r="AK75" s="2377" t="s">
        <v>22</v>
      </c>
      <c r="AL75" s="842" t="s">
        <v>22</v>
      </c>
      <c r="AM75" s="1549"/>
      <c r="AN75" s="1659"/>
      <c r="AO75" s="1659"/>
      <c r="AP75" s="1659"/>
      <c r="AQ75" s="1659"/>
      <c r="AR75" s="1659"/>
      <c r="AS75" s="1659"/>
      <c r="AT75" s="1659"/>
      <c r="AU75" s="1659"/>
      <c r="AV75" s="1659"/>
      <c r="AW75" s="699"/>
      <c r="AX75" s="1659">
        <v>0</v>
      </c>
    </row>
    <row s="1874" customFormat="1" customHeight="1" ht="15">
      <c r="A76" s="1659"/>
      <c r="B76" s="2421"/>
      <c r="C76" s="2422"/>
      <c r="D76" s="713" t="str">
        <f>B75&amp;".2"</f>
        <v>3.13.2</v>
      </c>
      <c r="E76" s="1691" t="s">
        <v>1040</v>
      </c>
      <c r="F76" s="2287" t="s">
        <v>390</v>
      </c>
      <c r="G76" s="1762" t="s">
        <v>22</v>
      </c>
      <c r="H76" s="842" t="s">
        <v>22</v>
      </c>
      <c r="I76" s="1762">
        <v>46113</v>
      </c>
      <c r="J76" s="842" t="s">
        <v>22</v>
      </c>
      <c r="K76" s="1762" t="s">
        <v>22</v>
      </c>
      <c r="L76" s="842" t="s">
        <v>22</v>
      </c>
      <c r="M76" s="2943" t="s">
        <v>22</v>
      </c>
      <c r="N76" s="2940" t="s">
        <v>22</v>
      </c>
      <c r="O76" s="1762">
        <v>46113</v>
      </c>
      <c r="P76" s="842" t="s">
        <v>22</v>
      </c>
      <c r="Q76" s="1762">
        <v>46113</v>
      </c>
      <c r="R76" s="842" t="s">
        <v>22</v>
      </c>
      <c r="S76" s="1762">
        <v>46113</v>
      </c>
      <c r="T76" s="842" t="s">
        <v>22</v>
      </c>
      <c r="U76" s="1762">
        <v>46113</v>
      </c>
      <c r="V76" s="842" t="s">
        <v>22</v>
      </c>
      <c r="W76" s="1762" t="s">
        <v>22</v>
      </c>
      <c r="X76" s="842" t="s">
        <v>22</v>
      </c>
      <c r="Y76" s="1762" t="s">
        <v>22</v>
      </c>
      <c r="Z76" s="842" t="s">
        <v>22</v>
      </c>
      <c r="AA76" s="2943" t="s">
        <v>22</v>
      </c>
      <c r="AB76" s="2940" t="s">
        <v>22</v>
      </c>
      <c r="AC76" s="1762">
        <v>46125</v>
      </c>
      <c r="AD76" s="842" t="s">
        <v>22</v>
      </c>
      <c r="AE76" s="1762">
        <v>46126</v>
      </c>
      <c r="AF76" s="842" t="s">
        <v>22</v>
      </c>
      <c r="AG76" s="2943" t="s">
        <v>22</v>
      </c>
      <c r="AH76" s="2940" t="s">
        <v>22</v>
      </c>
      <c r="AI76" s="1762">
        <v>46125</v>
      </c>
      <c r="AJ76" s="842" t="s">
        <v>22</v>
      </c>
      <c r="AK76" s="1762" t="s">
        <v>22</v>
      </c>
      <c r="AL76" s="842" t="s">
        <v>22</v>
      </c>
      <c r="AM76" s="1549" t="s">
        <v>1041</v>
      </c>
      <c r="AN76" s="1659"/>
      <c r="AO76" s="1659"/>
      <c r="AP76" s="1659"/>
      <c r="AQ76" s="1659"/>
      <c r="AR76" s="1659"/>
      <c r="AS76" s="1659"/>
      <c r="AT76" s="1659"/>
      <c r="AU76" s="1659"/>
      <c r="AV76" s="1659"/>
      <c r="AW76" s="699"/>
      <c r="AX76" s="1659">
        <v>0</v>
      </c>
    </row>
    <row s="1874" customFormat="1" customHeight="1" ht="15">
      <c r="A77" s="1659"/>
      <c r="B77" s="2421"/>
      <c r="C77" s="2422"/>
      <c r="D77" s="713" t="str">
        <f>B75&amp;".3"</f>
        <v>3.13.3</v>
      </c>
      <c r="E77" s="1691" t="s">
        <v>1042</v>
      </c>
      <c r="F77" s="2287" t="s">
        <v>390</v>
      </c>
      <c r="G77" s="1762" t="s">
        <v>22</v>
      </c>
      <c r="H77" s="842" t="s">
        <v>22</v>
      </c>
      <c r="I77" s="1762" t="s">
        <v>22</v>
      </c>
      <c r="J77" s="842" t="s">
        <v>22</v>
      </c>
      <c r="K77" s="1762" t="s">
        <v>22</v>
      </c>
      <c r="L77" s="842" t="s">
        <v>22</v>
      </c>
      <c r="M77" s="2943" t="s">
        <v>22</v>
      </c>
      <c r="N77" s="2940" t="s">
        <v>22</v>
      </c>
      <c r="O77" s="1762" t="s">
        <v>22</v>
      </c>
      <c r="P77" s="842" t="s">
        <v>22</v>
      </c>
      <c r="Q77" s="1762" t="s">
        <v>22</v>
      </c>
      <c r="R77" s="842" t="s">
        <v>22</v>
      </c>
      <c r="S77" s="1762" t="s">
        <v>22</v>
      </c>
      <c r="T77" s="842" t="s">
        <v>22</v>
      </c>
      <c r="U77" s="1762" t="s">
        <v>22</v>
      </c>
      <c r="V77" s="842" t="s">
        <v>22</v>
      </c>
      <c r="W77" s="1762" t="s">
        <v>22</v>
      </c>
      <c r="X77" s="842" t="s">
        <v>22</v>
      </c>
      <c r="Y77" s="1762" t="s">
        <v>22</v>
      </c>
      <c r="Z77" s="842" t="s">
        <v>22</v>
      </c>
      <c r="AA77" s="2943" t="s">
        <v>22</v>
      </c>
      <c r="AB77" s="2940" t="s">
        <v>22</v>
      </c>
      <c r="AC77" s="1762" t="s">
        <v>22</v>
      </c>
      <c r="AD77" s="842" t="s">
        <v>22</v>
      </c>
      <c r="AE77" s="1762" t="s">
        <v>22</v>
      </c>
      <c r="AF77" s="842" t="s">
        <v>22</v>
      </c>
      <c r="AG77" s="2943" t="s">
        <v>22</v>
      </c>
      <c r="AH77" s="2940" t="s">
        <v>22</v>
      </c>
      <c r="AI77" s="1762" t="s">
        <v>22</v>
      </c>
      <c r="AJ77" s="842" t="s">
        <v>22</v>
      </c>
      <c r="AK77" s="1762" t="s">
        <v>22</v>
      </c>
      <c r="AL77" s="842" t="s">
        <v>22</v>
      </c>
      <c r="AM77" s="1549" t="s">
        <v>1043</v>
      </c>
      <c r="AN77" s="1659"/>
      <c r="AO77" s="1659"/>
      <c r="AP77" s="1659"/>
      <c r="AQ77" s="1659"/>
      <c r="AR77" s="1659"/>
      <c r="AS77" s="1659"/>
      <c r="AT77" s="1659"/>
      <c r="AU77" s="1659"/>
      <c r="AV77" s="1659"/>
      <c r="AW77" s="699"/>
      <c r="AX77" s="1659">
        <v>0</v>
      </c>
    </row>
    <row s="1874" customFormat="1" customHeight="1" ht="22.5">
      <c r="A78" s="1659"/>
      <c r="B78" s="2421" t="s">
        <v>1075</v>
      </c>
      <c r="C78" s="2422" t="s">
        <v>104</v>
      </c>
      <c r="D78" s="713" t="str">
        <f>B78&amp;".1"</f>
        <v>3.14.1</v>
      </c>
      <c r="E78" s="1691" t="s">
        <v>1039</v>
      </c>
      <c r="F78" s="2287" t="s">
        <v>390</v>
      </c>
      <c r="G78" s="2377" t="s">
        <v>22</v>
      </c>
      <c r="H78" s="842" t="s">
        <v>22</v>
      </c>
      <c r="I78" s="2377" t="s">
        <v>1059</v>
      </c>
      <c r="J78" s="842" t="s">
        <v>22</v>
      </c>
      <c r="K78" s="2377" t="s">
        <v>22</v>
      </c>
      <c r="L78" s="842" t="s">
        <v>22</v>
      </c>
      <c r="M78" s="2942" t="s">
        <v>22</v>
      </c>
      <c r="N78" s="2940" t="s">
        <v>22</v>
      </c>
      <c r="O78" s="2377" t="s">
        <v>1059</v>
      </c>
      <c r="P78" s="842" t="s">
        <v>22</v>
      </c>
      <c r="Q78" s="2377" t="s">
        <v>1059</v>
      </c>
      <c r="R78" s="842" t="s">
        <v>22</v>
      </c>
      <c r="S78" s="2377" t="s">
        <v>1059</v>
      </c>
      <c r="T78" s="842" t="s">
        <v>22</v>
      </c>
      <c r="U78" s="2377" t="s">
        <v>1059</v>
      </c>
      <c r="V78" s="842" t="s">
        <v>22</v>
      </c>
      <c r="W78" s="2377" t="s">
        <v>22</v>
      </c>
      <c r="X78" s="842" t="s">
        <v>22</v>
      </c>
      <c r="Y78" s="2377" t="s">
        <v>22</v>
      </c>
      <c r="Z78" s="842" t="s">
        <v>22</v>
      </c>
      <c r="AA78" s="2942" t="s">
        <v>22</v>
      </c>
      <c r="AB78" s="2940" t="s">
        <v>22</v>
      </c>
      <c r="AC78" s="2377" t="s">
        <v>1059</v>
      </c>
      <c r="AD78" s="842" t="s">
        <v>22</v>
      </c>
      <c r="AE78" s="2377" t="s">
        <v>1059</v>
      </c>
      <c r="AF78" s="842" t="s">
        <v>22</v>
      </c>
      <c r="AG78" s="2942" t="s">
        <v>22</v>
      </c>
      <c r="AH78" s="2940" t="s">
        <v>22</v>
      </c>
      <c r="AI78" s="2377" t="s">
        <v>1076</v>
      </c>
      <c r="AJ78" s="842" t="s">
        <v>22</v>
      </c>
      <c r="AK78" s="2377" t="s">
        <v>22</v>
      </c>
      <c r="AL78" s="842" t="s">
        <v>22</v>
      </c>
      <c r="AM78" s="1549"/>
      <c r="AN78" s="1659"/>
      <c r="AO78" s="1659"/>
      <c r="AP78" s="1659"/>
      <c r="AQ78" s="1659"/>
      <c r="AR78" s="1659"/>
      <c r="AS78" s="1659"/>
      <c r="AT78" s="1659"/>
      <c r="AU78" s="1659"/>
      <c r="AV78" s="1659"/>
      <c r="AW78" s="699"/>
      <c r="AX78" s="1659">
        <v>0</v>
      </c>
    </row>
    <row s="1874" customFormat="1" customHeight="1" ht="15">
      <c r="A79" s="1659"/>
      <c r="B79" s="2421"/>
      <c r="C79" s="2422"/>
      <c r="D79" s="713" t="str">
        <f>B78&amp;".2"</f>
        <v>3.14.2</v>
      </c>
      <c r="E79" s="1691" t="s">
        <v>1040</v>
      </c>
      <c r="F79" s="2287" t="s">
        <v>390</v>
      </c>
      <c r="G79" s="1762" t="s">
        <v>22</v>
      </c>
      <c r="H79" s="842" t="s">
        <v>22</v>
      </c>
      <c r="I79" s="1762">
        <v>46113</v>
      </c>
      <c r="J79" s="842" t="s">
        <v>22</v>
      </c>
      <c r="K79" s="1762" t="s">
        <v>22</v>
      </c>
      <c r="L79" s="842" t="s">
        <v>22</v>
      </c>
      <c r="M79" s="2943" t="s">
        <v>22</v>
      </c>
      <c r="N79" s="2940" t="s">
        <v>22</v>
      </c>
      <c r="O79" s="1762">
        <v>46113</v>
      </c>
      <c r="P79" s="842" t="s">
        <v>22</v>
      </c>
      <c r="Q79" s="1762">
        <v>46113</v>
      </c>
      <c r="R79" s="842" t="s">
        <v>22</v>
      </c>
      <c r="S79" s="1762">
        <v>46113</v>
      </c>
      <c r="T79" s="842" t="s">
        <v>22</v>
      </c>
      <c r="U79" s="1762">
        <v>46113</v>
      </c>
      <c r="V79" s="842" t="s">
        <v>22</v>
      </c>
      <c r="W79" s="1762" t="s">
        <v>22</v>
      </c>
      <c r="X79" s="842" t="s">
        <v>22</v>
      </c>
      <c r="Y79" s="1762" t="s">
        <v>22</v>
      </c>
      <c r="Z79" s="842" t="s">
        <v>22</v>
      </c>
      <c r="AA79" s="2943" t="s">
        <v>22</v>
      </c>
      <c r="AB79" s="2940" t="s">
        <v>22</v>
      </c>
      <c r="AC79" s="1762">
        <v>46125</v>
      </c>
      <c r="AD79" s="842" t="s">
        <v>22</v>
      </c>
      <c r="AE79" s="1762">
        <v>46126</v>
      </c>
      <c r="AF79" s="842" t="s">
        <v>22</v>
      </c>
      <c r="AG79" s="2943" t="s">
        <v>22</v>
      </c>
      <c r="AH79" s="2940" t="s">
        <v>22</v>
      </c>
      <c r="AI79" s="1762">
        <v>46125</v>
      </c>
      <c r="AJ79" s="842" t="s">
        <v>22</v>
      </c>
      <c r="AK79" s="1762" t="s">
        <v>22</v>
      </c>
      <c r="AL79" s="842" t="s">
        <v>22</v>
      </c>
      <c r="AM79" s="1549" t="s">
        <v>1041</v>
      </c>
      <c r="AN79" s="1659"/>
      <c r="AO79" s="1659"/>
      <c r="AP79" s="1659"/>
      <c r="AQ79" s="1659"/>
      <c r="AR79" s="1659"/>
      <c r="AS79" s="1659"/>
      <c r="AT79" s="1659"/>
      <c r="AU79" s="1659"/>
      <c r="AV79" s="1659"/>
      <c r="AW79" s="699"/>
      <c r="AX79" s="1659">
        <v>0</v>
      </c>
    </row>
    <row s="1874" customFormat="1" customHeight="1" ht="15">
      <c r="A80" s="1659"/>
      <c r="B80" s="2421"/>
      <c r="C80" s="2422"/>
      <c r="D80" s="713" t="str">
        <f>B78&amp;".3"</f>
        <v>3.14.3</v>
      </c>
      <c r="E80" s="1691" t="s">
        <v>1042</v>
      </c>
      <c r="F80" s="2287" t="s">
        <v>390</v>
      </c>
      <c r="G80" s="1762" t="s">
        <v>22</v>
      </c>
      <c r="H80" s="842" t="s">
        <v>22</v>
      </c>
      <c r="I80" s="1762" t="s">
        <v>22</v>
      </c>
      <c r="J80" s="842" t="s">
        <v>22</v>
      </c>
      <c r="K80" s="1762" t="s">
        <v>22</v>
      </c>
      <c r="L80" s="842" t="s">
        <v>22</v>
      </c>
      <c r="M80" s="2943" t="s">
        <v>22</v>
      </c>
      <c r="N80" s="2940" t="s">
        <v>22</v>
      </c>
      <c r="O80" s="1762" t="s">
        <v>22</v>
      </c>
      <c r="P80" s="842" t="s">
        <v>22</v>
      </c>
      <c r="Q80" s="1762" t="s">
        <v>22</v>
      </c>
      <c r="R80" s="842" t="s">
        <v>22</v>
      </c>
      <c r="S80" s="1762" t="s">
        <v>22</v>
      </c>
      <c r="T80" s="842" t="s">
        <v>22</v>
      </c>
      <c r="U80" s="1762" t="s">
        <v>22</v>
      </c>
      <c r="V80" s="842" t="s">
        <v>22</v>
      </c>
      <c r="W80" s="1762" t="s">
        <v>22</v>
      </c>
      <c r="X80" s="842" t="s">
        <v>22</v>
      </c>
      <c r="Y80" s="1762" t="s">
        <v>22</v>
      </c>
      <c r="Z80" s="842" t="s">
        <v>22</v>
      </c>
      <c r="AA80" s="2943" t="s">
        <v>22</v>
      </c>
      <c r="AB80" s="2940" t="s">
        <v>22</v>
      </c>
      <c r="AC80" s="1762" t="s">
        <v>22</v>
      </c>
      <c r="AD80" s="842" t="s">
        <v>22</v>
      </c>
      <c r="AE80" s="1762" t="s">
        <v>22</v>
      </c>
      <c r="AF80" s="842" t="s">
        <v>22</v>
      </c>
      <c r="AG80" s="2943" t="s">
        <v>22</v>
      </c>
      <c r="AH80" s="2940" t="s">
        <v>22</v>
      </c>
      <c r="AI80" s="1762" t="s">
        <v>22</v>
      </c>
      <c r="AJ80" s="842" t="s">
        <v>22</v>
      </c>
      <c r="AK80" s="1762" t="s">
        <v>22</v>
      </c>
      <c r="AL80" s="842" t="s">
        <v>22</v>
      </c>
      <c r="AM80" s="1549" t="s">
        <v>1043</v>
      </c>
      <c r="AN80" s="1659"/>
      <c r="AO80" s="1659"/>
      <c r="AP80" s="1659"/>
      <c r="AQ80" s="1659"/>
      <c r="AR80" s="1659"/>
      <c r="AS80" s="1659"/>
      <c r="AT80" s="1659"/>
      <c r="AU80" s="1659"/>
      <c r="AV80" s="1659"/>
      <c r="AW80" s="699"/>
      <c r="AX80" s="1659">
        <v>0</v>
      </c>
    </row>
    <row s="1874" customFormat="1" customHeight="1" ht="22.5">
      <c r="A81" s="1659"/>
      <c r="B81" s="2421" t="s">
        <v>1077</v>
      </c>
      <c r="C81" s="2422" t="s">
        <v>104</v>
      </c>
      <c r="D81" s="713" t="str">
        <f>B81&amp;".1"</f>
        <v>3.15.1</v>
      </c>
      <c r="E81" s="1691" t="s">
        <v>1039</v>
      </c>
      <c r="F81" s="2287" t="s">
        <v>390</v>
      </c>
      <c r="G81" s="2377" t="s">
        <v>22</v>
      </c>
      <c r="H81" s="842" t="s">
        <v>22</v>
      </c>
      <c r="I81" s="2377" t="s">
        <v>1059</v>
      </c>
      <c r="J81" s="842" t="s">
        <v>22</v>
      </c>
      <c r="K81" s="2377" t="s">
        <v>22</v>
      </c>
      <c r="L81" s="842" t="s">
        <v>22</v>
      </c>
      <c r="M81" s="2942" t="s">
        <v>22</v>
      </c>
      <c r="N81" s="2940" t="s">
        <v>22</v>
      </c>
      <c r="O81" s="2377" t="s">
        <v>1059</v>
      </c>
      <c r="P81" s="842" t="s">
        <v>22</v>
      </c>
      <c r="Q81" s="2377" t="s">
        <v>1059</v>
      </c>
      <c r="R81" s="842" t="s">
        <v>22</v>
      </c>
      <c r="S81" s="2377" t="s">
        <v>1059</v>
      </c>
      <c r="T81" s="842" t="s">
        <v>22</v>
      </c>
      <c r="U81" s="2377" t="s">
        <v>1059</v>
      </c>
      <c r="V81" s="842" t="s">
        <v>22</v>
      </c>
      <c r="W81" s="2377" t="s">
        <v>22</v>
      </c>
      <c r="X81" s="842" t="s">
        <v>22</v>
      </c>
      <c r="Y81" s="2377" t="s">
        <v>22</v>
      </c>
      <c r="Z81" s="842" t="s">
        <v>22</v>
      </c>
      <c r="AA81" s="2942" t="s">
        <v>22</v>
      </c>
      <c r="AB81" s="2940" t="s">
        <v>22</v>
      </c>
      <c r="AC81" s="2377" t="s">
        <v>1059</v>
      </c>
      <c r="AD81" s="842" t="s">
        <v>22</v>
      </c>
      <c r="AE81" s="2377" t="s">
        <v>1059</v>
      </c>
      <c r="AF81" s="842" t="s">
        <v>22</v>
      </c>
      <c r="AG81" s="2942" t="s">
        <v>22</v>
      </c>
      <c r="AH81" s="2940" t="s">
        <v>22</v>
      </c>
      <c r="AI81" s="2377" t="s">
        <v>1059</v>
      </c>
      <c r="AJ81" s="842" t="s">
        <v>22</v>
      </c>
      <c r="AK81" s="2377" t="s">
        <v>22</v>
      </c>
      <c r="AL81" s="842" t="s">
        <v>22</v>
      </c>
      <c r="AM81" s="1549"/>
      <c r="AN81" s="1659"/>
      <c r="AO81" s="1659"/>
      <c r="AP81" s="1659"/>
      <c r="AQ81" s="1659"/>
      <c r="AR81" s="1659"/>
      <c r="AS81" s="1659"/>
      <c r="AT81" s="1659"/>
      <c r="AU81" s="1659"/>
      <c r="AV81" s="1659"/>
      <c r="AW81" s="699"/>
      <c r="AX81" s="1659">
        <v>0</v>
      </c>
    </row>
    <row s="1874" customFormat="1" customHeight="1" ht="15">
      <c r="A82" s="1659"/>
      <c r="B82" s="2421"/>
      <c r="C82" s="2422"/>
      <c r="D82" s="713" t="str">
        <f>B81&amp;".2"</f>
        <v>3.15.2</v>
      </c>
      <c r="E82" s="1691" t="s">
        <v>1040</v>
      </c>
      <c r="F82" s="2287" t="s">
        <v>390</v>
      </c>
      <c r="G82" s="1762" t="s">
        <v>22</v>
      </c>
      <c r="H82" s="842" t="s">
        <v>22</v>
      </c>
      <c r="I82" s="1762">
        <v>46113</v>
      </c>
      <c r="J82" s="842" t="s">
        <v>22</v>
      </c>
      <c r="K82" s="1762" t="s">
        <v>22</v>
      </c>
      <c r="L82" s="842" t="s">
        <v>22</v>
      </c>
      <c r="M82" s="2943" t="s">
        <v>22</v>
      </c>
      <c r="N82" s="2940" t="s">
        <v>22</v>
      </c>
      <c r="O82" s="1762">
        <v>46113</v>
      </c>
      <c r="P82" s="842" t="s">
        <v>22</v>
      </c>
      <c r="Q82" s="1762">
        <v>46113</v>
      </c>
      <c r="R82" s="842" t="s">
        <v>22</v>
      </c>
      <c r="S82" s="1762">
        <v>46113</v>
      </c>
      <c r="T82" s="842" t="s">
        <v>22</v>
      </c>
      <c r="U82" s="1762">
        <v>46113</v>
      </c>
      <c r="V82" s="842" t="s">
        <v>22</v>
      </c>
      <c r="W82" s="1762" t="s">
        <v>22</v>
      </c>
      <c r="X82" s="842" t="s">
        <v>22</v>
      </c>
      <c r="Y82" s="1762" t="s">
        <v>22</v>
      </c>
      <c r="Z82" s="842" t="s">
        <v>22</v>
      </c>
      <c r="AA82" s="2943" t="s">
        <v>22</v>
      </c>
      <c r="AB82" s="2940" t="s">
        <v>22</v>
      </c>
      <c r="AC82" s="1762">
        <v>46125</v>
      </c>
      <c r="AD82" s="842" t="s">
        <v>22</v>
      </c>
      <c r="AE82" s="1762">
        <v>46126</v>
      </c>
      <c r="AF82" s="842" t="s">
        <v>22</v>
      </c>
      <c r="AG82" s="2943" t="s">
        <v>22</v>
      </c>
      <c r="AH82" s="2940" t="s">
        <v>22</v>
      </c>
      <c r="AI82" s="1762">
        <v>46125</v>
      </c>
      <c r="AJ82" s="842" t="s">
        <v>22</v>
      </c>
      <c r="AK82" s="1762" t="s">
        <v>22</v>
      </c>
      <c r="AL82" s="842" t="s">
        <v>22</v>
      </c>
      <c r="AM82" s="1549" t="s">
        <v>1041</v>
      </c>
      <c r="AN82" s="1659"/>
      <c r="AO82" s="1659"/>
      <c r="AP82" s="1659"/>
      <c r="AQ82" s="1659"/>
      <c r="AR82" s="1659"/>
      <c r="AS82" s="1659"/>
      <c r="AT82" s="1659"/>
      <c r="AU82" s="1659"/>
      <c r="AV82" s="1659"/>
      <c r="AW82" s="699"/>
      <c r="AX82" s="1659">
        <v>0</v>
      </c>
    </row>
    <row s="1874" customFormat="1" customHeight="1" ht="15">
      <c r="A83" s="1659"/>
      <c r="B83" s="2421"/>
      <c r="C83" s="2422"/>
      <c r="D83" s="713" t="str">
        <f>B81&amp;".3"</f>
        <v>3.15.3</v>
      </c>
      <c r="E83" s="1691" t="s">
        <v>1042</v>
      </c>
      <c r="F83" s="2287" t="s">
        <v>390</v>
      </c>
      <c r="G83" s="1762" t="s">
        <v>22</v>
      </c>
      <c r="H83" s="842" t="s">
        <v>22</v>
      </c>
      <c r="I83" s="1762" t="s">
        <v>22</v>
      </c>
      <c r="J83" s="842" t="s">
        <v>22</v>
      </c>
      <c r="K83" s="1762" t="s">
        <v>22</v>
      </c>
      <c r="L83" s="842" t="s">
        <v>22</v>
      </c>
      <c r="M83" s="2943" t="s">
        <v>22</v>
      </c>
      <c r="N83" s="2940" t="s">
        <v>22</v>
      </c>
      <c r="O83" s="1762" t="s">
        <v>22</v>
      </c>
      <c r="P83" s="842" t="s">
        <v>22</v>
      </c>
      <c r="Q83" s="1762" t="s">
        <v>22</v>
      </c>
      <c r="R83" s="842" t="s">
        <v>22</v>
      </c>
      <c r="S83" s="1762" t="s">
        <v>22</v>
      </c>
      <c r="T83" s="842" t="s">
        <v>22</v>
      </c>
      <c r="U83" s="1762" t="s">
        <v>22</v>
      </c>
      <c r="V83" s="842" t="s">
        <v>22</v>
      </c>
      <c r="W83" s="1762" t="s">
        <v>22</v>
      </c>
      <c r="X83" s="842" t="s">
        <v>22</v>
      </c>
      <c r="Y83" s="1762" t="s">
        <v>22</v>
      </c>
      <c r="Z83" s="842" t="s">
        <v>22</v>
      </c>
      <c r="AA83" s="2943" t="s">
        <v>22</v>
      </c>
      <c r="AB83" s="2940" t="s">
        <v>22</v>
      </c>
      <c r="AC83" s="1762" t="s">
        <v>22</v>
      </c>
      <c r="AD83" s="842" t="s">
        <v>22</v>
      </c>
      <c r="AE83" s="1762" t="s">
        <v>22</v>
      </c>
      <c r="AF83" s="842" t="s">
        <v>22</v>
      </c>
      <c r="AG83" s="2943" t="s">
        <v>22</v>
      </c>
      <c r="AH83" s="2940" t="s">
        <v>22</v>
      </c>
      <c r="AI83" s="1762" t="s">
        <v>22</v>
      </c>
      <c r="AJ83" s="842" t="s">
        <v>22</v>
      </c>
      <c r="AK83" s="1762" t="s">
        <v>22</v>
      </c>
      <c r="AL83" s="842" t="s">
        <v>22</v>
      </c>
      <c r="AM83" s="1549" t="s">
        <v>1043</v>
      </c>
      <c r="AN83" s="1659"/>
      <c r="AO83" s="1659"/>
      <c r="AP83" s="1659"/>
      <c r="AQ83" s="1659"/>
      <c r="AR83" s="1659"/>
      <c r="AS83" s="1659"/>
      <c r="AT83" s="1659"/>
      <c r="AU83" s="1659"/>
      <c r="AV83" s="1659"/>
      <c r="AW83" s="699"/>
      <c r="AX83" s="1659">
        <v>0</v>
      </c>
    </row>
    <row s="1874" customFormat="1" customHeight="1" ht="22.5">
      <c r="A84" s="1659"/>
      <c r="B84" s="2421" t="s">
        <v>1078</v>
      </c>
      <c r="C84" s="2422" t="s">
        <v>104</v>
      </c>
      <c r="D84" s="713" t="str">
        <f>B84&amp;".1"</f>
        <v>3.16.1</v>
      </c>
      <c r="E84" s="1691" t="s">
        <v>1039</v>
      </c>
      <c r="F84" s="2287" t="s">
        <v>390</v>
      </c>
      <c r="G84" s="2377" t="s">
        <v>22</v>
      </c>
      <c r="H84" s="842" t="s">
        <v>22</v>
      </c>
      <c r="I84" s="2377" t="s">
        <v>1059</v>
      </c>
      <c r="J84" s="842" t="s">
        <v>22</v>
      </c>
      <c r="K84" s="2377" t="s">
        <v>22</v>
      </c>
      <c r="L84" s="842" t="s">
        <v>22</v>
      </c>
      <c r="M84" s="2942" t="s">
        <v>22</v>
      </c>
      <c r="N84" s="2940" t="s">
        <v>22</v>
      </c>
      <c r="O84" s="2377" t="s">
        <v>1059</v>
      </c>
      <c r="P84" s="842" t="s">
        <v>22</v>
      </c>
      <c r="Q84" s="2377" t="s">
        <v>1059</v>
      </c>
      <c r="R84" s="842" t="s">
        <v>22</v>
      </c>
      <c r="S84" s="2377" t="s">
        <v>1059</v>
      </c>
      <c r="T84" s="842" t="s">
        <v>22</v>
      </c>
      <c r="U84" s="2377" t="s">
        <v>1059</v>
      </c>
      <c r="V84" s="842" t="s">
        <v>22</v>
      </c>
      <c r="W84" s="2377" t="s">
        <v>22</v>
      </c>
      <c r="X84" s="842" t="s">
        <v>22</v>
      </c>
      <c r="Y84" s="2377" t="s">
        <v>22</v>
      </c>
      <c r="Z84" s="842" t="s">
        <v>22</v>
      </c>
      <c r="AA84" s="2942" t="s">
        <v>22</v>
      </c>
      <c r="AB84" s="2940" t="s">
        <v>22</v>
      </c>
      <c r="AC84" s="2377" t="s">
        <v>1059</v>
      </c>
      <c r="AD84" s="842" t="s">
        <v>22</v>
      </c>
      <c r="AE84" s="2377" t="s">
        <v>1079</v>
      </c>
      <c r="AF84" s="842" t="s">
        <v>22</v>
      </c>
      <c r="AG84" s="2942" t="s">
        <v>22</v>
      </c>
      <c r="AH84" s="2940" t="s">
        <v>22</v>
      </c>
      <c r="AI84" s="2377" t="s">
        <v>1059</v>
      </c>
      <c r="AJ84" s="842" t="s">
        <v>22</v>
      </c>
      <c r="AK84" s="2377" t="s">
        <v>22</v>
      </c>
      <c r="AL84" s="842" t="s">
        <v>22</v>
      </c>
      <c r="AM84" s="1549"/>
      <c r="AN84" s="1659"/>
      <c r="AO84" s="1659"/>
      <c r="AP84" s="1659"/>
      <c r="AQ84" s="1659"/>
      <c r="AR84" s="1659"/>
      <c r="AS84" s="1659"/>
      <c r="AT84" s="1659"/>
      <c r="AU84" s="1659"/>
      <c r="AV84" s="1659"/>
      <c r="AW84" s="699"/>
      <c r="AX84" s="1659">
        <v>0</v>
      </c>
    </row>
    <row s="1874" customFormat="1" customHeight="1" ht="15">
      <c r="A85" s="1659"/>
      <c r="B85" s="2421"/>
      <c r="C85" s="2422"/>
      <c r="D85" s="713" t="str">
        <f>B84&amp;".2"</f>
        <v>3.16.2</v>
      </c>
      <c r="E85" s="1691" t="s">
        <v>1040</v>
      </c>
      <c r="F85" s="2287" t="s">
        <v>390</v>
      </c>
      <c r="G85" s="1762" t="s">
        <v>22</v>
      </c>
      <c r="H85" s="842" t="s">
        <v>22</v>
      </c>
      <c r="I85" s="1762">
        <v>46113</v>
      </c>
      <c r="J85" s="842" t="s">
        <v>22</v>
      </c>
      <c r="K85" s="1762" t="s">
        <v>22</v>
      </c>
      <c r="L85" s="842" t="s">
        <v>22</v>
      </c>
      <c r="M85" s="2943" t="s">
        <v>22</v>
      </c>
      <c r="N85" s="2940" t="s">
        <v>22</v>
      </c>
      <c r="O85" s="1762">
        <v>46113</v>
      </c>
      <c r="P85" s="842" t="s">
        <v>22</v>
      </c>
      <c r="Q85" s="1762">
        <v>46113</v>
      </c>
      <c r="R85" s="842" t="s">
        <v>22</v>
      </c>
      <c r="S85" s="1762">
        <v>46113</v>
      </c>
      <c r="T85" s="842" t="s">
        <v>22</v>
      </c>
      <c r="U85" s="1762">
        <v>46113</v>
      </c>
      <c r="V85" s="842" t="s">
        <v>22</v>
      </c>
      <c r="W85" s="1762" t="s">
        <v>22</v>
      </c>
      <c r="X85" s="842" t="s">
        <v>22</v>
      </c>
      <c r="Y85" s="1762" t="s">
        <v>22</v>
      </c>
      <c r="Z85" s="842" t="s">
        <v>22</v>
      </c>
      <c r="AA85" s="2943" t="s">
        <v>22</v>
      </c>
      <c r="AB85" s="2940" t="s">
        <v>22</v>
      </c>
      <c r="AC85" s="1762">
        <v>46126</v>
      </c>
      <c r="AD85" s="842" t="s">
        <v>22</v>
      </c>
      <c r="AE85" s="1762">
        <v>46127</v>
      </c>
      <c r="AF85" s="842" t="s">
        <v>22</v>
      </c>
      <c r="AG85" s="2943" t="s">
        <v>22</v>
      </c>
      <c r="AH85" s="2940" t="s">
        <v>22</v>
      </c>
      <c r="AI85" s="1762">
        <v>46125</v>
      </c>
      <c r="AJ85" s="842" t="s">
        <v>22</v>
      </c>
      <c r="AK85" s="1762" t="s">
        <v>22</v>
      </c>
      <c r="AL85" s="842" t="s">
        <v>22</v>
      </c>
      <c r="AM85" s="1549" t="s">
        <v>1041</v>
      </c>
      <c r="AN85" s="1659"/>
      <c r="AO85" s="1659"/>
      <c r="AP85" s="1659"/>
      <c r="AQ85" s="1659"/>
      <c r="AR85" s="1659"/>
      <c r="AS85" s="1659"/>
      <c r="AT85" s="1659"/>
      <c r="AU85" s="1659"/>
      <c r="AV85" s="1659"/>
      <c r="AW85" s="699"/>
      <c r="AX85" s="1659">
        <v>0</v>
      </c>
    </row>
    <row s="1874" customFormat="1" customHeight="1" ht="15">
      <c r="A86" s="1659"/>
      <c r="B86" s="2421"/>
      <c r="C86" s="2422"/>
      <c r="D86" s="713" t="str">
        <f>B84&amp;".3"</f>
        <v>3.16.3</v>
      </c>
      <c r="E86" s="1691" t="s">
        <v>1042</v>
      </c>
      <c r="F86" s="2287" t="s">
        <v>390</v>
      </c>
      <c r="G86" s="1762" t="s">
        <v>22</v>
      </c>
      <c r="H86" s="842" t="s">
        <v>22</v>
      </c>
      <c r="I86" s="1762" t="s">
        <v>22</v>
      </c>
      <c r="J86" s="842" t="s">
        <v>22</v>
      </c>
      <c r="K86" s="1762" t="s">
        <v>22</v>
      </c>
      <c r="L86" s="842" t="s">
        <v>22</v>
      </c>
      <c r="M86" s="2943" t="s">
        <v>22</v>
      </c>
      <c r="N86" s="2940" t="s">
        <v>22</v>
      </c>
      <c r="O86" s="1762" t="s">
        <v>22</v>
      </c>
      <c r="P86" s="842" t="s">
        <v>22</v>
      </c>
      <c r="Q86" s="1762" t="s">
        <v>22</v>
      </c>
      <c r="R86" s="842" t="s">
        <v>22</v>
      </c>
      <c r="S86" s="1762" t="s">
        <v>22</v>
      </c>
      <c r="T86" s="842" t="s">
        <v>22</v>
      </c>
      <c r="U86" s="1762" t="s">
        <v>22</v>
      </c>
      <c r="V86" s="842" t="s">
        <v>22</v>
      </c>
      <c r="W86" s="1762" t="s">
        <v>22</v>
      </c>
      <c r="X86" s="842" t="s">
        <v>22</v>
      </c>
      <c r="Y86" s="1762" t="s">
        <v>22</v>
      </c>
      <c r="Z86" s="842" t="s">
        <v>22</v>
      </c>
      <c r="AA86" s="2943" t="s">
        <v>22</v>
      </c>
      <c r="AB86" s="2940" t="s">
        <v>22</v>
      </c>
      <c r="AC86" s="1762" t="s">
        <v>22</v>
      </c>
      <c r="AD86" s="842" t="s">
        <v>22</v>
      </c>
      <c r="AE86" s="1762" t="s">
        <v>22</v>
      </c>
      <c r="AF86" s="842" t="s">
        <v>22</v>
      </c>
      <c r="AG86" s="2943" t="s">
        <v>22</v>
      </c>
      <c r="AH86" s="2940" t="s">
        <v>22</v>
      </c>
      <c r="AI86" s="1762" t="s">
        <v>22</v>
      </c>
      <c r="AJ86" s="842" t="s">
        <v>22</v>
      </c>
      <c r="AK86" s="1762" t="s">
        <v>22</v>
      </c>
      <c r="AL86" s="842" t="s">
        <v>22</v>
      </c>
      <c r="AM86" s="1549" t="s">
        <v>1043</v>
      </c>
      <c r="AN86" s="1659"/>
      <c r="AO86" s="1659"/>
      <c r="AP86" s="1659"/>
      <c r="AQ86" s="1659"/>
      <c r="AR86" s="1659"/>
      <c r="AS86" s="1659"/>
      <c r="AT86" s="1659"/>
      <c r="AU86" s="1659"/>
      <c r="AV86" s="1659"/>
      <c r="AW86" s="699"/>
      <c r="AX86" s="1659">
        <v>0</v>
      </c>
    </row>
    <row s="1874" customFormat="1" customHeight="1" ht="22.5">
      <c r="A87" s="1659"/>
      <c r="B87" s="2421" t="s">
        <v>1080</v>
      </c>
      <c r="C87" s="2422" t="s">
        <v>104</v>
      </c>
      <c r="D87" s="713" t="str">
        <f>B87&amp;".1"</f>
        <v>3.17.1</v>
      </c>
      <c r="E87" s="1691" t="s">
        <v>1039</v>
      </c>
      <c r="F87" s="2287" t="s">
        <v>390</v>
      </c>
      <c r="G87" s="2377" t="s">
        <v>22</v>
      </c>
      <c r="H87" s="842" t="s">
        <v>22</v>
      </c>
      <c r="I87" s="2377" t="s">
        <v>1059</v>
      </c>
      <c r="J87" s="842" t="s">
        <v>22</v>
      </c>
      <c r="K87" s="2377" t="s">
        <v>22</v>
      </c>
      <c r="L87" s="842" t="s">
        <v>22</v>
      </c>
      <c r="M87" s="2942" t="s">
        <v>22</v>
      </c>
      <c r="N87" s="2940" t="s">
        <v>22</v>
      </c>
      <c r="O87" s="2377" t="s">
        <v>1059</v>
      </c>
      <c r="P87" s="842" t="s">
        <v>22</v>
      </c>
      <c r="Q87" s="2377" t="s">
        <v>1059</v>
      </c>
      <c r="R87" s="842" t="s">
        <v>22</v>
      </c>
      <c r="S87" s="2377" t="s">
        <v>1059</v>
      </c>
      <c r="T87" s="842" t="s">
        <v>22</v>
      </c>
      <c r="U87" s="2377" t="s">
        <v>1059</v>
      </c>
      <c r="V87" s="842" t="s">
        <v>22</v>
      </c>
      <c r="W87" s="2377" t="s">
        <v>22</v>
      </c>
      <c r="X87" s="842" t="s">
        <v>22</v>
      </c>
      <c r="Y87" s="2377" t="s">
        <v>22</v>
      </c>
      <c r="Z87" s="842" t="s">
        <v>22</v>
      </c>
      <c r="AA87" s="2942" t="s">
        <v>22</v>
      </c>
      <c r="AB87" s="2940" t="s">
        <v>22</v>
      </c>
      <c r="AC87" s="2377" t="s">
        <v>1064</v>
      </c>
      <c r="AD87" s="842" t="s">
        <v>22</v>
      </c>
      <c r="AE87" s="2377" t="s">
        <v>1064</v>
      </c>
      <c r="AF87" s="842" t="s">
        <v>22</v>
      </c>
      <c r="AG87" s="2942" t="s">
        <v>22</v>
      </c>
      <c r="AH87" s="2940" t="s">
        <v>22</v>
      </c>
      <c r="AI87" s="2377" t="s">
        <v>1059</v>
      </c>
      <c r="AJ87" s="842" t="s">
        <v>22</v>
      </c>
      <c r="AK87" s="2377" t="s">
        <v>22</v>
      </c>
      <c r="AL87" s="842" t="s">
        <v>22</v>
      </c>
      <c r="AM87" s="1549"/>
      <c r="AN87" s="1659"/>
      <c r="AO87" s="1659"/>
      <c r="AP87" s="1659"/>
      <c r="AQ87" s="1659"/>
      <c r="AR87" s="1659"/>
      <c r="AS87" s="1659"/>
      <c r="AT87" s="1659"/>
      <c r="AU87" s="1659"/>
      <c r="AV87" s="1659"/>
      <c r="AW87" s="699"/>
      <c r="AX87" s="1659">
        <v>0</v>
      </c>
    </row>
    <row s="1874" customFormat="1" customHeight="1" ht="15">
      <c r="A88" s="1659"/>
      <c r="B88" s="2421"/>
      <c r="C88" s="2422"/>
      <c r="D88" s="713" t="str">
        <f>B87&amp;".2"</f>
        <v>3.17.2</v>
      </c>
      <c r="E88" s="1691" t="s">
        <v>1040</v>
      </c>
      <c r="F88" s="2287" t="s">
        <v>390</v>
      </c>
      <c r="G88" s="1762" t="s">
        <v>22</v>
      </c>
      <c r="H88" s="842" t="s">
        <v>22</v>
      </c>
      <c r="I88" s="1762">
        <v>46113</v>
      </c>
      <c r="J88" s="842" t="s">
        <v>22</v>
      </c>
      <c r="K88" s="1762" t="s">
        <v>22</v>
      </c>
      <c r="L88" s="842" t="s">
        <v>22</v>
      </c>
      <c r="M88" s="2943" t="s">
        <v>22</v>
      </c>
      <c r="N88" s="2940" t="s">
        <v>22</v>
      </c>
      <c r="O88" s="1762">
        <v>46113</v>
      </c>
      <c r="P88" s="842" t="s">
        <v>22</v>
      </c>
      <c r="Q88" s="1762">
        <v>46113</v>
      </c>
      <c r="R88" s="842" t="s">
        <v>22</v>
      </c>
      <c r="S88" s="1762">
        <v>46113</v>
      </c>
      <c r="T88" s="842" t="s">
        <v>22</v>
      </c>
      <c r="U88" s="1762">
        <v>46113</v>
      </c>
      <c r="V88" s="842" t="s">
        <v>22</v>
      </c>
      <c r="W88" s="1762" t="s">
        <v>22</v>
      </c>
      <c r="X88" s="842" t="s">
        <v>22</v>
      </c>
      <c r="Y88" s="1762" t="s">
        <v>22</v>
      </c>
      <c r="Z88" s="842" t="s">
        <v>22</v>
      </c>
      <c r="AA88" s="2943" t="s">
        <v>22</v>
      </c>
      <c r="AB88" s="2940" t="s">
        <v>22</v>
      </c>
      <c r="AC88" s="1762">
        <v>46126</v>
      </c>
      <c r="AD88" s="842" t="s">
        <v>22</v>
      </c>
      <c r="AE88" s="1762">
        <v>46127</v>
      </c>
      <c r="AF88" s="842" t="s">
        <v>22</v>
      </c>
      <c r="AG88" s="2943" t="s">
        <v>22</v>
      </c>
      <c r="AH88" s="2940" t="s">
        <v>22</v>
      </c>
      <c r="AI88" s="1762">
        <v>46126</v>
      </c>
      <c r="AJ88" s="842" t="s">
        <v>22</v>
      </c>
      <c r="AK88" s="1762" t="s">
        <v>22</v>
      </c>
      <c r="AL88" s="842" t="s">
        <v>22</v>
      </c>
      <c r="AM88" s="1549" t="s">
        <v>1041</v>
      </c>
      <c r="AN88" s="1659"/>
      <c r="AO88" s="1659"/>
      <c r="AP88" s="1659"/>
      <c r="AQ88" s="1659"/>
      <c r="AR88" s="1659"/>
      <c r="AS88" s="1659"/>
      <c r="AT88" s="1659"/>
      <c r="AU88" s="1659"/>
      <c r="AV88" s="1659"/>
      <c r="AW88" s="699"/>
      <c r="AX88" s="1659">
        <v>0</v>
      </c>
    </row>
    <row s="1874" customFormat="1" customHeight="1" ht="15">
      <c r="A89" s="1659"/>
      <c r="B89" s="2421"/>
      <c r="C89" s="2422"/>
      <c r="D89" s="713" t="str">
        <f>B87&amp;".3"</f>
        <v>3.17.3</v>
      </c>
      <c r="E89" s="1691" t="s">
        <v>1042</v>
      </c>
      <c r="F89" s="2287" t="s">
        <v>390</v>
      </c>
      <c r="G89" s="1762" t="s">
        <v>22</v>
      </c>
      <c r="H89" s="842" t="s">
        <v>22</v>
      </c>
      <c r="I89" s="1762" t="s">
        <v>22</v>
      </c>
      <c r="J89" s="842" t="s">
        <v>22</v>
      </c>
      <c r="K89" s="1762" t="s">
        <v>22</v>
      </c>
      <c r="L89" s="842" t="s">
        <v>22</v>
      </c>
      <c r="M89" s="2943" t="s">
        <v>22</v>
      </c>
      <c r="N89" s="2940" t="s">
        <v>22</v>
      </c>
      <c r="O89" s="1762" t="s">
        <v>22</v>
      </c>
      <c r="P89" s="842" t="s">
        <v>22</v>
      </c>
      <c r="Q89" s="1762" t="s">
        <v>22</v>
      </c>
      <c r="R89" s="842" t="s">
        <v>22</v>
      </c>
      <c r="S89" s="1762" t="s">
        <v>22</v>
      </c>
      <c r="T89" s="842" t="s">
        <v>22</v>
      </c>
      <c r="U89" s="1762" t="s">
        <v>22</v>
      </c>
      <c r="V89" s="842" t="s">
        <v>22</v>
      </c>
      <c r="W89" s="1762" t="s">
        <v>22</v>
      </c>
      <c r="X89" s="842" t="s">
        <v>22</v>
      </c>
      <c r="Y89" s="1762" t="s">
        <v>22</v>
      </c>
      <c r="Z89" s="842" t="s">
        <v>22</v>
      </c>
      <c r="AA89" s="2943" t="s">
        <v>22</v>
      </c>
      <c r="AB89" s="2940" t="s">
        <v>22</v>
      </c>
      <c r="AC89" s="1762" t="s">
        <v>22</v>
      </c>
      <c r="AD89" s="842" t="s">
        <v>22</v>
      </c>
      <c r="AE89" s="1762" t="s">
        <v>22</v>
      </c>
      <c r="AF89" s="842" t="s">
        <v>22</v>
      </c>
      <c r="AG89" s="2943" t="s">
        <v>22</v>
      </c>
      <c r="AH89" s="2940" t="s">
        <v>22</v>
      </c>
      <c r="AI89" s="1762" t="s">
        <v>22</v>
      </c>
      <c r="AJ89" s="842" t="s">
        <v>22</v>
      </c>
      <c r="AK89" s="1762" t="s">
        <v>22</v>
      </c>
      <c r="AL89" s="842" t="s">
        <v>22</v>
      </c>
      <c r="AM89" s="1549" t="s">
        <v>1043</v>
      </c>
      <c r="AN89" s="1659"/>
      <c r="AO89" s="1659"/>
      <c r="AP89" s="1659"/>
      <c r="AQ89" s="1659"/>
      <c r="AR89" s="1659"/>
      <c r="AS89" s="1659"/>
      <c r="AT89" s="1659"/>
      <c r="AU89" s="1659"/>
      <c r="AV89" s="1659"/>
      <c r="AW89" s="699"/>
      <c r="AX89" s="1659">
        <v>0</v>
      </c>
    </row>
    <row s="1874" customFormat="1" customHeight="1" ht="22.5">
      <c r="A90" s="1659"/>
      <c r="B90" s="2421" t="s">
        <v>1081</v>
      </c>
      <c r="C90" s="2422" t="s">
        <v>104</v>
      </c>
      <c r="D90" s="713" t="str">
        <f>B90&amp;".1"</f>
        <v>3.18.1</v>
      </c>
      <c r="E90" s="1691" t="s">
        <v>1039</v>
      </c>
      <c r="F90" s="2287" t="s">
        <v>390</v>
      </c>
      <c r="G90" s="2377" t="s">
        <v>22</v>
      </c>
      <c r="H90" s="842" t="s">
        <v>22</v>
      </c>
      <c r="I90" s="2377" t="s">
        <v>1059</v>
      </c>
      <c r="J90" s="842" t="s">
        <v>22</v>
      </c>
      <c r="K90" s="2377" t="s">
        <v>22</v>
      </c>
      <c r="L90" s="842" t="s">
        <v>22</v>
      </c>
      <c r="M90" s="2942" t="s">
        <v>22</v>
      </c>
      <c r="N90" s="2940" t="s">
        <v>22</v>
      </c>
      <c r="O90" s="2377" t="s">
        <v>1059</v>
      </c>
      <c r="P90" s="842" t="s">
        <v>22</v>
      </c>
      <c r="Q90" s="2377" t="s">
        <v>1059</v>
      </c>
      <c r="R90" s="842" t="s">
        <v>22</v>
      </c>
      <c r="S90" s="2377" t="s">
        <v>1059</v>
      </c>
      <c r="T90" s="842" t="s">
        <v>22</v>
      </c>
      <c r="U90" s="2377" t="s">
        <v>1059</v>
      </c>
      <c r="V90" s="842" t="s">
        <v>22</v>
      </c>
      <c r="W90" s="2377" t="s">
        <v>22</v>
      </c>
      <c r="X90" s="842" t="s">
        <v>22</v>
      </c>
      <c r="Y90" s="2377" t="s">
        <v>22</v>
      </c>
      <c r="Z90" s="842" t="s">
        <v>22</v>
      </c>
      <c r="AA90" s="2942" t="s">
        <v>22</v>
      </c>
      <c r="AB90" s="2940" t="s">
        <v>22</v>
      </c>
      <c r="AC90" s="2377" t="s">
        <v>1059</v>
      </c>
      <c r="AD90" s="842" t="s">
        <v>22</v>
      </c>
      <c r="AE90" s="2377" t="s">
        <v>1059</v>
      </c>
      <c r="AF90" s="842" t="s">
        <v>22</v>
      </c>
      <c r="AG90" s="2942" t="s">
        <v>22</v>
      </c>
      <c r="AH90" s="2940" t="s">
        <v>22</v>
      </c>
      <c r="AI90" s="2377" t="s">
        <v>1059</v>
      </c>
      <c r="AJ90" s="842" t="s">
        <v>22</v>
      </c>
      <c r="AK90" s="2377" t="s">
        <v>22</v>
      </c>
      <c r="AL90" s="842" t="s">
        <v>22</v>
      </c>
      <c r="AM90" s="1549"/>
      <c r="AN90" s="1659"/>
      <c r="AO90" s="1659"/>
      <c r="AP90" s="1659"/>
      <c r="AQ90" s="1659"/>
      <c r="AR90" s="1659"/>
      <c r="AS90" s="1659"/>
      <c r="AT90" s="1659"/>
      <c r="AU90" s="1659"/>
      <c r="AV90" s="1659"/>
      <c r="AW90" s="699"/>
      <c r="AX90" s="1659">
        <v>0</v>
      </c>
    </row>
    <row s="1874" customFormat="1" customHeight="1" ht="15">
      <c r="A91" s="1659"/>
      <c r="B91" s="2421"/>
      <c r="C91" s="2422"/>
      <c r="D91" s="713" t="str">
        <f>B90&amp;".2"</f>
        <v>3.18.2</v>
      </c>
      <c r="E91" s="1691" t="s">
        <v>1040</v>
      </c>
      <c r="F91" s="2287" t="s">
        <v>390</v>
      </c>
      <c r="G91" s="1762" t="s">
        <v>22</v>
      </c>
      <c r="H91" s="842" t="s">
        <v>22</v>
      </c>
      <c r="I91" s="1762">
        <v>46113</v>
      </c>
      <c r="J91" s="842" t="s">
        <v>22</v>
      </c>
      <c r="K91" s="1762" t="s">
        <v>22</v>
      </c>
      <c r="L91" s="842" t="s">
        <v>22</v>
      </c>
      <c r="M91" s="2943" t="s">
        <v>22</v>
      </c>
      <c r="N91" s="2940" t="s">
        <v>22</v>
      </c>
      <c r="O91" s="1762">
        <v>46118</v>
      </c>
      <c r="P91" s="842" t="s">
        <v>22</v>
      </c>
      <c r="Q91" s="1762">
        <v>46113</v>
      </c>
      <c r="R91" s="842" t="s">
        <v>22</v>
      </c>
      <c r="S91" s="1762">
        <v>46113</v>
      </c>
      <c r="T91" s="842" t="s">
        <v>22</v>
      </c>
      <c r="U91" s="1762">
        <v>46115</v>
      </c>
      <c r="V91" s="842" t="s">
        <v>22</v>
      </c>
      <c r="W91" s="1762" t="s">
        <v>22</v>
      </c>
      <c r="X91" s="842" t="s">
        <v>22</v>
      </c>
      <c r="Y91" s="1762" t="s">
        <v>22</v>
      </c>
      <c r="Z91" s="842" t="s">
        <v>22</v>
      </c>
      <c r="AA91" s="2943" t="s">
        <v>22</v>
      </c>
      <c r="AB91" s="2940" t="s">
        <v>22</v>
      </c>
      <c r="AC91" s="1762">
        <v>46126</v>
      </c>
      <c r="AD91" s="842" t="s">
        <v>22</v>
      </c>
      <c r="AE91" s="1762">
        <v>46127</v>
      </c>
      <c r="AF91" s="842" t="s">
        <v>22</v>
      </c>
      <c r="AG91" s="2943" t="s">
        <v>22</v>
      </c>
      <c r="AH91" s="2940" t="s">
        <v>22</v>
      </c>
      <c r="AI91" s="1762">
        <v>46126</v>
      </c>
      <c r="AJ91" s="842" t="s">
        <v>22</v>
      </c>
      <c r="AK91" s="1762" t="s">
        <v>22</v>
      </c>
      <c r="AL91" s="842" t="s">
        <v>22</v>
      </c>
      <c r="AM91" s="1549" t="s">
        <v>1041</v>
      </c>
      <c r="AN91" s="1659"/>
      <c r="AO91" s="1659"/>
      <c r="AP91" s="1659"/>
      <c r="AQ91" s="1659"/>
      <c r="AR91" s="1659"/>
      <c r="AS91" s="1659"/>
      <c r="AT91" s="1659"/>
      <c r="AU91" s="1659"/>
      <c r="AV91" s="1659"/>
      <c r="AW91" s="699"/>
      <c r="AX91" s="1659">
        <v>0</v>
      </c>
    </row>
    <row s="1874" customFormat="1" customHeight="1" ht="15">
      <c r="A92" s="1659"/>
      <c r="B92" s="2421"/>
      <c r="C92" s="2422"/>
      <c r="D92" s="713" t="str">
        <f>B90&amp;".3"</f>
        <v>3.18.3</v>
      </c>
      <c r="E92" s="1691" t="s">
        <v>1042</v>
      </c>
      <c r="F92" s="2287" t="s">
        <v>390</v>
      </c>
      <c r="G92" s="1762" t="s">
        <v>22</v>
      </c>
      <c r="H92" s="842" t="s">
        <v>22</v>
      </c>
      <c r="I92" s="1762" t="s">
        <v>22</v>
      </c>
      <c r="J92" s="842" t="s">
        <v>22</v>
      </c>
      <c r="K92" s="1762" t="s">
        <v>22</v>
      </c>
      <c r="L92" s="842" t="s">
        <v>22</v>
      </c>
      <c r="M92" s="2943" t="s">
        <v>22</v>
      </c>
      <c r="N92" s="2940" t="s">
        <v>22</v>
      </c>
      <c r="O92" s="1762" t="s">
        <v>22</v>
      </c>
      <c r="P92" s="842" t="s">
        <v>22</v>
      </c>
      <c r="Q92" s="1762" t="s">
        <v>22</v>
      </c>
      <c r="R92" s="842" t="s">
        <v>22</v>
      </c>
      <c r="S92" s="1762" t="s">
        <v>22</v>
      </c>
      <c r="T92" s="842" t="s">
        <v>22</v>
      </c>
      <c r="U92" s="1762" t="s">
        <v>22</v>
      </c>
      <c r="V92" s="842" t="s">
        <v>22</v>
      </c>
      <c r="W92" s="1762" t="s">
        <v>22</v>
      </c>
      <c r="X92" s="842" t="s">
        <v>22</v>
      </c>
      <c r="Y92" s="1762" t="s">
        <v>22</v>
      </c>
      <c r="Z92" s="842" t="s">
        <v>22</v>
      </c>
      <c r="AA92" s="2943" t="s">
        <v>22</v>
      </c>
      <c r="AB92" s="2940" t="s">
        <v>22</v>
      </c>
      <c r="AC92" s="1762" t="s">
        <v>22</v>
      </c>
      <c r="AD92" s="842" t="s">
        <v>22</v>
      </c>
      <c r="AE92" s="1762" t="s">
        <v>22</v>
      </c>
      <c r="AF92" s="842" t="s">
        <v>22</v>
      </c>
      <c r="AG92" s="2943" t="s">
        <v>22</v>
      </c>
      <c r="AH92" s="2940" t="s">
        <v>22</v>
      </c>
      <c r="AI92" s="1762" t="s">
        <v>22</v>
      </c>
      <c r="AJ92" s="842" t="s">
        <v>22</v>
      </c>
      <c r="AK92" s="1762" t="s">
        <v>22</v>
      </c>
      <c r="AL92" s="842" t="s">
        <v>22</v>
      </c>
      <c r="AM92" s="1549" t="s">
        <v>1043</v>
      </c>
      <c r="AN92" s="1659"/>
      <c r="AO92" s="1659"/>
      <c r="AP92" s="1659"/>
      <c r="AQ92" s="1659"/>
      <c r="AR92" s="1659"/>
      <c r="AS92" s="1659"/>
      <c r="AT92" s="1659"/>
      <c r="AU92" s="1659"/>
      <c r="AV92" s="1659"/>
      <c r="AW92" s="699"/>
      <c r="AX92" s="1659">
        <v>0</v>
      </c>
    </row>
    <row s="1874" customFormat="1" customHeight="1" ht="22.5">
      <c r="A93" s="1659"/>
      <c r="B93" s="2421" t="s">
        <v>1082</v>
      </c>
      <c r="C93" s="2422" t="s">
        <v>104</v>
      </c>
      <c r="D93" s="713" t="str">
        <f>B93&amp;".1"</f>
        <v>3.19.1</v>
      </c>
      <c r="E93" s="1691" t="s">
        <v>1039</v>
      </c>
      <c r="F93" s="2287" t="s">
        <v>390</v>
      </c>
      <c r="G93" s="2377" t="s">
        <v>22</v>
      </c>
      <c r="H93" s="842" t="s">
        <v>22</v>
      </c>
      <c r="I93" s="2377" t="s">
        <v>1059</v>
      </c>
      <c r="J93" s="842" t="s">
        <v>22</v>
      </c>
      <c r="K93" s="2377" t="s">
        <v>22</v>
      </c>
      <c r="L93" s="842" t="s">
        <v>22</v>
      </c>
      <c r="M93" s="2942" t="s">
        <v>22</v>
      </c>
      <c r="N93" s="2940" t="s">
        <v>22</v>
      </c>
      <c r="O93" s="2377" t="s">
        <v>1059</v>
      </c>
      <c r="P93" s="842" t="s">
        <v>22</v>
      </c>
      <c r="Q93" s="2377" t="s">
        <v>1059</v>
      </c>
      <c r="R93" s="842" t="s">
        <v>22</v>
      </c>
      <c r="S93" s="2377" t="s">
        <v>1059</v>
      </c>
      <c r="T93" s="842" t="s">
        <v>22</v>
      </c>
      <c r="U93" s="2377" t="s">
        <v>1059</v>
      </c>
      <c r="V93" s="842" t="s">
        <v>22</v>
      </c>
      <c r="W93" s="2377" t="s">
        <v>22</v>
      </c>
      <c r="X93" s="842" t="s">
        <v>22</v>
      </c>
      <c r="Y93" s="2377" t="s">
        <v>22</v>
      </c>
      <c r="Z93" s="842" t="s">
        <v>22</v>
      </c>
      <c r="AA93" s="2942" t="s">
        <v>22</v>
      </c>
      <c r="AB93" s="2940" t="s">
        <v>22</v>
      </c>
      <c r="AC93" s="2377" t="s">
        <v>1064</v>
      </c>
      <c r="AD93" s="842" t="s">
        <v>22</v>
      </c>
      <c r="AE93" s="2377" t="s">
        <v>1059</v>
      </c>
      <c r="AF93" s="842" t="s">
        <v>22</v>
      </c>
      <c r="AG93" s="2942" t="s">
        <v>22</v>
      </c>
      <c r="AH93" s="2940" t="s">
        <v>22</v>
      </c>
      <c r="AI93" s="2377" t="s">
        <v>1059</v>
      </c>
      <c r="AJ93" s="842" t="s">
        <v>22</v>
      </c>
      <c r="AK93" s="2377" t="s">
        <v>22</v>
      </c>
      <c r="AL93" s="842" t="s">
        <v>22</v>
      </c>
      <c r="AM93" s="1549"/>
      <c r="AN93" s="1659"/>
      <c r="AO93" s="1659"/>
      <c r="AP93" s="1659"/>
      <c r="AQ93" s="1659"/>
      <c r="AR93" s="1659"/>
      <c r="AS93" s="1659"/>
      <c r="AT93" s="1659"/>
      <c r="AU93" s="1659"/>
      <c r="AV93" s="1659"/>
      <c r="AW93" s="699"/>
      <c r="AX93" s="1659">
        <v>0</v>
      </c>
    </row>
    <row s="1874" customFormat="1" customHeight="1" ht="15">
      <c r="A94" s="1659"/>
      <c r="B94" s="2421"/>
      <c r="C94" s="2422"/>
      <c r="D94" s="713" t="str">
        <f>B93&amp;".2"</f>
        <v>3.19.2</v>
      </c>
      <c r="E94" s="1691" t="s">
        <v>1040</v>
      </c>
      <c r="F94" s="2287" t="s">
        <v>390</v>
      </c>
      <c r="G94" s="1762" t="s">
        <v>22</v>
      </c>
      <c r="H94" s="842" t="s">
        <v>22</v>
      </c>
      <c r="I94" s="1762">
        <v>46113</v>
      </c>
      <c r="J94" s="842" t="s">
        <v>22</v>
      </c>
      <c r="K94" s="1762" t="s">
        <v>22</v>
      </c>
      <c r="L94" s="842" t="s">
        <v>22</v>
      </c>
      <c r="M94" s="2943" t="s">
        <v>22</v>
      </c>
      <c r="N94" s="2940" t="s">
        <v>22</v>
      </c>
      <c r="O94" s="1762">
        <v>46118</v>
      </c>
      <c r="P94" s="842" t="s">
        <v>22</v>
      </c>
      <c r="Q94" s="1762">
        <v>46113</v>
      </c>
      <c r="R94" s="842" t="s">
        <v>22</v>
      </c>
      <c r="S94" s="1762">
        <v>46113</v>
      </c>
      <c r="T94" s="842" t="s">
        <v>22</v>
      </c>
      <c r="U94" s="1762">
        <v>46115</v>
      </c>
      <c r="V94" s="842" t="s">
        <v>22</v>
      </c>
      <c r="W94" s="1762" t="s">
        <v>22</v>
      </c>
      <c r="X94" s="842" t="s">
        <v>22</v>
      </c>
      <c r="Y94" s="1762" t="s">
        <v>22</v>
      </c>
      <c r="Z94" s="842" t="s">
        <v>22</v>
      </c>
      <c r="AA94" s="2943" t="s">
        <v>22</v>
      </c>
      <c r="AB94" s="2940" t="s">
        <v>22</v>
      </c>
      <c r="AC94" s="1762">
        <v>46126</v>
      </c>
      <c r="AD94" s="842" t="s">
        <v>22</v>
      </c>
      <c r="AE94" s="1762">
        <v>46127</v>
      </c>
      <c r="AF94" s="842" t="s">
        <v>22</v>
      </c>
      <c r="AG94" s="2943" t="s">
        <v>22</v>
      </c>
      <c r="AH94" s="2940" t="s">
        <v>22</v>
      </c>
      <c r="AI94" s="1762">
        <v>46126</v>
      </c>
      <c r="AJ94" s="842" t="s">
        <v>22</v>
      </c>
      <c r="AK94" s="1762" t="s">
        <v>22</v>
      </c>
      <c r="AL94" s="842" t="s">
        <v>22</v>
      </c>
      <c r="AM94" s="1549" t="s">
        <v>1041</v>
      </c>
      <c r="AN94" s="1659"/>
      <c r="AO94" s="1659"/>
      <c r="AP94" s="1659"/>
      <c r="AQ94" s="1659"/>
      <c r="AR94" s="1659"/>
      <c r="AS94" s="1659"/>
      <c r="AT94" s="1659"/>
      <c r="AU94" s="1659"/>
      <c r="AV94" s="1659"/>
      <c r="AW94" s="699"/>
      <c r="AX94" s="1659">
        <v>0</v>
      </c>
    </row>
    <row s="1874" customFormat="1" customHeight="1" ht="15">
      <c r="A95" s="1659"/>
      <c r="B95" s="2421"/>
      <c r="C95" s="2422"/>
      <c r="D95" s="713" t="str">
        <f>B93&amp;".3"</f>
        <v>3.19.3</v>
      </c>
      <c r="E95" s="1691" t="s">
        <v>1042</v>
      </c>
      <c r="F95" s="2287" t="s">
        <v>390</v>
      </c>
      <c r="G95" s="1762" t="s">
        <v>22</v>
      </c>
      <c r="H95" s="842" t="s">
        <v>22</v>
      </c>
      <c r="I95" s="1762" t="s">
        <v>22</v>
      </c>
      <c r="J95" s="842" t="s">
        <v>22</v>
      </c>
      <c r="K95" s="1762" t="s">
        <v>22</v>
      </c>
      <c r="L95" s="842" t="s">
        <v>22</v>
      </c>
      <c r="M95" s="2943" t="s">
        <v>22</v>
      </c>
      <c r="N95" s="2940" t="s">
        <v>22</v>
      </c>
      <c r="O95" s="1762" t="s">
        <v>22</v>
      </c>
      <c r="P95" s="842" t="s">
        <v>22</v>
      </c>
      <c r="Q95" s="1762" t="s">
        <v>22</v>
      </c>
      <c r="R95" s="842" t="s">
        <v>22</v>
      </c>
      <c r="S95" s="1762" t="s">
        <v>22</v>
      </c>
      <c r="T95" s="842" t="s">
        <v>22</v>
      </c>
      <c r="U95" s="1762" t="s">
        <v>22</v>
      </c>
      <c r="V95" s="842" t="s">
        <v>22</v>
      </c>
      <c r="W95" s="1762" t="s">
        <v>22</v>
      </c>
      <c r="X95" s="842" t="s">
        <v>22</v>
      </c>
      <c r="Y95" s="1762" t="s">
        <v>22</v>
      </c>
      <c r="Z95" s="842" t="s">
        <v>22</v>
      </c>
      <c r="AA95" s="2943" t="s">
        <v>22</v>
      </c>
      <c r="AB95" s="2940" t="s">
        <v>22</v>
      </c>
      <c r="AC95" s="1762" t="s">
        <v>22</v>
      </c>
      <c r="AD95" s="842" t="s">
        <v>22</v>
      </c>
      <c r="AE95" s="1762" t="s">
        <v>22</v>
      </c>
      <c r="AF95" s="842" t="s">
        <v>22</v>
      </c>
      <c r="AG95" s="2943" t="s">
        <v>22</v>
      </c>
      <c r="AH95" s="2940" t="s">
        <v>22</v>
      </c>
      <c r="AI95" s="1762" t="s">
        <v>22</v>
      </c>
      <c r="AJ95" s="842" t="s">
        <v>22</v>
      </c>
      <c r="AK95" s="1762" t="s">
        <v>22</v>
      </c>
      <c r="AL95" s="842" t="s">
        <v>22</v>
      </c>
      <c r="AM95" s="1549" t="s">
        <v>1043</v>
      </c>
      <c r="AN95" s="1659"/>
      <c r="AO95" s="1659"/>
      <c r="AP95" s="1659"/>
      <c r="AQ95" s="1659"/>
      <c r="AR95" s="1659"/>
      <c r="AS95" s="1659"/>
      <c r="AT95" s="1659"/>
      <c r="AU95" s="1659"/>
      <c r="AV95" s="1659"/>
      <c r="AW95" s="699"/>
      <c r="AX95" s="1659">
        <v>0</v>
      </c>
    </row>
    <row s="1874" customFormat="1" customHeight="1" ht="22.5">
      <c r="A96" s="1659"/>
      <c r="B96" s="2421" t="s">
        <v>1083</v>
      </c>
      <c r="C96" s="2422" t="s">
        <v>104</v>
      </c>
      <c r="D96" s="713" t="str">
        <f>B96&amp;".1"</f>
        <v>3.20.1</v>
      </c>
      <c r="E96" s="1691" t="s">
        <v>1039</v>
      </c>
      <c r="F96" s="2287" t="s">
        <v>390</v>
      </c>
      <c r="G96" s="2377" t="s">
        <v>22</v>
      </c>
      <c r="H96" s="842" t="s">
        <v>22</v>
      </c>
      <c r="I96" s="2377" t="s">
        <v>1059</v>
      </c>
      <c r="J96" s="842" t="s">
        <v>22</v>
      </c>
      <c r="K96" s="2377" t="s">
        <v>22</v>
      </c>
      <c r="L96" s="842" t="s">
        <v>22</v>
      </c>
      <c r="M96" s="2942" t="s">
        <v>22</v>
      </c>
      <c r="N96" s="2940" t="s">
        <v>22</v>
      </c>
      <c r="O96" s="2377" t="s">
        <v>1059</v>
      </c>
      <c r="P96" s="842" t="s">
        <v>22</v>
      </c>
      <c r="Q96" s="2377" t="s">
        <v>1059</v>
      </c>
      <c r="R96" s="842" t="s">
        <v>22</v>
      </c>
      <c r="S96" s="2377" t="s">
        <v>1059</v>
      </c>
      <c r="T96" s="842" t="s">
        <v>22</v>
      </c>
      <c r="U96" s="2377" t="s">
        <v>1059</v>
      </c>
      <c r="V96" s="842" t="s">
        <v>22</v>
      </c>
      <c r="W96" s="2377" t="s">
        <v>22</v>
      </c>
      <c r="X96" s="842" t="s">
        <v>22</v>
      </c>
      <c r="Y96" s="2377" t="s">
        <v>22</v>
      </c>
      <c r="Z96" s="842" t="s">
        <v>22</v>
      </c>
      <c r="AA96" s="2942" t="s">
        <v>22</v>
      </c>
      <c r="AB96" s="2940" t="s">
        <v>22</v>
      </c>
      <c r="AC96" s="2377" t="s">
        <v>1059</v>
      </c>
      <c r="AD96" s="842" t="s">
        <v>22</v>
      </c>
      <c r="AE96" s="2377" t="s">
        <v>1074</v>
      </c>
      <c r="AF96" s="842" t="s">
        <v>22</v>
      </c>
      <c r="AG96" s="2942" t="s">
        <v>22</v>
      </c>
      <c r="AH96" s="2940" t="s">
        <v>22</v>
      </c>
      <c r="AI96" s="2377" t="s">
        <v>1059</v>
      </c>
      <c r="AJ96" s="842" t="s">
        <v>22</v>
      </c>
      <c r="AK96" s="2377" t="s">
        <v>22</v>
      </c>
      <c r="AL96" s="842" t="s">
        <v>22</v>
      </c>
      <c r="AM96" s="1549"/>
      <c r="AN96" s="1659"/>
      <c r="AO96" s="1659"/>
      <c r="AP96" s="1659"/>
      <c r="AQ96" s="1659"/>
      <c r="AR96" s="1659"/>
      <c r="AS96" s="1659"/>
      <c r="AT96" s="1659"/>
      <c r="AU96" s="1659"/>
      <c r="AV96" s="1659"/>
      <c r="AW96" s="699"/>
      <c r="AX96" s="1659">
        <v>0</v>
      </c>
    </row>
    <row s="1874" customFormat="1" customHeight="1" ht="15">
      <c r="A97" s="1659"/>
      <c r="B97" s="2421"/>
      <c r="C97" s="2422"/>
      <c r="D97" s="713" t="str">
        <f>B96&amp;".2"</f>
        <v>3.20.2</v>
      </c>
      <c r="E97" s="1691" t="s">
        <v>1040</v>
      </c>
      <c r="F97" s="2287" t="s">
        <v>390</v>
      </c>
      <c r="G97" s="1762" t="s">
        <v>22</v>
      </c>
      <c r="H97" s="842" t="s">
        <v>22</v>
      </c>
      <c r="I97" s="1762">
        <v>46113</v>
      </c>
      <c r="J97" s="842" t="s">
        <v>22</v>
      </c>
      <c r="K97" s="1762" t="s">
        <v>22</v>
      </c>
      <c r="L97" s="842" t="s">
        <v>22</v>
      </c>
      <c r="M97" s="2943" t="s">
        <v>22</v>
      </c>
      <c r="N97" s="2940" t="s">
        <v>22</v>
      </c>
      <c r="O97" s="1762">
        <v>46122</v>
      </c>
      <c r="P97" s="842" t="s">
        <v>22</v>
      </c>
      <c r="Q97" s="1762">
        <v>46113</v>
      </c>
      <c r="R97" s="842" t="s">
        <v>22</v>
      </c>
      <c r="S97" s="1762">
        <v>46113</v>
      </c>
      <c r="T97" s="842" t="s">
        <v>22</v>
      </c>
      <c r="U97" s="1762">
        <v>46115</v>
      </c>
      <c r="V97" s="842" t="s">
        <v>22</v>
      </c>
      <c r="W97" s="1762" t="s">
        <v>22</v>
      </c>
      <c r="X97" s="842" t="s">
        <v>22</v>
      </c>
      <c r="Y97" s="1762" t="s">
        <v>22</v>
      </c>
      <c r="Z97" s="842" t="s">
        <v>22</v>
      </c>
      <c r="AA97" s="2943" t="s">
        <v>22</v>
      </c>
      <c r="AB97" s="2940" t="s">
        <v>22</v>
      </c>
      <c r="AC97" s="1762">
        <v>46126</v>
      </c>
      <c r="AD97" s="842" t="s">
        <v>22</v>
      </c>
      <c r="AE97" s="1762">
        <v>46127</v>
      </c>
      <c r="AF97" s="842" t="s">
        <v>22</v>
      </c>
      <c r="AG97" s="2943" t="s">
        <v>22</v>
      </c>
      <c r="AH97" s="2940" t="s">
        <v>22</v>
      </c>
      <c r="AI97" s="1762">
        <v>46126</v>
      </c>
      <c r="AJ97" s="842" t="s">
        <v>22</v>
      </c>
      <c r="AK97" s="1762" t="s">
        <v>22</v>
      </c>
      <c r="AL97" s="842" t="s">
        <v>22</v>
      </c>
      <c r="AM97" s="1549" t="s">
        <v>1041</v>
      </c>
      <c r="AN97" s="1659"/>
      <c r="AO97" s="1659"/>
      <c r="AP97" s="1659"/>
      <c r="AQ97" s="1659"/>
      <c r="AR97" s="1659"/>
      <c r="AS97" s="1659"/>
      <c r="AT97" s="1659"/>
      <c r="AU97" s="1659"/>
      <c r="AV97" s="1659"/>
      <c r="AW97" s="699"/>
      <c r="AX97" s="1659">
        <v>0</v>
      </c>
    </row>
    <row s="1874" customFormat="1" customHeight="1" ht="15">
      <c r="A98" s="1659"/>
      <c r="B98" s="2421"/>
      <c r="C98" s="2422"/>
      <c r="D98" s="713" t="str">
        <f>B96&amp;".3"</f>
        <v>3.20.3</v>
      </c>
      <c r="E98" s="1691" t="s">
        <v>1042</v>
      </c>
      <c r="F98" s="2287" t="s">
        <v>390</v>
      </c>
      <c r="G98" s="1762" t="s">
        <v>22</v>
      </c>
      <c r="H98" s="842" t="s">
        <v>22</v>
      </c>
      <c r="I98" s="1762" t="s">
        <v>22</v>
      </c>
      <c r="J98" s="842" t="s">
        <v>22</v>
      </c>
      <c r="K98" s="1762" t="s">
        <v>22</v>
      </c>
      <c r="L98" s="842" t="s">
        <v>22</v>
      </c>
      <c r="M98" s="2943" t="s">
        <v>22</v>
      </c>
      <c r="N98" s="2940" t="s">
        <v>22</v>
      </c>
      <c r="O98" s="1762" t="s">
        <v>22</v>
      </c>
      <c r="P98" s="842" t="s">
        <v>22</v>
      </c>
      <c r="Q98" s="1762" t="s">
        <v>22</v>
      </c>
      <c r="R98" s="842" t="s">
        <v>22</v>
      </c>
      <c r="S98" s="1762" t="s">
        <v>22</v>
      </c>
      <c r="T98" s="842" t="s">
        <v>22</v>
      </c>
      <c r="U98" s="1762" t="s">
        <v>22</v>
      </c>
      <c r="V98" s="842" t="s">
        <v>22</v>
      </c>
      <c r="W98" s="1762" t="s">
        <v>22</v>
      </c>
      <c r="X98" s="842" t="s">
        <v>22</v>
      </c>
      <c r="Y98" s="1762" t="s">
        <v>22</v>
      </c>
      <c r="Z98" s="842" t="s">
        <v>22</v>
      </c>
      <c r="AA98" s="2943" t="s">
        <v>22</v>
      </c>
      <c r="AB98" s="2940" t="s">
        <v>22</v>
      </c>
      <c r="AC98" s="1762" t="s">
        <v>22</v>
      </c>
      <c r="AD98" s="842" t="s">
        <v>22</v>
      </c>
      <c r="AE98" s="1762" t="s">
        <v>22</v>
      </c>
      <c r="AF98" s="842" t="s">
        <v>22</v>
      </c>
      <c r="AG98" s="2943" t="s">
        <v>22</v>
      </c>
      <c r="AH98" s="2940" t="s">
        <v>22</v>
      </c>
      <c r="AI98" s="1762" t="s">
        <v>22</v>
      </c>
      <c r="AJ98" s="842" t="s">
        <v>22</v>
      </c>
      <c r="AK98" s="1762" t="s">
        <v>22</v>
      </c>
      <c r="AL98" s="842" t="s">
        <v>22</v>
      </c>
      <c r="AM98" s="1549" t="s">
        <v>1043</v>
      </c>
      <c r="AN98" s="1659"/>
      <c r="AO98" s="1659"/>
      <c r="AP98" s="1659"/>
      <c r="AQ98" s="1659"/>
      <c r="AR98" s="1659"/>
      <c r="AS98" s="1659"/>
      <c r="AT98" s="1659"/>
      <c r="AU98" s="1659"/>
      <c r="AV98" s="1659"/>
      <c r="AW98" s="699"/>
      <c r="AX98" s="1659">
        <v>0</v>
      </c>
    </row>
    <row s="1874" customFormat="1" customHeight="1" ht="22.5">
      <c r="A99" s="1659"/>
      <c r="B99" s="2421" t="s">
        <v>1084</v>
      </c>
      <c r="C99" s="2422" t="s">
        <v>104</v>
      </c>
      <c r="D99" s="713" t="str">
        <f>B99&amp;".1"</f>
        <v>3.21.1</v>
      </c>
      <c r="E99" s="1691" t="s">
        <v>1039</v>
      </c>
      <c r="F99" s="2287" t="s">
        <v>390</v>
      </c>
      <c r="G99" s="2377" t="s">
        <v>22</v>
      </c>
      <c r="H99" s="842" t="s">
        <v>22</v>
      </c>
      <c r="I99" s="2377" t="s">
        <v>1059</v>
      </c>
      <c r="J99" s="842" t="s">
        <v>22</v>
      </c>
      <c r="K99" s="2377" t="s">
        <v>22</v>
      </c>
      <c r="L99" s="842" t="s">
        <v>22</v>
      </c>
      <c r="M99" s="2942" t="s">
        <v>22</v>
      </c>
      <c r="N99" s="2940" t="s">
        <v>22</v>
      </c>
      <c r="O99" s="2377" t="s">
        <v>1059</v>
      </c>
      <c r="P99" s="842" t="s">
        <v>22</v>
      </c>
      <c r="Q99" s="2377" t="s">
        <v>1059</v>
      </c>
      <c r="R99" s="842" t="s">
        <v>22</v>
      </c>
      <c r="S99" s="2377" t="s">
        <v>1059</v>
      </c>
      <c r="T99" s="842" t="s">
        <v>22</v>
      </c>
      <c r="U99" s="2377" t="s">
        <v>1059</v>
      </c>
      <c r="V99" s="842" t="s">
        <v>22</v>
      </c>
      <c r="W99" s="2377" t="s">
        <v>22</v>
      </c>
      <c r="X99" s="842" t="s">
        <v>22</v>
      </c>
      <c r="Y99" s="2377" t="s">
        <v>22</v>
      </c>
      <c r="Z99" s="842" t="s">
        <v>22</v>
      </c>
      <c r="AA99" s="2942" t="s">
        <v>22</v>
      </c>
      <c r="AB99" s="2940" t="s">
        <v>22</v>
      </c>
      <c r="AC99" s="2377" t="s">
        <v>1059</v>
      </c>
      <c r="AD99" s="842" t="s">
        <v>22</v>
      </c>
      <c r="AE99" s="2377" t="s">
        <v>1085</v>
      </c>
      <c r="AF99" s="842" t="s">
        <v>22</v>
      </c>
      <c r="AG99" s="2942" t="s">
        <v>22</v>
      </c>
      <c r="AH99" s="2940" t="s">
        <v>22</v>
      </c>
      <c r="AI99" s="2377" t="s">
        <v>1059</v>
      </c>
      <c r="AJ99" s="842" t="s">
        <v>22</v>
      </c>
      <c r="AK99" s="2377" t="s">
        <v>22</v>
      </c>
      <c r="AL99" s="842" t="s">
        <v>22</v>
      </c>
      <c r="AM99" s="1549"/>
      <c r="AN99" s="1659"/>
      <c r="AO99" s="1659"/>
      <c r="AP99" s="1659"/>
      <c r="AQ99" s="1659"/>
      <c r="AR99" s="1659"/>
      <c r="AS99" s="1659"/>
      <c r="AT99" s="1659"/>
      <c r="AU99" s="1659"/>
      <c r="AV99" s="1659"/>
      <c r="AW99" s="699"/>
      <c r="AX99" s="1659">
        <v>0</v>
      </c>
    </row>
    <row s="1874" customFormat="1" customHeight="1" ht="15">
      <c r="A100" s="1659"/>
      <c r="B100" s="2421"/>
      <c r="C100" s="2422"/>
      <c r="D100" s="713" t="str">
        <f>B99&amp;".2"</f>
        <v>3.21.2</v>
      </c>
      <c r="E100" s="1691" t="s">
        <v>1040</v>
      </c>
      <c r="F100" s="2287" t="s">
        <v>390</v>
      </c>
      <c r="G100" s="1762" t="s">
        <v>22</v>
      </c>
      <c r="H100" s="842" t="s">
        <v>22</v>
      </c>
      <c r="I100" s="1762">
        <v>46113</v>
      </c>
      <c r="J100" s="842" t="s">
        <v>22</v>
      </c>
      <c r="K100" s="1762" t="s">
        <v>22</v>
      </c>
      <c r="L100" s="842" t="s">
        <v>22</v>
      </c>
      <c r="M100" s="2943" t="s">
        <v>22</v>
      </c>
      <c r="N100" s="2940" t="s">
        <v>22</v>
      </c>
      <c r="O100" s="1762">
        <v>46122</v>
      </c>
      <c r="P100" s="842" t="s">
        <v>22</v>
      </c>
      <c r="Q100" s="1762">
        <v>46113</v>
      </c>
      <c r="R100" s="842" t="s">
        <v>22</v>
      </c>
      <c r="S100" s="1762">
        <v>46113</v>
      </c>
      <c r="T100" s="842" t="s">
        <v>22</v>
      </c>
      <c r="U100" s="1762">
        <v>46115</v>
      </c>
      <c r="V100" s="842" t="s">
        <v>22</v>
      </c>
      <c r="W100" s="1762" t="s">
        <v>22</v>
      </c>
      <c r="X100" s="842" t="s">
        <v>22</v>
      </c>
      <c r="Y100" s="1762" t="s">
        <v>22</v>
      </c>
      <c r="Z100" s="842" t="s">
        <v>22</v>
      </c>
      <c r="AA100" s="2943" t="s">
        <v>22</v>
      </c>
      <c r="AB100" s="2940" t="s">
        <v>22</v>
      </c>
      <c r="AC100" s="1762">
        <v>46126</v>
      </c>
      <c r="AD100" s="842" t="s">
        <v>22</v>
      </c>
      <c r="AE100" s="1762">
        <v>46127</v>
      </c>
      <c r="AF100" s="842" t="s">
        <v>22</v>
      </c>
      <c r="AG100" s="2943" t="s">
        <v>22</v>
      </c>
      <c r="AH100" s="2940" t="s">
        <v>22</v>
      </c>
      <c r="AI100" s="1762">
        <v>46126</v>
      </c>
      <c r="AJ100" s="842" t="s">
        <v>22</v>
      </c>
      <c r="AK100" s="1762" t="s">
        <v>22</v>
      </c>
      <c r="AL100" s="842" t="s">
        <v>22</v>
      </c>
      <c r="AM100" s="1549" t="s">
        <v>1041</v>
      </c>
      <c r="AN100" s="1659"/>
      <c r="AO100" s="1659"/>
      <c r="AP100" s="1659"/>
      <c r="AQ100" s="1659"/>
      <c r="AR100" s="1659"/>
      <c r="AS100" s="1659"/>
      <c r="AT100" s="1659"/>
      <c r="AU100" s="1659"/>
      <c r="AV100" s="1659"/>
      <c r="AW100" s="699"/>
      <c r="AX100" s="1659">
        <v>0</v>
      </c>
    </row>
    <row s="1874" customFormat="1" customHeight="1" ht="15">
      <c r="A101" s="1659"/>
      <c r="B101" s="2421"/>
      <c r="C101" s="2422"/>
      <c r="D101" s="713" t="str">
        <f>B99&amp;".3"</f>
        <v>3.21.3</v>
      </c>
      <c r="E101" s="1691" t="s">
        <v>1042</v>
      </c>
      <c r="F101" s="2287" t="s">
        <v>390</v>
      </c>
      <c r="G101" s="1762" t="s">
        <v>22</v>
      </c>
      <c r="H101" s="842" t="s">
        <v>22</v>
      </c>
      <c r="I101" s="1762"/>
      <c r="J101" s="842" t="s">
        <v>22</v>
      </c>
      <c r="K101" s="1762" t="s">
        <v>22</v>
      </c>
      <c r="L101" s="842" t="s">
        <v>22</v>
      </c>
      <c r="M101" s="2943" t="s">
        <v>22</v>
      </c>
      <c r="N101" s="2940" t="s">
        <v>22</v>
      </c>
      <c r="O101" s="1762" t="s">
        <v>22</v>
      </c>
      <c r="P101" s="842" t="s">
        <v>22</v>
      </c>
      <c r="Q101" s="1762" t="s">
        <v>22</v>
      </c>
      <c r="R101" s="842" t="s">
        <v>22</v>
      </c>
      <c r="S101" s="1762" t="s">
        <v>22</v>
      </c>
      <c r="T101" s="842" t="s">
        <v>22</v>
      </c>
      <c r="U101" s="1762" t="s">
        <v>22</v>
      </c>
      <c r="V101" s="842" t="s">
        <v>22</v>
      </c>
      <c r="W101" s="1762" t="s">
        <v>22</v>
      </c>
      <c r="X101" s="842" t="s">
        <v>22</v>
      </c>
      <c r="Y101" s="1762" t="s">
        <v>22</v>
      </c>
      <c r="Z101" s="842" t="s">
        <v>22</v>
      </c>
      <c r="AA101" s="2943" t="s">
        <v>22</v>
      </c>
      <c r="AB101" s="2940" t="s">
        <v>22</v>
      </c>
      <c r="AC101" s="1762" t="s">
        <v>22</v>
      </c>
      <c r="AD101" s="842" t="s">
        <v>22</v>
      </c>
      <c r="AE101" s="1762" t="s">
        <v>22</v>
      </c>
      <c r="AF101" s="842" t="s">
        <v>22</v>
      </c>
      <c r="AG101" s="2943" t="s">
        <v>22</v>
      </c>
      <c r="AH101" s="2940" t="s">
        <v>22</v>
      </c>
      <c r="AI101" s="1762" t="s">
        <v>22</v>
      </c>
      <c r="AJ101" s="842" t="s">
        <v>22</v>
      </c>
      <c r="AK101" s="1762" t="s">
        <v>22</v>
      </c>
      <c r="AL101" s="842" t="s">
        <v>22</v>
      </c>
      <c r="AM101" s="1549" t="s">
        <v>1043</v>
      </c>
      <c r="AN101" s="1659"/>
      <c r="AO101" s="1659"/>
      <c r="AP101" s="1659"/>
      <c r="AQ101" s="1659"/>
      <c r="AR101" s="1659"/>
      <c r="AS101" s="1659"/>
      <c r="AT101" s="1659"/>
      <c r="AU101" s="1659"/>
      <c r="AV101" s="1659"/>
      <c r="AW101" s="699"/>
      <c r="AX101" s="1659">
        <v>0</v>
      </c>
    </row>
    <row s="1874" customFormat="1" customHeight="1" ht="22.5">
      <c r="A102" s="1659"/>
      <c r="B102" s="2421" t="s">
        <v>1086</v>
      </c>
      <c r="C102" s="2422" t="s">
        <v>104</v>
      </c>
      <c r="D102" s="713" t="str">
        <f>B102&amp;".1"</f>
        <v>3.22.1</v>
      </c>
      <c r="E102" s="1691" t="s">
        <v>1039</v>
      </c>
      <c r="F102" s="2287" t="s">
        <v>390</v>
      </c>
      <c r="G102" s="2377" t="s">
        <v>22</v>
      </c>
      <c r="H102" s="842" t="s">
        <v>22</v>
      </c>
      <c r="I102" s="2377" t="s">
        <v>1059</v>
      </c>
      <c r="J102" s="842" t="s">
        <v>22</v>
      </c>
      <c r="K102" s="2377" t="s">
        <v>22</v>
      </c>
      <c r="L102" s="842" t="s">
        <v>22</v>
      </c>
      <c r="M102" s="2942" t="s">
        <v>22</v>
      </c>
      <c r="N102" s="2940" t="s">
        <v>22</v>
      </c>
      <c r="O102" s="2377" t="s">
        <v>1059</v>
      </c>
      <c r="P102" s="842" t="s">
        <v>22</v>
      </c>
      <c r="Q102" s="2377" t="s">
        <v>1059</v>
      </c>
      <c r="R102" s="842" t="s">
        <v>22</v>
      </c>
      <c r="S102" s="2377" t="s">
        <v>1059</v>
      </c>
      <c r="T102" s="842" t="s">
        <v>22</v>
      </c>
      <c r="U102" s="2377" t="s">
        <v>1059</v>
      </c>
      <c r="V102" s="842" t="s">
        <v>22</v>
      </c>
      <c r="W102" s="2377" t="s">
        <v>22</v>
      </c>
      <c r="X102" s="842" t="s">
        <v>22</v>
      </c>
      <c r="Y102" s="2377" t="s">
        <v>22</v>
      </c>
      <c r="Z102" s="842" t="s">
        <v>22</v>
      </c>
      <c r="AA102" s="2942" t="s">
        <v>22</v>
      </c>
      <c r="AB102" s="2940" t="s">
        <v>22</v>
      </c>
      <c r="AC102" s="2377" t="s">
        <v>1064</v>
      </c>
      <c r="AD102" s="842" t="s">
        <v>22</v>
      </c>
      <c r="AE102" s="2377" t="s">
        <v>1064</v>
      </c>
      <c r="AF102" s="842" t="s">
        <v>22</v>
      </c>
      <c r="AG102" s="2942" t="s">
        <v>22</v>
      </c>
      <c r="AH102" s="2940" t="s">
        <v>22</v>
      </c>
      <c r="AI102" s="2377" t="s">
        <v>1059</v>
      </c>
      <c r="AJ102" s="842" t="s">
        <v>22</v>
      </c>
      <c r="AK102" s="2377" t="s">
        <v>22</v>
      </c>
      <c r="AL102" s="842" t="s">
        <v>22</v>
      </c>
      <c r="AM102" s="1549"/>
      <c r="AN102" s="1659"/>
      <c r="AO102" s="1659"/>
      <c r="AP102" s="1659"/>
      <c r="AQ102" s="1659"/>
      <c r="AR102" s="1659"/>
      <c r="AS102" s="1659"/>
      <c r="AT102" s="1659"/>
      <c r="AU102" s="1659"/>
      <c r="AV102" s="1659"/>
      <c r="AW102" s="699"/>
      <c r="AX102" s="1659">
        <v>0</v>
      </c>
    </row>
    <row s="1874" customFormat="1" customHeight="1" ht="15">
      <c r="A103" s="1659"/>
      <c r="B103" s="2421"/>
      <c r="C103" s="2422"/>
      <c r="D103" s="713" t="str">
        <f>B102&amp;".2"</f>
        <v>3.22.2</v>
      </c>
      <c r="E103" s="1691" t="s">
        <v>1040</v>
      </c>
      <c r="F103" s="2287" t="s">
        <v>390</v>
      </c>
      <c r="G103" s="1762" t="s">
        <v>22</v>
      </c>
      <c r="H103" s="842" t="s">
        <v>22</v>
      </c>
      <c r="I103" s="1762">
        <v>46113</v>
      </c>
      <c r="J103" s="842" t="s">
        <v>22</v>
      </c>
      <c r="K103" s="1762" t="s">
        <v>22</v>
      </c>
      <c r="L103" s="842" t="s">
        <v>22</v>
      </c>
      <c r="M103" s="2943" t="s">
        <v>22</v>
      </c>
      <c r="N103" s="2940" t="s">
        <v>22</v>
      </c>
      <c r="O103" s="1762">
        <v>46122</v>
      </c>
      <c r="P103" s="842" t="s">
        <v>22</v>
      </c>
      <c r="Q103" s="1762">
        <v>46113</v>
      </c>
      <c r="R103" s="842" t="s">
        <v>22</v>
      </c>
      <c r="S103" s="1762">
        <v>46113</v>
      </c>
      <c r="T103" s="842" t="s">
        <v>22</v>
      </c>
      <c r="U103" s="1762">
        <v>46116</v>
      </c>
      <c r="V103" s="842" t="s">
        <v>22</v>
      </c>
      <c r="W103" s="1762" t="s">
        <v>22</v>
      </c>
      <c r="X103" s="842" t="s">
        <v>22</v>
      </c>
      <c r="Y103" s="1762" t="s">
        <v>22</v>
      </c>
      <c r="Z103" s="842" t="s">
        <v>22</v>
      </c>
      <c r="AA103" s="2943" t="s">
        <v>22</v>
      </c>
      <c r="AB103" s="2940" t="s">
        <v>22</v>
      </c>
      <c r="AC103" s="1762">
        <v>46127</v>
      </c>
      <c r="AD103" s="842" t="s">
        <v>22</v>
      </c>
      <c r="AE103" s="1762">
        <v>46128</v>
      </c>
      <c r="AF103" s="842" t="s">
        <v>22</v>
      </c>
      <c r="AG103" s="2943" t="s">
        <v>22</v>
      </c>
      <c r="AH103" s="2940" t="s">
        <v>22</v>
      </c>
      <c r="AI103" s="1762">
        <v>46126</v>
      </c>
      <c r="AJ103" s="842" t="s">
        <v>22</v>
      </c>
      <c r="AK103" s="1762" t="s">
        <v>22</v>
      </c>
      <c r="AL103" s="842" t="s">
        <v>22</v>
      </c>
      <c r="AM103" s="1549" t="s">
        <v>1041</v>
      </c>
      <c r="AN103" s="1659"/>
      <c r="AO103" s="1659"/>
      <c r="AP103" s="1659"/>
      <c r="AQ103" s="1659"/>
      <c r="AR103" s="1659"/>
      <c r="AS103" s="1659"/>
      <c r="AT103" s="1659"/>
      <c r="AU103" s="1659"/>
      <c r="AV103" s="1659"/>
      <c r="AW103" s="699"/>
      <c r="AX103" s="1659">
        <v>0</v>
      </c>
    </row>
    <row s="1874" customFormat="1" customHeight="1" ht="15">
      <c r="A104" s="1659"/>
      <c r="B104" s="2421"/>
      <c r="C104" s="2422"/>
      <c r="D104" s="713" t="str">
        <f>B102&amp;".3"</f>
        <v>3.22.3</v>
      </c>
      <c r="E104" s="1691" t="s">
        <v>1042</v>
      </c>
      <c r="F104" s="2287" t="s">
        <v>390</v>
      </c>
      <c r="G104" s="1762" t="s">
        <v>22</v>
      </c>
      <c r="H104" s="842" t="s">
        <v>22</v>
      </c>
      <c r="I104" s="1762"/>
      <c r="J104" s="842" t="s">
        <v>22</v>
      </c>
      <c r="K104" s="1762" t="s">
        <v>22</v>
      </c>
      <c r="L104" s="842" t="s">
        <v>22</v>
      </c>
      <c r="M104" s="2943" t="s">
        <v>22</v>
      </c>
      <c r="N104" s="2940" t="s">
        <v>22</v>
      </c>
      <c r="O104" s="1762" t="s">
        <v>22</v>
      </c>
      <c r="P104" s="842" t="s">
        <v>22</v>
      </c>
      <c r="Q104" s="1762" t="s">
        <v>22</v>
      </c>
      <c r="R104" s="842" t="s">
        <v>22</v>
      </c>
      <c r="S104" s="1762" t="s">
        <v>22</v>
      </c>
      <c r="T104" s="842" t="s">
        <v>22</v>
      </c>
      <c r="U104" s="1762" t="s">
        <v>22</v>
      </c>
      <c r="V104" s="842" t="s">
        <v>22</v>
      </c>
      <c r="W104" s="1762" t="s">
        <v>22</v>
      </c>
      <c r="X104" s="842" t="s">
        <v>22</v>
      </c>
      <c r="Y104" s="1762" t="s">
        <v>22</v>
      </c>
      <c r="Z104" s="842" t="s">
        <v>22</v>
      </c>
      <c r="AA104" s="2943" t="s">
        <v>22</v>
      </c>
      <c r="AB104" s="2940" t="s">
        <v>22</v>
      </c>
      <c r="AC104" s="1762" t="s">
        <v>22</v>
      </c>
      <c r="AD104" s="842" t="s">
        <v>22</v>
      </c>
      <c r="AE104" s="1762" t="s">
        <v>22</v>
      </c>
      <c r="AF104" s="842" t="s">
        <v>22</v>
      </c>
      <c r="AG104" s="2943" t="s">
        <v>22</v>
      </c>
      <c r="AH104" s="2940" t="s">
        <v>22</v>
      </c>
      <c r="AI104" s="1762" t="s">
        <v>22</v>
      </c>
      <c r="AJ104" s="842" t="s">
        <v>22</v>
      </c>
      <c r="AK104" s="1762" t="s">
        <v>22</v>
      </c>
      <c r="AL104" s="842" t="s">
        <v>22</v>
      </c>
      <c r="AM104" s="1549" t="s">
        <v>1043</v>
      </c>
      <c r="AN104" s="1659"/>
      <c r="AO104" s="1659"/>
      <c r="AP104" s="1659"/>
      <c r="AQ104" s="1659"/>
      <c r="AR104" s="1659"/>
      <c r="AS104" s="1659"/>
      <c r="AT104" s="1659"/>
      <c r="AU104" s="1659"/>
      <c r="AV104" s="1659"/>
      <c r="AW104" s="699"/>
      <c r="AX104" s="1659">
        <v>0</v>
      </c>
    </row>
    <row s="1874" customFormat="1" customHeight="1" ht="22.5">
      <c r="A105" s="1659"/>
      <c r="B105" s="2421" t="s">
        <v>1087</v>
      </c>
      <c r="C105" s="2422" t="s">
        <v>104</v>
      </c>
      <c r="D105" s="713" t="str">
        <f>B105&amp;".1"</f>
        <v>3.23.1</v>
      </c>
      <c r="E105" s="1691" t="s">
        <v>1039</v>
      </c>
      <c r="F105" s="2287" t="s">
        <v>390</v>
      </c>
      <c r="G105" s="2377" t="s">
        <v>22</v>
      </c>
      <c r="H105" s="842" t="s">
        <v>22</v>
      </c>
      <c r="I105" s="2377" t="s">
        <v>1059</v>
      </c>
      <c r="J105" s="842" t="s">
        <v>22</v>
      </c>
      <c r="K105" s="2377" t="s">
        <v>22</v>
      </c>
      <c r="L105" s="842" t="s">
        <v>22</v>
      </c>
      <c r="M105" s="2942" t="s">
        <v>22</v>
      </c>
      <c r="N105" s="2940" t="s">
        <v>22</v>
      </c>
      <c r="O105" s="2377" t="s">
        <v>1059</v>
      </c>
      <c r="P105" s="842" t="s">
        <v>22</v>
      </c>
      <c r="Q105" s="2377" t="s">
        <v>1059</v>
      </c>
      <c r="R105" s="842" t="s">
        <v>22</v>
      </c>
      <c r="S105" s="2377" t="s">
        <v>1059</v>
      </c>
      <c r="T105" s="842" t="s">
        <v>22</v>
      </c>
      <c r="U105" s="2377" t="s">
        <v>1059</v>
      </c>
      <c r="V105" s="842" t="s">
        <v>22</v>
      </c>
      <c r="W105" s="2377" t="s">
        <v>22</v>
      </c>
      <c r="X105" s="842" t="s">
        <v>22</v>
      </c>
      <c r="Y105" s="2377" t="s">
        <v>22</v>
      </c>
      <c r="Z105" s="842" t="s">
        <v>22</v>
      </c>
      <c r="AA105" s="2942" t="s">
        <v>22</v>
      </c>
      <c r="AB105" s="2940" t="s">
        <v>22</v>
      </c>
      <c r="AC105" s="2377" t="s">
        <v>1059</v>
      </c>
      <c r="AD105" s="842" t="s">
        <v>22</v>
      </c>
      <c r="AE105" s="2377" t="s">
        <v>1079</v>
      </c>
      <c r="AF105" s="842" t="s">
        <v>22</v>
      </c>
      <c r="AG105" s="2942" t="s">
        <v>22</v>
      </c>
      <c r="AH105" s="2940" t="s">
        <v>22</v>
      </c>
      <c r="AI105" s="2377" t="s">
        <v>1059</v>
      </c>
      <c r="AJ105" s="842" t="s">
        <v>22</v>
      </c>
      <c r="AK105" s="2377" t="s">
        <v>22</v>
      </c>
      <c r="AL105" s="842" t="s">
        <v>22</v>
      </c>
      <c r="AM105" s="1549"/>
      <c r="AN105" s="1659"/>
      <c r="AO105" s="1659"/>
      <c r="AP105" s="1659"/>
      <c r="AQ105" s="1659"/>
      <c r="AR105" s="1659"/>
      <c r="AS105" s="1659"/>
      <c r="AT105" s="1659"/>
      <c r="AU105" s="1659"/>
      <c r="AV105" s="1659"/>
      <c r="AW105" s="699"/>
      <c r="AX105" s="1659">
        <v>0</v>
      </c>
    </row>
    <row s="1874" customFormat="1" customHeight="1" ht="15">
      <c r="A106" s="1659"/>
      <c r="B106" s="2421"/>
      <c r="C106" s="2422"/>
      <c r="D106" s="713" t="str">
        <f>B105&amp;".2"</f>
        <v>3.23.2</v>
      </c>
      <c r="E106" s="1691" t="s">
        <v>1040</v>
      </c>
      <c r="F106" s="2287" t="s">
        <v>390</v>
      </c>
      <c r="G106" s="1762" t="s">
        <v>22</v>
      </c>
      <c r="H106" s="842" t="s">
        <v>22</v>
      </c>
      <c r="I106" s="1762">
        <v>46113</v>
      </c>
      <c r="J106" s="842" t="s">
        <v>22</v>
      </c>
      <c r="K106" s="1762" t="s">
        <v>22</v>
      </c>
      <c r="L106" s="842" t="s">
        <v>22</v>
      </c>
      <c r="M106" s="2943" t="s">
        <v>22</v>
      </c>
      <c r="N106" s="2940" t="s">
        <v>22</v>
      </c>
      <c r="O106" s="1762">
        <v>46125</v>
      </c>
      <c r="P106" s="842" t="s">
        <v>22</v>
      </c>
      <c r="Q106" s="1762">
        <v>46113</v>
      </c>
      <c r="R106" s="842" t="s">
        <v>22</v>
      </c>
      <c r="S106" s="1762">
        <v>46113</v>
      </c>
      <c r="T106" s="842" t="s">
        <v>22</v>
      </c>
      <c r="U106" s="1762">
        <v>46116</v>
      </c>
      <c r="V106" s="842" t="s">
        <v>22</v>
      </c>
      <c r="W106" s="1762" t="s">
        <v>22</v>
      </c>
      <c r="X106" s="842" t="s">
        <v>22</v>
      </c>
      <c r="Y106" s="1762" t="s">
        <v>22</v>
      </c>
      <c r="Z106" s="842" t="s">
        <v>22</v>
      </c>
      <c r="AA106" s="2943" t="s">
        <v>22</v>
      </c>
      <c r="AB106" s="2940" t="s">
        <v>22</v>
      </c>
      <c r="AC106" s="1762">
        <v>46127</v>
      </c>
      <c r="AD106" s="842" t="s">
        <v>22</v>
      </c>
      <c r="AE106" s="1762">
        <v>46128</v>
      </c>
      <c r="AF106" s="842" t="s">
        <v>22</v>
      </c>
      <c r="AG106" s="2943" t="s">
        <v>22</v>
      </c>
      <c r="AH106" s="2940" t="s">
        <v>22</v>
      </c>
      <c r="AI106" s="1762">
        <v>46126</v>
      </c>
      <c r="AJ106" s="842" t="s">
        <v>22</v>
      </c>
      <c r="AK106" s="1762" t="s">
        <v>22</v>
      </c>
      <c r="AL106" s="842" t="s">
        <v>22</v>
      </c>
      <c r="AM106" s="1549" t="s">
        <v>1041</v>
      </c>
      <c r="AN106" s="1659"/>
      <c r="AO106" s="1659"/>
      <c r="AP106" s="1659"/>
      <c r="AQ106" s="1659"/>
      <c r="AR106" s="1659"/>
      <c r="AS106" s="1659"/>
      <c r="AT106" s="1659"/>
      <c r="AU106" s="1659"/>
      <c r="AV106" s="1659"/>
      <c r="AW106" s="699"/>
      <c r="AX106" s="1659">
        <v>0</v>
      </c>
    </row>
    <row s="1874" customFormat="1" customHeight="1" ht="15">
      <c r="A107" s="1659"/>
      <c r="B107" s="2421"/>
      <c r="C107" s="2422"/>
      <c r="D107" s="713" t="str">
        <f>B105&amp;".3"</f>
        <v>3.23.3</v>
      </c>
      <c r="E107" s="1691" t="s">
        <v>1042</v>
      </c>
      <c r="F107" s="2287" t="s">
        <v>390</v>
      </c>
      <c r="G107" s="1762" t="s">
        <v>22</v>
      </c>
      <c r="H107" s="842" t="s">
        <v>22</v>
      </c>
      <c r="I107" s="1762" t="s">
        <v>22</v>
      </c>
      <c r="J107" s="842" t="s">
        <v>22</v>
      </c>
      <c r="K107" s="1762" t="s">
        <v>22</v>
      </c>
      <c r="L107" s="842" t="s">
        <v>22</v>
      </c>
      <c r="M107" s="2943" t="s">
        <v>22</v>
      </c>
      <c r="N107" s="2940" t="s">
        <v>22</v>
      </c>
      <c r="O107" s="1762" t="s">
        <v>22</v>
      </c>
      <c r="P107" s="842" t="s">
        <v>22</v>
      </c>
      <c r="Q107" s="1762" t="s">
        <v>22</v>
      </c>
      <c r="R107" s="842" t="s">
        <v>22</v>
      </c>
      <c r="S107" s="1762" t="s">
        <v>22</v>
      </c>
      <c r="T107" s="842" t="s">
        <v>22</v>
      </c>
      <c r="U107" s="1762" t="s">
        <v>22</v>
      </c>
      <c r="V107" s="842" t="s">
        <v>22</v>
      </c>
      <c r="W107" s="1762" t="s">
        <v>22</v>
      </c>
      <c r="X107" s="842" t="s">
        <v>22</v>
      </c>
      <c r="Y107" s="1762" t="s">
        <v>22</v>
      </c>
      <c r="Z107" s="842" t="s">
        <v>22</v>
      </c>
      <c r="AA107" s="2943" t="s">
        <v>22</v>
      </c>
      <c r="AB107" s="2940" t="s">
        <v>22</v>
      </c>
      <c r="AC107" s="1762" t="s">
        <v>22</v>
      </c>
      <c r="AD107" s="842" t="s">
        <v>22</v>
      </c>
      <c r="AE107" s="1762" t="s">
        <v>22</v>
      </c>
      <c r="AF107" s="842" t="s">
        <v>22</v>
      </c>
      <c r="AG107" s="2943" t="s">
        <v>22</v>
      </c>
      <c r="AH107" s="2940" t="s">
        <v>22</v>
      </c>
      <c r="AI107" s="1762" t="s">
        <v>22</v>
      </c>
      <c r="AJ107" s="842" t="s">
        <v>22</v>
      </c>
      <c r="AK107" s="1762" t="s">
        <v>22</v>
      </c>
      <c r="AL107" s="842" t="s">
        <v>22</v>
      </c>
      <c r="AM107" s="1549" t="s">
        <v>1043</v>
      </c>
      <c r="AN107" s="1659"/>
      <c r="AO107" s="1659"/>
      <c r="AP107" s="1659"/>
      <c r="AQ107" s="1659"/>
      <c r="AR107" s="1659"/>
      <c r="AS107" s="1659"/>
      <c r="AT107" s="1659"/>
      <c r="AU107" s="1659"/>
      <c r="AV107" s="1659"/>
      <c r="AW107" s="699"/>
      <c r="AX107" s="1659">
        <v>0</v>
      </c>
    </row>
    <row s="1874" customFormat="1" customHeight="1" ht="22.5">
      <c r="A108" s="1659"/>
      <c r="B108" s="2421" t="s">
        <v>1088</v>
      </c>
      <c r="C108" s="2422" t="s">
        <v>104</v>
      </c>
      <c r="D108" s="713" t="str">
        <f>B108&amp;".1"</f>
        <v>3.24.1</v>
      </c>
      <c r="E108" s="1691" t="s">
        <v>1039</v>
      </c>
      <c r="F108" s="2287" t="s">
        <v>390</v>
      </c>
      <c r="G108" s="2377" t="s">
        <v>22</v>
      </c>
      <c r="H108" s="842" t="s">
        <v>22</v>
      </c>
      <c r="I108" s="2377" t="s">
        <v>1059</v>
      </c>
      <c r="J108" s="842" t="s">
        <v>22</v>
      </c>
      <c r="K108" s="2377" t="s">
        <v>22</v>
      </c>
      <c r="L108" s="842" t="s">
        <v>22</v>
      </c>
      <c r="M108" s="2942" t="s">
        <v>22</v>
      </c>
      <c r="N108" s="2940" t="s">
        <v>22</v>
      </c>
      <c r="O108" s="2377" t="s">
        <v>1059</v>
      </c>
      <c r="P108" s="842" t="s">
        <v>22</v>
      </c>
      <c r="Q108" s="2377" t="s">
        <v>1059</v>
      </c>
      <c r="R108" s="842" t="s">
        <v>22</v>
      </c>
      <c r="S108" s="2377" t="s">
        <v>1059</v>
      </c>
      <c r="T108" s="842" t="s">
        <v>22</v>
      </c>
      <c r="U108" s="2377" t="s">
        <v>1059</v>
      </c>
      <c r="V108" s="842" t="s">
        <v>22</v>
      </c>
      <c r="W108" s="2377" t="s">
        <v>22</v>
      </c>
      <c r="X108" s="842" t="s">
        <v>22</v>
      </c>
      <c r="Y108" s="2377" t="s">
        <v>22</v>
      </c>
      <c r="Z108" s="842" t="s">
        <v>22</v>
      </c>
      <c r="AA108" s="2942" t="s">
        <v>22</v>
      </c>
      <c r="AB108" s="2940" t="s">
        <v>22</v>
      </c>
      <c r="AC108" s="2377" t="s">
        <v>1059</v>
      </c>
      <c r="AD108" s="842" t="s">
        <v>22</v>
      </c>
      <c r="AE108" s="2377" t="s">
        <v>1059</v>
      </c>
      <c r="AF108" s="842" t="s">
        <v>22</v>
      </c>
      <c r="AG108" s="2942" t="s">
        <v>22</v>
      </c>
      <c r="AH108" s="2940" t="s">
        <v>22</v>
      </c>
      <c r="AI108" s="2377" t="s">
        <v>1059</v>
      </c>
      <c r="AJ108" s="842" t="s">
        <v>22</v>
      </c>
      <c r="AK108" s="2377" t="s">
        <v>22</v>
      </c>
      <c r="AL108" s="842" t="s">
        <v>22</v>
      </c>
      <c r="AM108" s="1549"/>
      <c r="AN108" s="1659"/>
      <c r="AO108" s="1659"/>
      <c r="AP108" s="1659"/>
      <c r="AQ108" s="1659"/>
      <c r="AR108" s="1659"/>
      <c r="AS108" s="1659"/>
      <c r="AT108" s="1659"/>
      <c r="AU108" s="1659"/>
      <c r="AV108" s="1659"/>
      <c r="AW108" s="699"/>
      <c r="AX108" s="1659">
        <v>0</v>
      </c>
    </row>
    <row s="1874" customFormat="1" customHeight="1" ht="15">
      <c r="A109" s="1659"/>
      <c r="B109" s="2421"/>
      <c r="C109" s="2422"/>
      <c r="D109" s="713" t="str">
        <f>B108&amp;".2"</f>
        <v>3.24.2</v>
      </c>
      <c r="E109" s="1691" t="s">
        <v>1040</v>
      </c>
      <c r="F109" s="2287" t="s">
        <v>390</v>
      </c>
      <c r="G109" s="1762" t="s">
        <v>22</v>
      </c>
      <c r="H109" s="842" t="s">
        <v>22</v>
      </c>
      <c r="I109" s="1762">
        <v>46113</v>
      </c>
      <c r="J109" s="842" t="s">
        <v>22</v>
      </c>
      <c r="K109" s="1762" t="s">
        <v>22</v>
      </c>
      <c r="L109" s="842" t="s">
        <v>22</v>
      </c>
      <c r="M109" s="2943" t="s">
        <v>22</v>
      </c>
      <c r="N109" s="2940" t="s">
        <v>22</v>
      </c>
      <c r="O109" s="1762">
        <v>46125</v>
      </c>
      <c r="P109" s="842" t="s">
        <v>22</v>
      </c>
      <c r="Q109" s="1762">
        <v>46113</v>
      </c>
      <c r="R109" s="842" t="s">
        <v>22</v>
      </c>
      <c r="S109" s="1762">
        <v>46113</v>
      </c>
      <c r="T109" s="842" t="s">
        <v>22</v>
      </c>
      <c r="U109" s="1762">
        <v>46116</v>
      </c>
      <c r="V109" s="842" t="s">
        <v>22</v>
      </c>
      <c r="W109" s="1762" t="s">
        <v>22</v>
      </c>
      <c r="X109" s="842" t="s">
        <v>22</v>
      </c>
      <c r="Y109" s="1762" t="s">
        <v>22</v>
      </c>
      <c r="Z109" s="842" t="s">
        <v>22</v>
      </c>
      <c r="AA109" s="2943" t="s">
        <v>22</v>
      </c>
      <c r="AB109" s="2940" t="s">
        <v>22</v>
      </c>
      <c r="AC109" s="1762">
        <v>46127</v>
      </c>
      <c r="AD109" s="842" t="s">
        <v>22</v>
      </c>
      <c r="AE109" s="1762">
        <v>46128</v>
      </c>
      <c r="AF109" s="842" t="s">
        <v>22</v>
      </c>
      <c r="AG109" s="2943" t="s">
        <v>22</v>
      </c>
      <c r="AH109" s="2940" t="s">
        <v>22</v>
      </c>
      <c r="AI109" s="1762">
        <v>46126</v>
      </c>
      <c r="AJ109" s="842" t="s">
        <v>22</v>
      </c>
      <c r="AK109" s="1762" t="s">
        <v>22</v>
      </c>
      <c r="AL109" s="842" t="s">
        <v>22</v>
      </c>
      <c r="AM109" s="1549" t="s">
        <v>1041</v>
      </c>
      <c r="AN109" s="1659"/>
      <c r="AO109" s="1659"/>
      <c r="AP109" s="1659"/>
      <c r="AQ109" s="1659"/>
      <c r="AR109" s="1659"/>
      <c r="AS109" s="1659"/>
      <c r="AT109" s="1659"/>
      <c r="AU109" s="1659"/>
      <c r="AV109" s="1659"/>
      <c r="AW109" s="699"/>
      <c r="AX109" s="1659">
        <v>0</v>
      </c>
    </row>
    <row s="1874" customFormat="1" customHeight="1" ht="15">
      <c r="A110" s="1659"/>
      <c r="B110" s="2421"/>
      <c r="C110" s="2422"/>
      <c r="D110" s="713" t="str">
        <f>B108&amp;".3"</f>
        <v>3.24.3</v>
      </c>
      <c r="E110" s="1691" t="s">
        <v>1042</v>
      </c>
      <c r="F110" s="2287" t="s">
        <v>390</v>
      </c>
      <c r="G110" s="1762" t="s">
        <v>22</v>
      </c>
      <c r="H110" s="842" t="s">
        <v>22</v>
      </c>
      <c r="I110" s="1762"/>
      <c r="J110" s="842" t="s">
        <v>22</v>
      </c>
      <c r="K110" s="1762" t="s">
        <v>22</v>
      </c>
      <c r="L110" s="842" t="s">
        <v>22</v>
      </c>
      <c r="M110" s="2943" t="s">
        <v>22</v>
      </c>
      <c r="N110" s="2940" t="s">
        <v>22</v>
      </c>
      <c r="O110" s="1762" t="s">
        <v>22</v>
      </c>
      <c r="P110" s="842" t="s">
        <v>22</v>
      </c>
      <c r="Q110" s="1762" t="s">
        <v>22</v>
      </c>
      <c r="R110" s="842" t="s">
        <v>22</v>
      </c>
      <c r="S110" s="1762" t="s">
        <v>22</v>
      </c>
      <c r="T110" s="842" t="s">
        <v>22</v>
      </c>
      <c r="U110" s="1762" t="s">
        <v>22</v>
      </c>
      <c r="V110" s="842" t="s">
        <v>22</v>
      </c>
      <c r="W110" s="1762" t="s">
        <v>22</v>
      </c>
      <c r="X110" s="842" t="s">
        <v>22</v>
      </c>
      <c r="Y110" s="1762" t="s">
        <v>22</v>
      </c>
      <c r="Z110" s="842" t="s">
        <v>22</v>
      </c>
      <c r="AA110" s="2943" t="s">
        <v>22</v>
      </c>
      <c r="AB110" s="2940" t="s">
        <v>22</v>
      </c>
      <c r="AC110" s="1762" t="s">
        <v>22</v>
      </c>
      <c r="AD110" s="842" t="s">
        <v>22</v>
      </c>
      <c r="AE110" s="1762" t="s">
        <v>22</v>
      </c>
      <c r="AF110" s="842" t="s">
        <v>22</v>
      </c>
      <c r="AG110" s="2943" t="s">
        <v>22</v>
      </c>
      <c r="AH110" s="2940" t="s">
        <v>22</v>
      </c>
      <c r="AI110" s="1762" t="s">
        <v>22</v>
      </c>
      <c r="AJ110" s="842" t="s">
        <v>22</v>
      </c>
      <c r="AK110" s="1762" t="s">
        <v>22</v>
      </c>
      <c r="AL110" s="842" t="s">
        <v>22</v>
      </c>
      <c r="AM110" s="1549" t="s">
        <v>1043</v>
      </c>
      <c r="AN110" s="1659"/>
      <c r="AO110" s="1659"/>
      <c r="AP110" s="1659"/>
      <c r="AQ110" s="1659"/>
      <c r="AR110" s="1659"/>
      <c r="AS110" s="1659"/>
      <c r="AT110" s="1659"/>
      <c r="AU110" s="1659"/>
      <c r="AV110" s="1659"/>
      <c r="AW110" s="699"/>
      <c r="AX110" s="1659">
        <v>0</v>
      </c>
    </row>
    <row s="1874" customFormat="1" customHeight="1" ht="22.5">
      <c r="A111" s="1659"/>
      <c r="B111" s="2421" t="s">
        <v>1089</v>
      </c>
      <c r="C111" s="2422" t="s">
        <v>104</v>
      </c>
      <c r="D111" s="713" t="str">
        <f>B111&amp;".1"</f>
        <v>3.25.1</v>
      </c>
      <c r="E111" s="1691" t="s">
        <v>1039</v>
      </c>
      <c r="F111" s="2287" t="s">
        <v>390</v>
      </c>
      <c r="G111" s="2377" t="s">
        <v>22</v>
      </c>
      <c r="H111" s="842" t="s">
        <v>22</v>
      </c>
      <c r="I111" s="2377" t="s">
        <v>1059</v>
      </c>
      <c r="J111" s="842" t="s">
        <v>22</v>
      </c>
      <c r="K111" s="2377" t="s">
        <v>22</v>
      </c>
      <c r="L111" s="842" t="s">
        <v>22</v>
      </c>
      <c r="M111" s="2942" t="s">
        <v>22</v>
      </c>
      <c r="N111" s="2940" t="s">
        <v>22</v>
      </c>
      <c r="O111" s="2377" t="s">
        <v>1059</v>
      </c>
      <c r="P111" s="842" t="s">
        <v>22</v>
      </c>
      <c r="Q111" s="2377" t="s">
        <v>1059</v>
      </c>
      <c r="R111" s="842" t="s">
        <v>22</v>
      </c>
      <c r="S111" s="2377" t="s">
        <v>1059</v>
      </c>
      <c r="T111" s="842" t="s">
        <v>22</v>
      </c>
      <c r="U111" s="2377" t="s">
        <v>1059</v>
      </c>
      <c r="V111" s="842" t="s">
        <v>22</v>
      </c>
      <c r="W111" s="2377" t="s">
        <v>22</v>
      </c>
      <c r="X111" s="842" t="s">
        <v>22</v>
      </c>
      <c r="Y111" s="2377" t="s">
        <v>22</v>
      </c>
      <c r="Z111" s="842" t="s">
        <v>22</v>
      </c>
      <c r="AA111" s="2942" t="s">
        <v>22</v>
      </c>
      <c r="AB111" s="2940" t="s">
        <v>22</v>
      </c>
      <c r="AC111" s="2377" t="s">
        <v>1064</v>
      </c>
      <c r="AD111" s="842" t="s">
        <v>22</v>
      </c>
      <c r="AE111" s="2377" t="s">
        <v>1059</v>
      </c>
      <c r="AF111" s="842" t="s">
        <v>22</v>
      </c>
      <c r="AG111" s="2942" t="s">
        <v>22</v>
      </c>
      <c r="AH111" s="2940" t="s">
        <v>22</v>
      </c>
      <c r="AI111" s="2377" t="s">
        <v>1059</v>
      </c>
      <c r="AJ111" s="842" t="s">
        <v>22</v>
      </c>
      <c r="AK111" s="2377" t="s">
        <v>22</v>
      </c>
      <c r="AL111" s="842" t="s">
        <v>22</v>
      </c>
      <c r="AM111" s="1549"/>
      <c r="AN111" s="1659"/>
      <c r="AO111" s="1659"/>
      <c r="AP111" s="1659"/>
      <c r="AQ111" s="1659"/>
      <c r="AR111" s="1659"/>
      <c r="AS111" s="1659"/>
      <c r="AT111" s="1659"/>
      <c r="AU111" s="1659"/>
      <c r="AV111" s="1659"/>
      <c r="AW111" s="699"/>
      <c r="AX111" s="1659">
        <v>0</v>
      </c>
    </row>
    <row s="1874" customFormat="1" customHeight="1" ht="15">
      <c r="A112" s="1659"/>
      <c r="B112" s="2421"/>
      <c r="C112" s="2422"/>
      <c r="D112" s="713" t="str">
        <f>B111&amp;".2"</f>
        <v>3.25.2</v>
      </c>
      <c r="E112" s="1691" t="s">
        <v>1040</v>
      </c>
      <c r="F112" s="2287" t="s">
        <v>390</v>
      </c>
      <c r="G112" s="1762" t="s">
        <v>22</v>
      </c>
      <c r="H112" s="842" t="s">
        <v>22</v>
      </c>
      <c r="I112" s="1762">
        <v>46113</v>
      </c>
      <c r="J112" s="842" t="s">
        <v>22</v>
      </c>
      <c r="K112" s="1762" t="s">
        <v>22</v>
      </c>
      <c r="L112" s="842" t="s">
        <v>22</v>
      </c>
      <c r="M112" s="2943" t="s">
        <v>22</v>
      </c>
      <c r="N112" s="2940" t="s">
        <v>22</v>
      </c>
      <c r="O112" s="1762">
        <v>46125</v>
      </c>
      <c r="P112" s="842" t="s">
        <v>22</v>
      </c>
      <c r="Q112" s="1762">
        <v>46113</v>
      </c>
      <c r="R112" s="842" t="s">
        <v>22</v>
      </c>
      <c r="S112" s="1762">
        <v>46113</v>
      </c>
      <c r="T112" s="842" t="s">
        <v>22</v>
      </c>
      <c r="U112" s="1762">
        <v>46116</v>
      </c>
      <c r="V112" s="842" t="s">
        <v>22</v>
      </c>
      <c r="W112" s="1762" t="s">
        <v>22</v>
      </c>
      <c r="X112" s="842" t="s">
        <v>22</v>
      </c>
      <c r="Y112" s="1762" t="s">
        <v>22</v>
      </c>
      <c r="Z112" s="842" t="s">
        <v>22</v>
      </c>
      <c r="AA112" s="2943" t="s">
        <v>22</v>
      </c>
      <c r="AB112" s="2940" t="s">
        <v>22</v>
      </c>
      <c r="AC112" s="1762">
        <v>46127</v>
      </c>
      <c r="AD112" s="842" t="s">
        <v>22</v>
      </c>
      <c r="AE112" s="1762">
        <v>46128</v>
      </c>
      <c r="AF112" s="842" t="s">
        <v>22</v>
      </c>
      <c r="AG112" s="2943" t="s">
        <v>22</v>
      </c>
      <c r="AH112" s="2940" t="s">
        <v>22</v>
      </c>
      <c r="AI112" s="1762">
        <v>46127</v>
      </c>
      <c r="AJ112" s="842" t="s">
        <v>22</v>
      </c>
      <c r="AK112" s="1762" t="s">
        <v>22</v>
      </c>
      <c r="AL112" s="842" t="s">
        <v>22</v>
      </c>
      <c r="AM112" s="1549" t="s">
        <v>1041</v>
      </c>
      <c r="AN112" s="1659"/>
      <c r="AO112" s="1659"/>
      <c r="AP112" s="1659"/>
      <c r="AQ112" s="1659"/>
      <c r="AR112" s="1659"/>
      <c r="AS112" s="1659"/>
      <c r="AT112" s="1659"/>
      <c r="AU112" s="1659"/>
      <c r="AV112" s="1659"/>
      <c r="AW112" s="699"/>
      <c r="AX112" s="1659">
        <v>0</v>
      </c>
    </row>
    <row s="1874" customFormat="1" customHeight="1" ht="15">
      <c r="A113" s="1659"/>
      <c r="B113" s="2421"/>
      <c r="C113" s="2422"/>
      <c r="D113" s="713" t="str">
        <f>B111&amp;".3"</f>
        <v>3.25.3</v>
      </c>
      <c r="E113" s="1691" t="s">
        <v>1042</v>
      </c>
      <c r="F113" s="2287" t="s">
        <v>390</v>
      </c>
      <c r="G113" s="1762" t="s">
        <v>22</v>
      </c>
      <c r="H113" s="842" t="s">
        <v>22</v>
      </c>
      <c r="I113" s="1762"/>
      <c r="J113" s="842" t="s">
        <v>22</v>
      </c>
      <c r="K113" s="1762" t="s">
        <v>22</v>
      </c>
      <c r="L113" s="842" t="s">
        <v>22</v>
      </c>
      <c r="M113" s="2943" t="s">
        <v>22</v>
      </c>
      <c r="N113" s="2940" t="s">
        <v>22</v>
      </c>
      <c r="O113" s="1762" t="s">
        <v>22</v>
      </c>
      <c r="P113" s="842" t="s">
        <v>22</v>
      </c>
      <c r="Q113" s="1762" t="s">
        <v>22</v>
      </c>
      <c r="R113" s="842" t="s">
        <v>22</v>
      </c>
      <c r="S113" s="1762" t="s">
        <v>22</v>
      </c>
      <c r="T113" s="842" t="s">
        <v>22</v>
      </c>
      <c r="U113" s="1762" t="s">
        <v>22</v>
      </c>
      <c r="V113" s="842" t="s">
        <v>22</v>
      </c>
      <c r="W113" s="1762" t="s">
        <v>22</v>
      </c>
      <c r="X113" s="842" t="s">
        <v>22</v>
      </c>
      <c r="Y113" s="1762" t="s">
        <v>22</v>
      </c>
      <c r="Z113" s="842" t="s">
        <v>22</v>
      </c>
      <c r="AA113" s="2943" t="s">
        <v>22</v>
      </c>
      <c r="AB113" s="2940" t="s">
        <v>22</v>
      </c>
      <c r="AC113" s="1762" t="s">
        <v>22</v>
      </c>
      <c r="AD113" s="842" t="s">
        <v>22</v>
      </c>
      <c r="AE113" s="1762" t="s">
        <v>22</v>
      </c>
      <c r="AF113" s="842" t="s">
        <v>22</v>
      </c>
      <c r="AG113" s="2943" t="s">
        <v>22</v>
      </c>
      <c r="AH113" s="2940" t="s">
        <v>22</v>
      </c>
      <c r="AI113" s="1762" t="s">
        <v>22</v>
      </c>
      <c r="AJ113" s="842" t="s">
        <v>22</v>
      </c>
      <c r="AK113" s="1762" t="s">
        <v>22</v>
      </c>
      <c r="AL113" s="842" t="s">
        <v>22</v>
      </c>
      <c r="AM113" s="1549" t="s">
        <v>1043</v>
      </c>
      <c r="AN113" s="1659"/>
      <c r="AO113" s="1659"/>
      <c r="AP113" s="1659"/>
      <c r="AQ113" s="1659"/>
      <c r="AR113" s="1659"/>
      <c r="AS113" s="1659"/>
      <c r="AT113" s="1659"/>
      <c r="AU113" s="1659"/>
      <c r="AV113" s="1659"/>
      <c r="AW113" s="699"/>
      <c r="AX113" s="1659">
        <v>0</v>
      </c>
    </row>
    <row s="1874" customFormat="1" customHeight="1" ht="22.5">
      <c r="A114" s="1659"/>
      <c r="B114" s="2421" t="s">
        <v>1090</v>
      </c>
      <c r="C114" s="2422" t="s">
        <v>104</v>
      </c>
      <c r="D114" s="713" t="str">
        <f>B114&amp;".1"</f>
        <v>3.26.1</v>
      </c>
      <c r="E114" s="1691" t="s">
        <v>1039</v>
      </c>
      <c r="F114" s="2287" t="s">
        <v>390</v>
      </c>
      <c r="G114" s="2377" t="s">
        <v>22</v>
      </c>
      <c r="H114" s="842" t="s">
        <v>22</v>
      </c>
      <c r="I114" s="2377" t="s">
        <v>1059</v>
      </c>
      <c r="J114" s="842" t="s">
        <v>22</v>
      </c>
      <c r="K114" s="2377" t="s">
        <v>22</v>
      </c>
      <c r="L114" s="842" t="s">
        <v>22</v>
      </c>
      <c r="M114" s="2942" t="s">
        <v>22</v>
      </c>
      <c r="N114" s="2940" t="s">
        <v>22</v>
      </c>
      <c r="O114" s="2377" t="s">
        <v>1059</v>
      </c>
      <c r="P114" s="842" t="s">
        <v>22</v>
      </c>
      <c r="Q114" s="2377" t="s">
        <v>1059</v>
      </c>
      <c r="R114" s="842" t="s">
        <v>22</v>
      </c>
      <c r="S114" s="2377" t="s">
        <v>1059</v>
      </c>
      <c r="T114" s="842" t="s">
        <v>22</v>
      </c>
      <c r="U114" s="2377" t="s">
        <v>1059</v>
      </c>
      <c r="V114" s="842" t="s">
        <v>22</v>
      </c>
      <c r="W114" s="2377" t="s">
        <v>22</v>
      </c>
      <c r="X114" s="842" t="s">
        <v>22</v>
      </c>
      <c r="Y114" s="2377" t="s">
        <v>22</v>
      </c>
      <c r="Z114" s="842" t="s">
        <v>22</v>
      </c>
      <c r="AA114" s="2942" t="s">
        <v>22</v>
      </c>
      <c r="AB114" s="2940" t="s">
        <v>22</v>
      </c>
      <c r="AC114" s="2377" t="s">
        <v>1074</v>
      </c>
      <c r="AD114" s="842" t="s">
        <v>22</v>
      </c>
      <c r="AE114" s="2377" t="s">
        <v>1059</v>
      </c>
      <c r="AF114" s="842" t="s">
        <v>22</v>
      </c>
      <c r="AG114" s="2942" t="s">
        <v>22</v>
      </c>
      <c r="AH114" s="2940" t="s">
        <v>22</v>
      </c>
      <c r="AI114" s="2377" t="s">
        <v>1064</v>
      </c>
      <c r="AJ114" s="842" t="s">
        <v>22</v>
      </c>
      <c r="AK114" s="2377" t="s">
        <v>22</v>
      </c>
      <c r="AL114" s="842" t="s">
        <v>22</v>
      </c>
      <c r="AM114" s="1549"/>
      <c r="AN114" s="1659"/>
      <c r="AO114" s="1659"/>
      <c r="AP114" s="1659"/>
      <c r="AQ114" s="1659"/>
      <c r="AR114" s="1659"/>
      <c r="AS114" s="1659"/>
      <c r="AT114" s="1659"/>
      <c r="AU114" s="1659"/>
      <c r="AV114" s="1659"/>
      <c r="AW114" s="699"/>
      <c r="AX114" s="1659">
        <v>0</v>
      </c>
    </row>
    <row s="1874" customFormat="1" customHeight="1" ht="15">
      <c r="A115" s="1659"/>
      <c r="B115" s="2421"/>
      <c r="C115" s="2422"/>
      <c r="D115" s="713" t="str">
        <f>B114&amp;".2"</f>
        <v>3.26.2</v>
      </c>
      <c r="E115" s="1691" t="s">
        <v>1040</v>
      </c>
      <c r="F115" s="2287" t="s">
        <v>390</v>
      </c>
      <c r="G115" s="1762" t="s">
        <v>22</v>
      </c>
      <c r="H115" s="842" t="s">
        <v>22</v>
      </c>
      <c r="I115" s="1762">
        <v>46113</v>
      </c>
      <c r="J115" s="842" t="s">
        <v>22</v>
      </c>
      <c r="K115" s="1762" t="s">
        <v>22</v>
      </c>
      <c r="L115" s="842" t="s">
        <v>22</v>
      </c>
      <c r="M115" s="2943" t="s">
        <v>22</v>
      </c>
      <c r="N115" s="2940" t="s">
        <v>22</v>
      </c>
      <c r="O115" s="1762">
        <v>46126</v>
      </c>
      <c r="P115" s="842" t="s">
        <v>22</v>
      </c>
      <c r="Q115" s="1762">
        <v>46113</v>
      </c>
      <c r="R115" s="842" t="s">
        <v>22</v>
      </c>
      <c r="S115" s="1762">
        <v>46113</v>
      </c>
      <c r="T115" s="842" t="s">
        <v>22</v>
      </c>
      <c r="U115" s="1762">
        <v>46116</v>
      </c>
      <c r="V115" s="842" t="s">
        <v>22</v>
      </c>
      <c r="W115" s="1762" t="s">
        <v>22</v>
      </c>
      <c r="X115" s="842" t="s">
        <v>22</v>
      </c>
      <c r="Y115" s="1762" t="s">
        <v>22</v>
      </c>
      <c r="Z115" s="842" t="s">
        <v>22</v>
      </c>
      <c r="AA115" s="2943" t="s">
        <v>22</v>
      </c>
      <c r="AB115" s="2940" t="s">
        <v>22</v>
      </c>
      <c r="AC115" s="1762">
        <v>46127</v>
      </c>
      <c r="AD115" s="842" t="s">
        <v>22</v>
      </c>
      <c r="AE115" s="1762">
        <v>46129</v>
      </c>
      <c r="AF115" s="842" t="s">
        <v>22</v>
      </c>
      <c r="AG115" s="2943" t="s">
        <v>22</v>
      </c>
      <c r="AH115" s="2940" t="s">
        <v>22</v>
      </c>
      <c r="AI115" s="1762">
        <v>46127</v>
      </c>
      <c r="AJ115" s="842" t="s">
        <v>22</v>
      </c>
      <c r="AK115" s="1762" t="s">
        <v>22</v>
      </c>
      <c r="AL115" s="842" t="s">
        <v>22</v>
      </c>
      <c r="AM115" s="1549" t="s">
        <v>1041</v>
      </c>
      <c r="AN115" s="1659"/>
      <c r="AO115" s="1659"/>
      <c r="AP115" s="1659"/>
      <c r="AQ115" s="1659"/>
      <c r="AR115" s="1659"/>
      <c r="AS115" s="1659"/>
      <c r="AT115" s="1659"/>
      <c r="AU115" s="1659"/>
      <c r="AV115" s="1659"/>
      <c r="AW115" s="699"/>
      <c r="AX115" s="1659">
        <v>0</v>
      </c>
    </row>
    <row s="1874" customFormat="1" customHeight="1" ht="15">
      <c r="A116" s="1659"/>
      <c r="B116" s="2421"/>
      <c r="C116" s="2422"/>
      <c r="D116" s="713" t="str">
        <f>B114&amp;".3"</f>
        <v>3.26.3</v>
      </c>
      <c r="E116" s="1691" t="s">
        <v>1042</v>
      </c>
      <c r="F116" s="2287" t="s">
        <v>390</v>
      </c>
      <c r="G116" s="1762" t="s">
        <v>22</v>
      </c>
      <c r="H116" s="842" t="s">
        <v>22</v>
      </c>
      <c r="I116" s="1762" t="s">
        <v>22</v>
      </c>
      <c r="J116" s="842" t="s">
        <v>22</v>
      </c>
      <c r="K116" s="1762" t="s">
        <v>22</v>
      </c>
      <c r="L116" s="842" t="s">
        <v>22</v>
      </c>
      <c r="M116" s="2943" t="s">
        <v>22</v>
      </c>
      <c r="N116" s="2940" t="s">
        <v>22</v>
      </c>
      <c r="O116" s="1762" t="s">
        <v>22</v>
      </c>
      <c r="P116" s="842" t="s">
        <v>22</v>
      </c>
      <c r="Q116" s="1762" t="s">
        <v>22</v>
      </c>
      <c r="R116" s="842" t="s">
        <v>22</v>
      </c>
      <c r="S116" s="1762" t="s">
        <v>22</v>
      </c>
      <c r="T116" s="842" t="s">
        <v>22</v>
      </c>
      <c r="U116" s="1762" t="s">
        <v>22</v>
      </c>
      <c r="V116" s="842" t="s">
        <v>22</v>
      </c>
      <c r="W116" s="1762" t="s">
        <v>22</v>
      </c>
      <c r="X116" s="842" t="s">
        <v>22</v>
      </c>
      <c r="Y116" s="1762" t="s">
        <v>22</v>
      </c>
      <c r="Z116" s="842" t="s">
        <v>22</v>
      </c>
      <c r="AA116" s="2943" t="s">
        <v>22</v>
      </c>
      <c r="AB116" s="2940" t="s">
        <v>22</v>
      </c>
      <c r="AC116" s="1762" t="s">
        <v>22</v>
      </c>
      <c r="AD116" s="842" t="s">
        <v>22</v>
      </c>
      <c r="AE116" s="1762" t="s">
        <v>22</v>
      </c>
      <c r="AF116" s="842" t="s">
        <v>22</v>
      </c>
      <c r="AG116" s="2943" t="s">
        <v>22</v>
      </c>
      <c r="AH116" s="2940" t="s">
        <v>22</v>
      </c>
      <c r="AI116" s="1762" t="s">
        <v>22</v>
      </c>
      <c r="AJ116" s="842" t="s">
        <v>22</v>
      </c>
      <c r="AK116" s="1762" t="s">
        <v>22</v>
      </c>
      <c r="AL116" s="842" t="s">
        <v>22</v>
      </c>
      <c r="AM116" s="1549" t="s">
        <v>1043</v>
      </c>
      <c r="AN116" s="1659"/>
      <c r="AO116" s="1659"/>
      <c r="AP116" s="1659"/>
      <c r="AQ116" s="1659"/>
      <c r="AR116" s="1659"/>
      <c r="AS116" s="1659"/>
      <c r="AT116" s="1659"/>
      <c r="AU116" s="1659"/>
      <c r="AV116" s="1659"/>
      <c r="AW116" s="699"/>
      <c r="AX116" s="1659">
        <v>0</v>
      </c>
    </row>
    <row s="1874" customFormat="1" customHeight="1" ht="22.5">
      <c r="A117" s="1659"/>
      <c r="B117" s="2421" t="s">
        <v>1091</v>
      </c>
      <c r="C117" s="2422" t="s">
        <v>104</v>
      </c>
      <c r="D117" s="713" t="str">
        <f>B117&amp;".1"</f>
        <v>3.27.1</v>
      </c>
      <c r="E117" s="1691" t="s">
        <v>1039</v>
      </c>
      <c r="F117" s="2287" t="s">
        <v>390</v>
      </c>
      <c r="G117" s="2377" t="s">
        <v>22</v>
      </c>
      <c r="H117" s="842" t="s">
        <v>22</v>
      </c>
      <c r="I117" s="2377" t="s">
        <v>1059</v>
      </c>
      <c r="J117" s="842" t="s">
        <v>22</v>
      </c>
      <c r="K117" s="2377" t="s">
        <v>22</v>
      </c>
      <c r="L117" s="842" t="s">
        <v>22</v>
      </c>
      <c r="M117" s="2942" t="s">
        <v>22</v>
      </c>
      <c r="N117" s="2940" t="s">
        <v>22</v>
      </c>
      <c r="O117" s="2377" t="s">
        <v>1059</v>
      </c>
      <c r="P117" s="842" t="s">
        <v>22</v>
      </c>
      <c r="Q117" s="2377" t="s">
        <v>1059</v>
      </c>
      <c r="R117" s="842" t="s">
        <v>22</v>
      </c>
      <c r="S117" s="2377" t="s">
        <v>1059</v>
      </c>
      <c r="T117" s="842" t="s">
        <v>22</v>
      </c>
      <c r="U117" s="2377" t="s">
        <v>1059</v>
      </c>
      <c r="V117" s="842" t="s">
        <v>22</v>
      </c>
      <c r="W117" s="2377" t="s">
        <v>22</v>
      </c>
      <c r="X117" s="842" t="s">
        <v>22</v>
      </c>
      <c r="Y117" s="2377" t="s">
        <v>22</v>
      </c>
      <c r="Z117" s="842" t="s">
        <v>22</v>
      </c>
      <c r="AA117" s="2942" t="s">
        <v>22</v>
      </c>
      <c r="AB117" s="2940" t="s">
        <v>22</v>
      </c>
      <c r="AC117" s="2377" t="s">
        <v>1059</v>
      </c>
      <c r="AD117" s="842" t="s">
        <v>22</v>
      </c>
      <c r="AE117" s="2377" t="s">
        <v>1059</v>
      </c>
      <c r="AF117" s="842" t="s">
        <v>22</v>
      </c>
      <c r="AG117" s="2942" t="s">
        <v>22</v>
      </c>
      <c r="AH117" s="2940" t="s">
        <v>22</v>
      </c>
      <c r="AI117" s="2377" t="s">
        <v>1059</v>
      </c>
      <c r="AJ117" s="842" t="s">
        <v>22</v>
      </c>
      <c r="AK117" s="2377" t="s">
        <v>22</v>
      </c>
      <c r="AL117" s="842" t="s">
        <v>22</v>
      </c>
      <c r="AM117" s="1549"/>
      <c r="AN117" s="1659"/>
      <c r="AO117" s="1659"/>
      <c r="AP117" s="1659"/>
      <c r="AQ117" s="1659"/>
      <c r="AR117" s="1659"/>
      <c r="AS117" s="1659"/>
      <c r="AT117" s="1659"/>
      <c r="AU117" s="1659"/>
      <c r="AV117" s="1659"/>
      <c r="AW117" s="699"/>
      <c r="AX117" s="1659">
        <v>0</v>
      </c>
    </row>
    <row s="1874" customFormat="1" customHeight="1" ht="15">
      <c r="A118" s="1659"/>
      <c r="B118" s="2421"/>
      <c r="C118" s="2422"/>
      <c r="D118" s="713" t="str">
        <f>B117&amp;".2"</f>
        <v>3.27.2</v>
      </c>
      <c r="E118" s="1691" t="s">
        <v>1040</v>
      </c>
      <c r="F118" s="2287" t="s">
        <v>390</v>
      </c>
      <c r="G118" s="1762" t="s">
        <v>22</v>
      </c>
      <c r="H118" s="842" t="s">
        <v>22</v>
      </c>
      <c r="I118" s="1762">
        <v>46113</v>
      </c>
      <c r="J118" s="842" t="s">
        <v>22</v>
      </c>
      <c r="K118" s="1762" t="s">
        <v>22</v>
      </c>
      <c r="L118" s="842" t="s">
        <v>22</v>
      </c>
      <c r="M118" s="2943" t="s">
        <v>22</v>
      </c>
      <c r="N118" s="2940" t="s">
        <v>22</v>
      </c>
      <c r="O118" s="1762">
        <v>46126</v>
      </c>
      <c r="P118" s="842" t="s">
        <v>22</v>
      </c>
      <c r="Q118" s="1762">
        <v>46113</v>
      </c>
      <c r="R118" s="842" t="s">
        <v>22</v>
      </c>
      <c r="S118" s="1762">
        <v>46113</v>
      </c>
      <c r="T118" s="842" t="s">
        <v>22</v>
      </c>
      <c r="U118" s="1762">
        <v>46116</v>
      </c>
      <c r="V118" s="842" t="s">
        <v>22</v>
      </c>
      <c r="W118" s="1762" t="s">
        <v>22</v>
      </c>
      <c r="X118" s="842" t="s">
        <v>22</v>
      </c>
      <c r="Y118" s="1762" t="s">
        <v>22</v>
      </c>
      <c r="Z118" s="842" t="s">
        <v>22</v>
      </c>
      <c r="AA118" s="2943" t="s">
        <v>22</v>
      </c>
      <c r="AB118" s="2940" t="s">
        <v>22</v>
      </c>
      <c r="AC118" s="1762">
        <v>46127</v>
      </c>
      <c r="AD118" s="842" t="s">
        <v>22</v>
      </c>
      <c r="AE118" s="1762">
        <v>46129</v>
      </c>
      <c r="AF118" s="842" t="s">
        <v>22</v>
      </c>
      <c r="AG118" s="2943" t="s">
        <v>22</v>
      </c>
      <c r="AH118" s="2940" t="s">
        <v>22</v>
      </c>
      <c r="AI118" s="1762">
        <v>46127</v>
      </c>
      <c r="AJ118" s="842" t="s">
        <v>22</v>
      </c>
      <c r="AK118" s="1762" t="s">
        <v>22</v>
      </c>
      <c r="AL118" s="842" t="s">
        <v>22</v>
      </c>
      <c r="AM118" s="1549" t="s">
        <v>1041</v>
      </c>
      <c r="AN118" s="1659"/>
      <c r="AO118" s="1659"/>
      <c r="AP118" s="1659"/>
      <c r="AQ118" s="1659"/>
      <c r="AR118" s="1659"/>
      <c r="AS118" s="1659"/>
      <c r="AT118" s="1659"/>
      <c r="AU118" s="1659"/>
      <c r="AV118" s="1659"/>
      <c r="AW118" s="699"/>
      <c r="AX118" s="1659">
        <v>0</v>
      </c>
    </row>
    <row s="1874" customFormat="1" customHeight="1" ht="15">
      <c r="A119" s="1659"/>
      <c r="B119" s="2421"/>
      <c r="C119" s="2422"/>
      <c r="D119" s="713" t="str">
        <f>B117&amp;".3"</f>
        <v>3.27.3</v>
      </c>
      <c r="E119" s="1691" t="s">
        <v>1042</v>
      </c>
      <c r="F119" s="2287" t="s">
        <v>390</v>
      </c>
      <c r="G119" s="1762" t="s">
        <v>22</v>
      </c>
      <c r="H119" s="842" t="s">
        <v>22</v>
      </c>
      <c r="I119" s="1762"/>
      <c r="J119" s="842" t="s">
        <v>22</v>
      </c>
      <c r="K119" s="1762" t="s">
        <v>22</v>
      </c>
      <c r="L119" s="842" t="s">
        <v>22</v>
      </c>
      <c r="M119" s="2943" t="s">
        <v>22</v>
      </c>
      <c r="N119" s="2940" t="s">
        <v>22</v>
      </c>
      <c r="O119" s="1762" t="s">
        <v>22</v>
      </c>
      <c r="P119" s="842" t="s">
        <v>22</v>
      </c>
      <c r="Q119" s="1762" t="s">
        <v>22</v>
      </c>
      <c r="R119" s="842" t="s">
        <v>22</v>
      </c>
      <c r="S119" s="1762" t="s">
        <v>22</v>
      </c>
      <c r="T119" s="842" t="s">
        <v>22</v>
      </c>
      <c r="U119" s="1762" t="s">
        <v>22</v>
      </c>
      <c r="V119" s="842" t="s">
        <v>22</v>
      </c>
      <c r="W119" s="1762" t="s">
        <v>22</v>
      </c>
      <c r="X119" s="842" t="s">
        <v>22</v>
      </c>
      <c r="Y119" s="1762" t="s">
        <v>22</v>
      </c>
      <c r="Z119" s="842" t="s">
        <v>22</v>
      </c>
      <c r="AA119" s="2943" t="s">
        <v>22</v>
      </c>
      <c r="AB119" s="2940" t="s">
        <v>22</v>
      </c>
      <c r="AC119" s="1762" t="s">
        <v>22</v>
      </c>
      <c r="AD119" s="842" t="s">
        <v>22</v>
      </c>
      <c r="AE119" s="1762" t="s">
        <v>22</v>
      </c>
      <c r="AF119" s="842" t="s">
        <v>22</v>
      </c>
      <c r="AG119" s="2943" t="s">
        <v>22</v>
      </c>
      <c r="AH119" s="2940" t="s">
        <v>22</v>
      </c>
      <c r="AI119" s="1762" t="s">
        <v>22</v>
      </c>
      <c r="AJ119" s="842" t="s">
        <v>22</v>
      </c>
      <c r="AK119" s="1762" t="s">
        <v>22</v>
      </c>
      <c r="AL119" s="842" t="s">
        <v>22</v>
      </c>
      <c r="AM119" s="1549" t="s">
        <v>1043</v>
      </c>
      <c r="AN119" s="1659"/>
      <c r="AO119" s="1659"/>
      <c r="AP119" s="1659"/>
      <c r="AQ119" s="1659"/>
      <c r="AR119" s="1659"/>
      <c r="AS119" s="1659"/>
      <c r="AT119" s="1659"/>
      <c r="AU119" s="1659"/>
      <c r="AV119" s="1659"/>
      <c r="AW119" s="699"/>
      <c r="AX119" s="1659">
        <v>0</v>
      </c>
    </row>
    <row s="1874" customFormat="1" customHeight="1" ht="22.5">
      <c r="A120" s="1659"/>
      <c r="B120" s="2421" t="s">
        <v>1092</v>
      </c>
      <c r="C120" s="2422" t="s">
        <v>104</v>
      </c>
      <c r="D120" s="713" t="str">
        <f>B120&amp;".1"</f>
        <v>3.28.1</v>
      </c>
      <c r="E120" s="1691" t="s">
        <v>1039</v>
      </c>
      <c r="F120" s="2287" t="s">
        <v>390</v>
      </c>
      <c r="G120" s="2377" t="s">
        <v>22</v>
      </c>
      <c r="H120" s="842" t="s">
        <v>22</v>
      </c>
      <c r="I120" s="2377" t="s">
        <v>1059</v>
      </c>
      <c r="J120" s="842" t="s">
        <v>22</v>
      </c>
      <c r="K120" s="2377" t="s">
        <v>22</v>
      </c>
      <c r="L120" s="842" t="s">
        <v>22</v>
      </c>
      <c r="M120" s="2942" t="s">
        <v>22</v>
      </c>
      <c r="N120" s="2940" t="s">
        <v>22</v>
      </c>
      <c r="O120" s="2377" t="s">
        <v>1059</v>
      </c>
      <c r="P120" s="842" t="s">
        <v>22</v>
      </c>
      <c r="Q120" s="2377" t="s">
        <v>1059</v>
      </c>
      <c r="R120" s="842" t="s">
        <v>22</v>
      </c>
      <c r="S120" s="2377" t="s">
        <v>1059</v>
      </c>
      <c r="T120" s="842" t="s">
        <v>22</v>
      </c>
      <c r="U120" s="2377" t="s">
        <v>1059</v>
      </c>
      <c r="V120" s="842" t="s">
        <v>22</v>
      </c>
      <c r="W120" s="2377" t="s">
        <v>22</v>
      </c>
      <c r="X120" s="842" t="s">
        <v>22</v>
      </c>
      <c r="Y120" s="2377" t="s">
        <v>22</v>
      </c>
      <c r="Z120" s="842" t="s">
        <v>22</v>
      </c>
      <c r="AA120" s="2942" t="s">
        <v>22</v>
      </c>
      <c r="AB120" s="2940" t="s">
        <v>22</v>
      </c>
      <c r="AC120" s="2377" t="s">
        <v>1059</v>
      </c>
      <c r="AD120" s="842" t="s">
        <v>22</v>
      </c>
      <c r="AE120" s="2377" t="s">
        <v>1074</v>
      </c>
      <c r="AF120" s="842" t="s">
        <v>22</v>
      </c>
      <c r="AG120" s="2942" t="s">
        <v>22</v>
      </c>
      <c r="AH120" s="2940" t="s">
        <v>22</v>
      </c>
      <c r="AI120" s="2377" t="s">
        <v>1059</v>
      </c>
      <c r="AJ120" s="842" t="s">
        <v>22</v>
      </c>
      <c r="AK120" s="2377" t="s">
        <v>22</v>
      </c>
      <c r="AL120" s="842" t="s">
        <v>22</v>
      </c>
      <c r="AM120" s="1549"/>
      <c r="AN120" s="1659"/>
      <c r="AO120" s="1659"/>
      <c r="AP120" s="1659"/>
      <c r="AQ120" s="1659"/>
      <c r="AR120" s="1659"/>
      <c r="AS120" s="1659"/>
      <c r="AT120" s="1659"/>
      <c r="AU120" s="1659"/>
      <c r="AV120" s="1659"/>
      <c r="AW120" s="699"/>
      <c r="AX120" s="1659">
        <v>0</v>
      </c>
    </row>
    <row s="1874" customFormat="1" customHeight="1" ht="15">
      <c r="A121" s="1659"/>
      <c r="B121" s="2421"/>
      <c r="C121" s="2422"/>
      <c r="D121" s="713" t="str">
        <f>B120&amp;".2"</f>
        <v>3.28.2</v>
      </c>
      <c r="E121" s="1691" t="s">
        <v>1040</v>
      </c>
      <c r="F121" s="2287" t="s">
        <v>390</v>
      </c>
      <c r="G121" s="1762" t="s">
        <v>22</v>
      </c>
      <c r="H121" s="842" t="s">
        <v>22</v>
      </c>
      <c r="I121" s="1762">
        <v>46113</v>
      </c>
      <c r="J121" s="842" t="s">
        <v>22</v>
      </c>
      <c r="K121" s="1762" t="s">
        <v>22</v>
      </c>
      <c r="L121" s="842" t="s">
        <v>22</v>
      </c>
      <c r="M121" s="2943" t="s">
        <v>22</v>
      </c>
      <c r="N121" s="2940" t="s">
        <v>22</v>
      </c>
      <c r="O121" s="1762">
        <v>46126</v>
      </c>
      <c r="P121" s="842" t="s">
        <v>22</v>
      </c>
      <c r="Q121" s="1762">
        <v>46113</v>
      </c>
      <c r="R121" s="842" t="s">
        <v>22</v>
      </c>
      <c r="S121" s="1762">
        <v>46113</v>
      </c>
      <c r="T121" s="842" t="s">
        <v>22</v>
      </c>
      <c r="U121" s="1762">
        <v>46116</v>
      </c>
      <c r="V121" s="842" t="s">
        <v>22</v>
      </c>
      <c r="W121" s="1762" t="s">
        <v>22</v>
      </c>
      <c r="X121" s="842" t="s">
        <v>22</v>
      </c>
      <c r="Y121" s="1762" t="s">
        <v>22</v>
      </c>
      <c r="Z121" s="842" t="s">
        <v>22</v>
      </c>
      <c r="AA121" s="2943" t="s">
        <v>22</v>
      </c>
      <c r="AB121" s="2940" t="s">
        <v>22</v>
      </c>
      <c r="AC121" s="1762">
        <v>46127</v>
      </c>
      <c r="AD121" s="842" t="s">
        <v>22</v>
      </c>
      <c r="AE121" s="1762">
        <v>46129</v>
      </c>
      <c r="AF121" s="842" t="s">
        <v>22</v>
      </c>
      <c r="AG121" s="2943" t="s">
        <v>22</v>
      </c>
      <c r="AH121" s="2940" t="s">
        <v>22</v>
      </c>
      <c r="AI121" s="1762">
        <v>46127</v>
      </c>
      <c r="AJ121" s="842" t="s">
        <v>22</v>
      </c>
      <c r="AK121" s="1762" t="s">
        <v>22</v>
      </c>
      <c r="AL121" s="842" t="s">
        <v>22</v>
      </c>
      <c r="AM121" s="1549" t="s">
        <v>1041</v>
      </c>
      <c r="AN121" s="1659"/>
      <c r="AO121" s="1659"/>
      <c r="AP121" s="1659"/>
      <c r="AQ121" s="1659"/>
      <c r="AR121" s="1659"/>
      <c r="AS121" s="1659"/>
      <c r="AT121" s="1659"/>
      <c r="AU121" s="1659"/>
      <c r="AV121" s="1659"/>
      <c r="AW121" s="699"/>
      <c r="AX121" s="1659">
        <v>0</v>
      </c>
    </row>
    <row s="1874" customFormat="1" customHeight="1" ht="15">
      <c r="A122" s="1659"/>
      <c r="B122" s="2421"/>
      <c r="C122" s="2422"/>
      <c r="D122" s="713" t="str">
        <f>B120&amp;".3"</f>
        <v>3.28.3</v>
      </c>
      <c r="E122" s="1691" t="s">
        <v>1042</v>
      </c>
      <c r="F122" s="2287" t="s">
        <v>390</v>
      </c>
      <c r="G122" s="1762" t="s">
        <v>22</v>
      </c>
      <c r="H122" s="842" t="s">
        <v>22</v>
      </c>
      <c r="I122" s="1762"/>
      <c r="J122" s="842" t="s">
        <v>22</v>
      </c>
      <c r="K122" s="1762" t="s">
        <v>22</v>
      </c>
      <c r="L122" s="842" t="s">
        <v>22</v>
      </c>
      <c r="M122" s="2943" t="s">
        <v>22</v>
      </c>
      <c r="N122" s="2940" t="s">
        <v>22</v>
      </c>
      <c r="O122" s="1762" t="s">
        <v>22</v>
      </c>
      <c r="P122" s="842" t="s">
        <v>22</v>
      </c>
      <c r="Q122" s="1762" t="s">
        <v>22</v>
      </c>
      <c r="R122" s="842" t="s">
        <v>22</v>
      </c>
      <c r="S122" s="1762" t="s">
        <v>22</v>
      </c>
      <c r="T122" s="842" t="s">
        <v>22</v>
      </c>
      <c r="U122" s="1762" t="s">
        <v>22</v>
      </c>
      <c r="V122" s="842" t="s">
        <v>22</v>
      </c>
      <c r="W122" s="1762" t="s">
        <v>22</v>
      </c>
      <c r="X122" s="842" t="s">
        <v>22</v>
      </c>
      <c r="Y122" s="1762" t="s">
        <v>22</v>
      </c>
      <c r="Z122" s="842" t="s">
        <v>22</v>
      </c>
      <c r="AA122" s="2943" t="s">
        <v>22</v>
      </c>
      <c r="AB122" s="2940" t="s">
        <v>22</v>
      </c>
      <c r="AC122" s="1762" t="s">
        <v>22</v>
      </c>
      <c r="AD122" s="842" t="s">
        <v>22</v>
      </c>
      <c r="AE122" s="1762" t="s">
        <v>22</v>
      </c>
      <c r="AF122" s="842" t="s">
        <v>22</v>
      </c>
      <c r="AG122" s="2943" t="s">
        <v>22</v>
      </c>
      <c r="AH122" s="2940" t="s">
        <v>22</v>
      </c>
      <c r="AI122" s="1762" t="s">
        <v>22</v>
      </c>
      <c r="AJ122" s="842" t="s">
        <v>22</v>
      </c>
      <c r="AK122" s="1762" t="s">
        <v>22</v>
      </c>
      <c r="AL122" s="842" t="s">
        <v>22</v>
      </c>
      <c r="AM122" s="1549" t="s">
        <v>1043</v>
      </c>
      <c r="AN122" s="1659"/>
      <c r="AO122" s="1659"/>
      <c r="AP122" s="1659"/>
      <c r="AQ122" s="1659"/>
      <c r="AR122" s="1659"/>
      <c r="AS122" s="1659"/>
      <c r="AT122" s="1659"/>
      <c r="AU122" s="1659"/>
      <c r="AV122" s="1659"/>
      <c r="AW122" s="699"/>
      <c r="AX122" s="1659">
        <v>0</v>
      </c>
    </row>
    <row s="1874" customFormat="1" customHeight="1" ht="22.5">
      <c r="A123" s="1659"/>
      <c r="B123" s="2421" t="s">
        <v>1093</v>
      </c>
      <c r="C123" s="2422" t="s">
        <v>104</v>
      </c>
      <c r="D123" s="713" t="str">
        <f>B123&amp;".1"</f>
        <v>3.29.1</v>
      </c>
      <c r="E123" s="1691" t="s">
        <v>1039</v>
      </c>
      <c r="F123" s="2287" t="s">
        <v>390</v>
      </c>
      <c r="G123" s="2377" t="s">
        <v>22</v>
      </c>
      <c r="H123" s="842" t="s">
        <v>22</v>
      </c>
      <c r="I123" s="2377" t="s">
        <v>1059</v>
      </c>
      <c r="J123" s="842" t="s">
        <v>22</v>
      </c>
      <c r="K123" s="2377" t="s">
        <v>22</v>
      </c>
      <c r="L123" s="842" t="s">
        <v>22</v>
      </c>
      <c r="M123" s="2942" t="s">
        <v>22</v>
      </c>
      <c r="N123" s="2940" t="s">
        <v>22</v>
      </c>
      <c r="O123" s="2377" t="s">
        <v>1059</v>
      </c>
      <c r="P123" s="842" t="s">
        <v>22</v>
      </c>
      <c r="Q123" s="2377" t="s">
        <v>1059</v>
      </c>
      <c r="R123" s="842" t="s">
        <v>22</v>
      </c>
      <c r="S123" s="2377" t="s">
        <v>1059</v>
      </c>
      <c r="T123" s="842" t="s">
        <v>22</v>
      </c>
      <c r="U123" s="2377" t="s">
        <v>1059</v>
      </c>
      <c r="V123" s="842" t="s">
        <v>22</v>
      </c>
      <c r="W123" s="2377" t="s">
        <v>22</v>
      </c>
      <c r="X123" s="842" t="s">
        <v>22</v>
      </c>
      <c r="Y123" s="2377" t="s">
        <v>22</v>
      </c>
      <c r="Z123" s="842" t="s">
        <v>22</v>
      </c>
      <c r="AA123" s="2942" t="s">
        <v>22</v>
      </c>
      <c r="AB123" s="2940" t="s">
        <v>22</v>
      </c>
      <c r="AC123" s="2377" t="s">
        <v>1094</v>
      </c>
      <c r="AD123" s="842" t="s">
        <v>22</v>
      </c>
      <c r="AE123" s="2377" t="s">
        <v>1059</v>
      </c>
      <c r="AF123" s="842" t="s">
        <v>22</v>
      </c>
      <c r="AG123" s="2942" t="s">
        <v>22</v>
      </c>
      <c r="AH123" s="2940" t="s">
        <v>22</v>
      </c>
      <c r="AI123" s="2377" t="s">
        <v>1059</v>
      </c>
      <c r="AJ123" s="842" t="s">
        <v>22</v>
      </c>
      <c r="AK123" s="2377" t="s">
        <v>22</v>
      </c>
      <c r="AL123" s="842" t="s">
        <v>22</v>
      </c>
      <c r="AM123" s="1549"/>
      <c r="AN123" s="1659"/>
      <c r="AO123" s="1659"/>
      <c r="AP123" s="1659"/>
      <c r="AQ123" s="1659"/>
      <c r="AR123" s="1659"/>
      <c r="AS123" s="1659"/>
      <c r="AT123" s="1659"/>
      <c r="AU123" s="1659"/>
      <c r="AV123" s="1659"/>
      <c r="AW123" s="699"/>
      <c r="AX123" s="1659">
        <v>0</v>
      </c>
    </row>
    <row s="1874" customFormat="1" customHeight="1" ht="15">
      <c r="A124" s="1659"/>
      <c r="B124" s="2421"/>
      <c r="C124" s="2422"/>
      <c r="D124" s="713" t="str">
        <f>B123&amp;".2"</f>
        <v>3.29.2</v>
      </c>
      <c r="E124" s="1691" t="s">
        <v>1040</v>
      </c>
      <c r="F124" s="2287" t="s">
        <v>390</v>
      </c>
      <c r="G124" s="1762" t="s">
        <v>22</v>
      </c>
      <c r="H124" s="842" t="s">
        <v>22</v>
      </c>
      <c r="I124" s="1762">
        <v>46113</v>
      </c>
      <c r="J124" s="842" t="s">
        <v>22</v>
      </c>
      <c r="K124" s="1762" t="s">
        <v>22</v>
      </c>
      <c r="L124" s="842" t="s">
        <v>22</v>
      </c>
      <c r="M124" s="2943" t="s">
        <v>22</v>
      </c>
      <c r="N124" s="2940" t="s">
        <v>22</v>
      </c>
      <c r="O124" s="1762">
        <v>46126</v>
      </c>
      <c r="P124" s="842" t="s">
        <v>22</v>
      </c>
      <c r="Q124" s="1762">
        <v>46113</v>
      </c>
      <c r="R124" s="842" t="s">
        <v>22</v>
      </c>
      <c r="S124" s="1762">
        <v>46113</v>
      </c>
      <c r="T124" s="842" t="s">
        <v>22</v>
      </c>
      <c r="U124" s="1762">
        <v>46116</v>
      </c>
      <c r="V124" s="842" t="s">
        <v>22</v>
      </c>
      <c r="W124" s="1762" t="s">
        <v>22</v>
      </c>
      <c r="X124" s="842" t="s">
        <v>22</v>
      </c>
      <c r="Y124" s="1762" t="s">
        <v>22</v>
      </c>
      <c r="Z124" s="842" t="s">
        <v>22</v>
      </c>
      <c r="AA124" s="2943" t="s">
        <v>22</v>
      </c>
      <c r="AB124" s="2940" t="s">
        <v>22</v>
      </c>
      <c r="AC124" s="1762">
        <v>46127</v>
      </c>
      <c r="AD124" s="842" t="s">
        <v>22</v>
      </c>
      <c r="AE124" s="1762">
        <v>46132</v>
      </c>
      <c r="AF124" s="842" t="s">
        <v>22</v>
      </c>
      <c r="AG124" s="2943" t="s">
        <v>22</v>
      </c>
      <c r="AH124" s="2940" t="s">
        <v>22</v>
      </c>
      <c r="AI124" s="1762">
        <v>46127</v>
      </c>
      <c r="AJ124" s="842" t="s">
        <v>22</v>
      </c>
      <c r="AK124" s="1762" t="s">
        <v>22</v>
      </c>
      <c r="AL124" s="842" t="s">
        <v>22</v>
      </c>
      <c r="AM124" s="1549" t="s">
        <v>1041</v>
      </c>
      <c r="AN124" s="1659"/>
      <c r="AO124" s="1659"/>
      <c r="AP124" s="1659"/>
      <c r="AQ124" s="1659"/>
      <c r="AR124" s="1659"/>
      <c r="AS124" s="1659"/>
      <c r="AT124" s="1659"/>
      <c r="AU124" s="1659"/>
      <c r="AV124" s="1659"/>
      <c r="AW124" s="699"/>
      <c r="AX124" s="1659">
        <v>0</v>
      </c>
    </row>
    <row s="1874" customFormat="1" customHeight="1" ht="15">
      <c r="A125" s="1659"/>
      <c r="B125" s="2421"/>
      <c r="C125" s="2422"/>
      <c r="D125" s="713" t="str">
        <f>B123&amp;".3"</f>
        <v>3.29.3</v>
      </c>
      <c r="E125" s="1691" t="s">
        <v>1042</v>
      </c>
      <c r="F125" s="2287" t="s">
        <v>390</v>
      </c>
      <c r="G125" s="1762" t="s">
        <v>22</v>
      </c>
      <c r="H125" s="842" t="s">
        <v>22</v>
      </c>
      <c r="I125" s="1762" t="s">
        <v>22</v>
      </c>
      <c r="J125" s="842" t="s">
        <v>22</v>
      </c>
      <c r="K125" s="1762" t="s">
        <v>22</v>
      </c>
      <c r="L125" s="842" t="s">
        <v>22</v>
      </c>
      <c r="M125" s="2943" t="s">
        <v>22</v>
      </c>
      <c r="N125" s="2940" t="s">
        <v>22</v>
      </c>
      <c r="O125" s="1762" t="s">
        <v>22</v>
      </c>
      <c r="P125" s="842" t="s">
        <v>22</v>
      </c>
      <c r="Q125" s="1762" t="s">
        <v>22</v>
      </c>
      <c r="R125" s="842" t="s">
        <v>22</v>
      </c>
      <c r="S125" s="1762" t="s">
        <v>22</v>
      </c>
      <c r="T125" s="842" t="s">
        <v>22</v>
      </c>
      <c r="U125" s="1762" t="s">
        <v>22</v>
      </c>
      <c r="V125" s="842" t="s">
        <v>22</v>
      </c>
      <c r="W125" s="1762" t="s">
        <v>22</v>
      </c>
      <c r="X125" s="842" t="s">
        <v>22</v>
      </c>
      <c r="Y125" s="1762" t="s">
        <v>22</v>
      </c>
      <c r="Z125" s="842" t="s">
        <v>22</v>
      </c>
      <c r="AA125" s="2943" t="s">
        <v>22</v>
      </c>
      <c r="AB125" s="2940" t="s">
        <v>22</v>
      </c>
      <c r="AC125" s="1762" t="s">
        <v>22</v>
      </c>
      <c r="AD125" s="842" t="s">
        <v>22</v>
      </c>
      <c r="AE125" s="1762" t="s">
        <v>22</v>
      </c>
      <c r="AF125" s="842" t="s">
        <v>22</v>
      </c>
      <c r="AG125" s="2943" t="s">
        <v>22</v>
      </c>
      <c r="AH125" s="2940" t="s">
        <v>22</v>
      </c>
      <c r="AI125" s="1762" t="s">
        <v>22</v>
      </c>
      <c r="AJ125" s="842" t="s">
        <v>22</v>
      </c>
      <c r="AK125" s="1762" t="s">
        <v>22</v>
      </c>
      <c r="AL125" s="842" t="s">
        <v>22</v>
      </c>
      <c r="AM125" s="1549" t="s">
        <v>1043</v>
      </c>
      <c r="AN125" s="1659"/>
      <c r="AO125" s="1659"/>
      <c r="AP125" s="1659"/>
      <c r="AQ125" s="1659"/>
      <c r="AR125" s="1659"/>
      <c r="AS125" s="1659"/>
      <c r="AT125" s="1659"/>
      <c r="AU125" s="1659"/>
      <c r="AV125" s="1659"/>
      <c r="AW125" s="699"/>
      <c r="AX125" s="1659">
        <v>0</v>
      </c>
    </row>
    <row s="1874" customFormat="1" customHeight="1" ht="22.5">
      <c r="A126" s="1659"/>
      <c r="B126" s="2421" t="s">
        <v>1095</v>
      </c>
      <c r="C126" s="2422" t="s">
        <v>104</v>
      </c>
      <c r="D126" s="713" t="str">
        <f>B126&amp;".1"</f>
        <v>3.30.1</v>
      </c>
      <c r="E126" s="1691" t="s">
        <v>1039</v>
      </c>
      <c r="F126" s="2287" t="s">
        <v>390</v>
      </c>
      <c r="G126" s="2377" t="s">
        <v>22</v>
      </c>
      <c r="H126" s="842" t="s">
        <v>22</v>
      </c>
      <c r="I126" s="2377" t="s">
        <v>1059</v>
      </c>
      <c r="J126" s="842" t="s">
        <v>22</v>
      </c>
      <c r="K126" s="2377" t="s">
        <v>22</v>
      </c>
      <c r="L126" s="842" t="s">
        <v>22</v>
      </c>
      <c r="M126" s="2942" t="s">
        <v>22</v>
      </c>
      <c r="N126" s="2940" t="s">
        <v>22</v>
      </c>
      <c r="O126" s="2377" t="s">
        <v>1061</v>
      </c>
      <c r="P126" s="842" t="s">
        <v>22</v>
      </c>
      <c r="Q126" s="2377" t="s">
        <v>1059</v>
      </c>
      <c r="R126" s="842" t="s">
        <v>22</v>
      </c>
      <c r="S126" s="2377" t="s">
        <v>1059</v>
      </c>
      <c r="T126" s="842" t="s">
        <v>22</v>
      </c>
      <c r="U126" s="2377" t="s">
        <v>1059</v>
      </c>
      <c r="V126" s="842" t="s">
        <v>22</v>
      </c>
      <c r="W126" s="2377" t="s">
        <v>22</v>
      </c>
      <c r="X126" s="842" t="s">
        <v>22</v>
      </c>
      <c r="Y126" s="2377" t="s">
        <v>22</v>
      </c>
      <c r="Z126" s="842" t="s">
        <v>22</v>
      </c>
      <c r="AA126" s="2942" t="s">
        <v>22</v>
      </c>
      <c r="AB126" s="2940" t="s">
        <v>22</v>
      </c>
      <c r="AC126" s="2377" t="s">
        <v>1059</v>
      </c>
      <c r="AD126" s="842" t="s">
        <v>22</v>
      </c>
      <c r="AE126" s="2377" t="s">
        <v>1059</v>
      </c>
      <c r="AF126" s="842" t="s">
        <v>22</v>
      </c>
      <c r="AG126" s="2942" t="s">
        <v>22</v>
      </c>
      <c r="AH126" s="2940" t="s">
        <v>22</v>
      </c>
      <c r="AI126" s="2377" t="s">
        <v>1059</v>
      </c>
      <c r="AJ126" s="842" t="s">
        <v>22</v>
      </c>
      <c r="AK126" s="2377" t="s">
        <v>22</v>
      </c>
      <c r="AL126" s="842" t="s">
        <v>22</v>
      </c>
      <c r="AM126" s="1549"/>
      <c r="AN126" s="1659"/>
      <c r="AO126" s="1659"/>
      <c r="AP126" s="1659"/>
      <c r="AQ126" s="1659"/>
      <c r="AR126" s="1659"/>
      <c r="AS126" s="1659"/>
      <c r="AT126" s="1659"/>
      <c r="AU126" s="1659"/>
      <c r="AV126" s="1659"/>
      <c r="AW126" s="699"/>
      <c r="AX126" s="1659">
        <v>0</v>
      </c>
    </row>
    <row s="1874" customFormat="1" customHeight="1" ht="15">
      <c r="A127" s="1659"/>
      <c r="B127" s="2421"/>
      <c r="C127" s="2422"/>
      <c r="D127" s="713" t="str">
        <f>B126&amp;".2"</f>
        <v>3.30.2</v>
      </c>
      <c r="E127" s="1691" t="s">
        <v>1040</v>
      </c>
      <c r="F127" s="2287" t="s">
        <v>390</v>
      </c>
      <c r="G127" s="1762" t="s">
        <v>22</v>
      </c>
      <c r="H127" s="842" t="s">
        <v>22</v>
      </c>
      <c r="I127" s="1762">
        <v>46113</v>
      </c>
      <c r="J127" s="842" t="s">
        <v>22</v>
      </c>
      <c r="K127" s="1762" t="s">
        <v>22</v>
      </c>
      <c r="L127" s="842" t="s">
        <v>22</v>
      </c>
      <c r="M127" s="2943" t="s">
        <v>22</v>
      </c>
      <c r="N127" s="2940" t="s">
        <v>22</v>
      </c>
      <c r="O127" s="1762">
        <v>46127</v>
      </c>
      <c r="P127" s="842" t="s">
        <v>22</v>
      </c>
      <c r="Q127" s="1762">
        <v>46113</v>
      </c>
      <c r="R127" s="842" t="s">
        <v>22</v>
      </c>
      <c r="S127" s="1762">
        <v>46113</v>
      </c>
      <c r="T127" s="842" t="s">
        <v>22</v>
      </c>
      <c r="U127" s="1762">
        <v>46116</v>
      </c>
      <c r="V127" s="842" t="s">
        <v>22</v>
      </c>
      <c r="W127" s="1762" t="s">
        <v>22</v>
      </c>
      <c r="X127" s="842" t="s">
        <v>22</v>
      </c>
      <c r="Y127" s="1762" t="s">
        <v>22</v>
      </c>
      <c r="Z127" s="842" t="s">
        <v>22</v>
      </c>
      <c r="AA127" s="2943" t="s">
        <v>22</v>
      </c>
      <c r="AB127" s="2940" t="s">
        <v>22</v>
      </c>
      <c r="AC127" s="1762">
        <v>46127</v>
      </c>
      <c r="AD127" s="842" t="s">
        <v>22</v>
      </c>
      <c r="AE127" s="1762">
        <v>46132</v>
      </c>
      <c r="AF127" s="842" t="s">
        <v>22</v>
      </c>
      <c r="AG127" s="2943" t="s">
        <v>22</v>
      </c>
      <c r="AH127" s="2940" t="s">
        <v>22</v>
      </c>
      <c r="AI127" s="1762">
        <v>46127</v>
      </c>
      <c r="AJ127" s="842" t="s">
        <v>22</v>
      </c>
      <c r="AK127" s="1762" t="s">
        <v>22</v>
      </c>
      <c r="AL127" s="842" t="s">
        <v>22</v>
      </c>
      <c r="AM127" s="1549" t="s">
        <v>1041</v>
      </c>
      <c r="AN127" s="1659"/>
      <c r="AO127" s="1659"/>
      <c r="AP127" s="1659"/>
      <c r="AQ127" s="1659"/>
      <c r="AR127" s="1659"/>
      <c r="AS127" s="1659"/>
      <c r="AT127" s="1659"/>
      <c r="AU127" s="1659"/>
      <c r="AV127" s="1659"/>
      <c r="AW127" s="699"/>
      <c r="AX127" s="1659">
        <v>0</v>
      </c>
    </row>
    <row s="1874" customFormat="1" customHeight="1" ht="15">
      <c r="A128" s="1659"/>
      <c r="B128" s="2421"/>
      <c r="C128" s="2422"/>
      <c r="D128" s="713" t="str">
        <f>B126&amp;".3"</f>
        <v>3.30.3</v>
      </c>
      <c r="E128" s="1691" t="s">
        <v>1042</v>
      </c>
      <c r="F128" s="2287" t="s">
        <v>390</v>
      </c>
      <c r="G128" s="1762" t="s">
        <v>22</v>
      </c>
      <c r="H128" s="842" t="s">
        <v>22</v>
      </c>
      <c r="I128" s="1762"/>
      <c r="J128" s="842" t="s">
        <v>22</v>
      </c>
      <c r="K128" s="1762" t="s">
        <v>22</v>
      </c>
      <c r="L128" s="842" t="s">
        <v>22</v>
      </c>
      <c r="M128" s="2943" t="s">
        <v>22</v>
      </c>
      <c r="N128" s="2940" t="s">
        <v>22</v>
      </c>
      <c r="O128" s="1762"/>
      <c r="P128" s="842" t="s">
        <v>22</v>
      </c>
      <c r="Q128" s="1762" t="s">
        <v>22</v>
      </c>
      <c r="R128" s="842" t="s">
        <v>22</v>
      </c>
      <c r="S128" s="1762" t="s">
        <v>22</v>
      </c>
      <c r="T128" s="842" t="s">
        <v>22</v>
      </c>
      <c r="U128" s="1762" t="s">
        <v>22</v>
      </c>
      <c r="V128" s="842" t="s">
        <v>22</v>
      </c>
      <c r="W128" s="1762" t="s">
        <v>22</v>
      </c>
      <c r="X128" s="842" t="s">
        <v>22</v>
      </c>
      <c r="Y128" s="1762" t="s">
        <v>22</v>
      </c>
      <c r="Z128" s="842" t="s">
        <v>22</v>
      </c>
      <c r="AA128" s="2943" t="s">
        <v>22</v>
      </c>
      <c r="AB128" s="2940" t="s">
        <v>22</v>
      </c>
      <c r="AC128" s="1762" t="s">
        <v>22</v>
      </c>
      <c r="AD128" s="842" t="s">
        <v>22</v>
      </c>
      <c r="AE128" s="1762" t="s">
        <v>22</v>
      </c>
      <c r="AF128" s="842" t="s">
        <v>22</v>
      </c>
      <c r="AG128" s="2943" t="s">
        <v>22</v>
      </c>
      <c r="AH128" s="2940" t="s">
        <v>22</v>
      </c>
      <c r="AI128" s="1762" t="s">
        <v>22</v>
      </c>
      <c r="AJ128" s="842" t="s">
        <v>22</v>
      </c>
      <c r="AK128" s="1762" t="s">
        <v>22</v>
      </c>
      <c r="AL128" s="842" t="s">
        <v>22</v>
      </c>
      <c r="AM128" s="1549" t="s">
        <v>1043</v>
      </c>
      <c r="AN128" s="1659"/>
      <c r="AO128" s="1659"/>
      <c r="AP128" s="1659"/>
      <c r="AQ128" s="1659"/>
      <c r="AR128" s="1659"/>
      <c r="AS128" s="1659"/>
      <c r="AT128" s="1659"/>
      <c r="AU128" s="1659"/>
      <c r="AV128" s="1659"/>
      <c r="AW128" s="699"/>
      <c r="AX128" s="1659">
        <v>0</v>
      </c>
    </row>
    <row s="1874" customFormat="1" customHeight="1" ht="22.5">
      <c r="A129" s="1659"/>
      <c r="B129" s="2421" t="s">
        <v>1096</v>
      </c>
      <c r="C129" s="2422" t="s">
        <v>104</v>
      </c>
      <c r="D129" s="713" t="str">
        <f>B129&amp;".1"</f>
        <v>3.31.1</v>
      </c>
      <c r="E129" s="1691" t="s">
        <v>1039</v>
      </c>
      <c r="F129" s="2287" t="s">
        <v>390</v>
      </c>
      <c r="G129" s="2377" t="s">
        <v>22</v>
      </c>
      <c r="H129" s="842" t="s">
        <v>22</v>
      </c>
      <c r="I129" s="2377" t="s">
        <v>1059</v>
      </c>
      <c r="J129" s="842" t="s">
        <v>22</v>
      </c>
      <c r="K129" s="2377" t="s">
        <v>22</v>
      </c>
      <c r="L129" s="842" t="s">
        <v>22</v>
      </c>
      <c r="M129" s="2942" t="s">
        <v>22</v>
      </c>
      <c r="N129" s="2940" t="s">
        <v>22</v>
      </c>
      <c r="O129" s="2377" t="s">
        <v>1059</v>
      </c>
      <c r="P129" s="842" t="s">
        <v>22</v>
      </c>
      <c r="Q129" s="2377" t="s">
        <v>1059</v>
      </c>
      <c r="R129" s="842" t="s">
        <v>22</v>
      </c>
      <c r="S129" s="2377" t="s">
        <v>1059</v>
      </c>
      <c r="T129" s="842" t="s">
        <v>22</v>
      </c>
      <c r="U129" s="2377" t="s">
        <v>1059</v>
      </c>
      <c r="V129" s="842" t="s">
        <v>22</v>
      </c>
      <c r="W129" s="2377" t="s">
        <v>22</v>
      </c>
      <c r="X129" s="842" t="s">
        <v>22</v>
      </c>
      <c r="Y129" s="2377" t="s">
        <v>22</v>
      </c>
      <c r="Z129" s="842" t="s">
        <v>22</v>
      </c>
      <c r="AA129" s="2942" t="s">
        <v>22</v>
      </c>
      <c r="AB129" s="2940" t="s">
        <v>22</v>
      </c>
      <c r="AC129" s="2377" t="s">
        <v>1059</v>
      </c>
      <c r="AD129" s="842" t="s">
        <v>22</v>
      </c>
      <c r="AE129" s="2377" t="s">
        <v>1059</v>
      </c>
      <c r="AF129" s="842" t="s">
        <v>22</v>
      </c>
      <c r="AG129" s="2942" t="s">
        <v>22</v>
      </c>
      <c r="AH129" s="2940" t="s">
        <v>22</v>
      </c>
      <c r="AI129" s="2377" t="s">
        <v>1064</v>
      </c>
      <c r="AJ129" s="842" t="s">
        <v>22</v>
      </c>
      <c r="AK129" s="2377" t="s">
        <v>22</v>
      </c>
      <c r="AL129" s="842" t="s">
        <v>22</v>
      </c>
      <c r="AM129" s="1549"/>
      <c r="AN129" s="1659"/>
      <c r="AO129" s="1659"/>
      <c r="AP129" s="1659"/>
      <c r="AQ129" s="1659"/>
      <c r="AR129" s="1659"/>
      <c r="AS129" s="1659"/>
      <c r="AT129" s="1659"/>
      <c r="AU129" s="1659"/>
      <c r="AV129" s="1659"/>
      <c r="AW129" s="699"/>
      <c r="AX129" s="1659">
        <v>0</v>
      </c>
    </row>
    <row s="1874" customFormat="1" customHeight="1" ht="15">
      <c r="A130" s="1659"/>
      <c r="B130" s="2421"/>
      <c r="C130" s="2422"/>
      <c r="D130" s="713" t="str">
        <f>B129&amp;".2"</f>
        <v>3.31.2</v>
      </c>
      <c r="E130" s="1691" t="s">
        <v>1040</v>
      </c>
      <c r="F130" s="2287" t="s">
        <v>390</v>
      </c>
      <c r="G130" s="1762" t="s">
        <v>22</v>
      </c>
      <c r="H130" s="842" t="s">
        <v>22</v>
      </c>
      <c r="I130" s="1762">
        <v>46113</v>
      </c>
      <c r="J130" s="842" t="s">
        <v>22</v>
      </c>
      <c r="K130" s="1762" t="s">
        <v>22</v>
      </c>
      <c r="L130" s="842" t="s">
        <v>22</v>
      </c>
      <c r="M130" s="2943" t="s">
        <v>22</v>
      </c>
      <c r="N130" s="2940" t="s">
        <v>22</v>
      </c>
      <c r="O130" s="1762">
        <v>46127</v>
      </c>
      <c r="P130" s="842" t="s">
        <v>22</v>
      </c>
      <c r="Q130" s="1762">
        <v>46113</v>
      </c>
      <c r="R130" s="842" t="s">
        <v>22</v>
      </c>
      <c r="S130" s="1762">
        <v>46113</v>
      </c>
      <c r="T130" s="842" t="s">
        <v>22</v>
      </c>
      <c r="U130" s="1762">
        <v>46118</v>
      </c>
      <c r="V130" s="842" t="s">
        <v>22</v>
      </c>
      <c r="W130" s="1762" t="s">
        <v>22</v>
      </c>
      <c r="X130" s="842" t="s">
        <v>22</v>
      </c>
      <c r="Y130" s="1762" t="s">
        <v>22</v>
      </c>
      <c r="Z130" s="842" t="s">
        <v>22</v>
      </c>
      <c r="AA130" s="2943" t="s">
        <v>22</v>
      </c>
      <c r="AB130" s="2940" t="s">
        <v>22</v>
      </c>
      <c r="AC130" s="1762">
        <v>46128</v>
      </c>
      <c r="AD130" s="842" t="s">
        <v>22</v>
      </c>
      <c r="AE130" s="1762">
        <v>46132</v>
      </c>
      <c r="AF130" s="842" t="s">
        <v>22</v>
      </c>
      <c r="AG130" s="2943" t="s">
        <v>22</v>
      </c>
      <c r="AH130" s="2940" t="s">
        <v>22</v>
      </c>
      <c r="AI130" s="1762">
        <v>46127</v>
      </c>
      <c r="AJ130" s="842" t="s">
        <v>22</v>
      </c>
      <c r="AK130" s="1762" t="s">
        <v>22</v>
      </c>
      <c r="AL130" s="842" t="s">
        <v>22</v>
      </c>
      <c r="AM130" s="1549" t="s">
        <v>1041</v>
      </c>
      <c r="AN130" s="1659"/>
      <c r="AO130" s="1659"/>
      <c r="AP130" s="1659"/>
      <c r="AQ130" s="1659"/>
      <c r="AR130" s="1659"/>
      <c r="AS130" s="1659"/>
      <c r="AT130" s="1659"/>
      <c r="AU130" s="1659"/>
      <c r="AV130" s="1659"/>
      <c r="AW130" s="699"/>
      <c r="AX130" s="1659">
        <v>0</v>
      </c>
    </row>
    <row s="1874" customFormat="1" customHeight="1" ht="15">
      <c r="A131" s="1659"/>
      <c r="B131" s="2421"/>
      <c r="C131" s="2422"/>
      <c r="D131" s="713" t="str">
        <f>B129&amp;".3"</f>
        <v>3.31.3</v>
      </c>
      <c r="E131" s="1691" t="s">
        <v>1042</v>
      </c>
      <c r="F131" s="2287" t="s">
        <v>390</v>
      </c>
      <c r="G131" s="1762" t="s">
        <v>22</v>
      </c>
      <c r="H131" s="842" t="s">
        <v>22</v>
      </c>
      <c r="I131" s="1762"/>
      <c r="J131" s="842" t="s">
        <v>22</v>
      </c>
      <c r="K131" s="1762" t="s">
        <v>22</v>
      </c>
      <c r="L131" s="842" t="s">
        <v>22</v>
      </c>
      <c r="M131" s="2943" t="s">
        <v>22</v>
      </c>
      <c r="N131" s="2940" t="s">
        <v>22</v>
      </c>
      <c r="O131" s="1762" t="s">
        <v>22</v>
      </c>
      <c r="P131" s="842" t="s">
        <v>22</v>
      </c>
      <c r="Q131" s="1762" t="s">
        <v>22</v>
      </c>
      <c r="R131" s="842" t="s">
        <v>22</v>
      </c>
      <c r="S131" s="1762" t="s">
        <v>22</v>
      </c>
      <c r="T131" s="842" t="s">
        <v>22</v>
      </c>
      <c r="U131" s="1762" t="s">
        <v>22</v>
      </c>
      <c r="V131" s="842" t="s">
        <v>22</v>
      </c>
      <c r="W131" s="1762" t="s">
        <v>22</v>
      </c>
      <c r="X131" s="842" t="s">
        <v>22</v>
      </c>
      <c r="Y131" s="1762" t="s">
        <v>22</v>
      </c>
      <c r="Z131" s="842" t="s">
        <v>22</v>
      </c>
      <c r="AA131" s="2943" t="s">
        <v>22</v>
      </c>
      <c r="AB131" s="2940" t="s">
        <v>22</v>
      </c>
      <c r="AC131" s="1762" t="s">
        <v>22</v>
      </c>
      <c r="AD131" s="842" t="s">
        <v>22</v>
      </c>
      <c r="AE131" s="1762" t="s">
        <v>22</v>
      </c>
      <c r="AF131" s="842" t="s">
        <v>22</v>
      </c>
      <c r="AG131" s="2943" t="s">
        <v>22</v>
      </c>
      <c r="AH131" s="2940" t="s">
        <v>22</v>
      </c>
      <c r="AI131" s="1762" t="s">
        <v>22</v>
      </c>
      <c r="AJ131" s="842" t="s">
        <v>22</v>
      </c>
      <c r="AK131" s="1762" t="s">
        <v>22</v>
      </c>
      <c r="AL131" s="842" t="s">
        <v>22</v>
      </c>
      <c r="AM131" s="1549" t="s">
        <v>1043</v>
      </c>
      <c r="AN131" s="1659"/>
      <c r="AO131" s="1659"/>
      <c r="AP131" s="1659"/>
      <c r="AQ131" s="1659"/>
      <c r="AR131" s="1659"/>
      <c r="AS131" s="1659"/>
      <c r="AT131" s="1659"/>
      <c r="AU131" s="1659"/>
      <c r="AV131" s="1659"/>
      <c r="AW131" s="699"/>
      <c r="AX131" s="1659">
        <v>0</v>
      </c>
    </row>
    <row s="1874" customFormat="1" customHeight="1" ht="22.5">
      <c r="A132" s="1659"/>
      <c r="B132" s="2421" t="s">
        <v>1097</v>
      </c>
      <c r="C132" s="2422" t="s">
        <v>104</v>
      </c>
      <c r="D132" s="713" t="str">
        <f>B132&amp;".1"</f>
        <v>3.32.1</v>
      </c>
      <c r="E132" s="1691" t="s">
        <v>1039</v>
      </c>
      <c r="F132" s="2287" t="s">
        <v>390</v>
      </c>
      <c r="G132" s="2377" t="s">
        <v>22</v>
      </c>
      <c r="H132" s="842" t="s">
        <v>22</v>
      </c>
      <c r="I132" s="2377" t="s">
        <v>1059</v>
      </c>
      <c r="J132" s="842" t="s">
        <v>22</v>
      </c>
      <c r="K132" s="2377" t="s">
        <v>22</v>
      </c>
      <c r="L132" s="842" t="s">
        <v>22</v>
      </c>
      <c r="M132" s="2942" t="s">
        <v>22</v>
      </c>
      <c r="N132" s="2940" t="s">
        <v>22</v>
      </c>
      <c r="O132" s="2377" t="s">
        <v>1059</v>
      </c>
      <c r="P132" s="842" t="s">
        <v>22</v>
      </c>
      <c r="Q132" s="2377" t="s">
        <v>1059</v>
      </c>
      <c r="R132" s="842" t="s">
        <v>22</v>
      </c>
      <c r="S132" s="2377" t="s">
        <v>1059</v>
      </c>
      <c r="T132" s="842" t="s">
        <v>22</v>
      </c>
      <c r="U132" s="2377" t="s">
        <v>1059</v>
      </c>
      <c r="V132" s="842" t="s">
        <v>22</v>
      </c>
      <c r="W132" s="2377" t="s">
        <v>22</v>
      </c>
      <c r="X132" s="842" t="s">
        <v>22</v>
      </c>
      <c r="Y132" s="2377" t="s">
        <v>22</v>
      </c>
      <c r="Z132" s="842" t="s">
        <v>22</v>
      </c>
      <c r="AA132" s="2942" t="s">
        <v>22</v>
      </c>
      <c r="AB132" s="2940" t="s">
        <v>22</v>
      </c>
      <c r="AC132" s="2377" t="s">
        <v>1059</v>
      </c>
      <c r="AD132" s="842" t="s">
        <v>22</v>
      </c>
      <c r="AE132" s="2377" t="s">
        <v>1064</v>
      </c>
      <c r="AF132" s="842" t="s">
        <v>22</v>
      </c>
      <c r="AG132" s="2942" t="s">
        <v>22</v>
      </c>
      <c r="AH132" s="2940" t="s">
        <v>22</v>
      </c>
      <c r="AI132" s="2377" t="s">
        <v>1098</v>
      </c>
      <c r="AJ132" s="842" t="s">
        <v>22</v>
      </c>
      <c r="AK132" s="2377" t="s">
        <v>22</v>
      </c>
      <c r="AL132" s="842" t="s">
        <v>22</v>
      </c>
      <c r="AM132" s="1549"/>
      <c r="AN132" s="1659"/>
      <c r="AO132" s="1659"/>
      <c r="AP132" s="1659"/>
      <c r="AQ132" s="1659"/>
      <c r="AR132" s="1659"/>
      <c r="AS132" s="1659"/>
      <c r="AT132" s="1659"/>
      <c r="AU132" s="1659"/>
      <c r="AV132" s="1659"/>
      <c r="AW132" s="699"/>
      <c r="AX132" s="1659">
        <v>0</v>
      </c>
    </row>
    <row s="1874" customFormat="1" customHeight="1" ht="15">
      <c r="A133" s="1659"/>
      <c r="B133" s="2421"/>
      <c r="C133" s="2422"/>
      <c r="D133" s="713" t="str">
        <f>B132&amp;".2"</f>
        <v>3.32.2</v>
      </c>
      <c r="E133" s="1691" t="s">
        <v>1040</v>
      </c>
      <c r="F133" s="2287" t="s">
        <v>390</v>
      </c>
      <c r="G133" s="1762" t="s">
        <v>22</v>
      </c>
      <c r="H133" s="842" t="s">
        <v>22</v>
      </c>
      <c r="I133" s="1762">
        <v>46113</v>
      </c>
      <c r="J133" s="842" t="s">
        <v>22</v>
      </c>
      <c r="K133" s="1762" t="s">
        <v>22</v>
      </c>
      <c r="L133" s="842" t="s">
        <v>22</v>
      </c>
      <c r="M133" s="2943" t="s">
        <v>22</v>
      </c>
      <c r="N133" s="2940" t="s">
        <v>22</v>
      </c>
      <c r="O133" s="1762">
        <v>46127</v>
      </c>
      <c r="P133" s="842" t="s">
        <v>22</v>
      </c>
      <c r="Q133" s="1762">
        <v>46113</v>
      </c>
      <c r="R133" s="842" t="s">
        <v>22</v>
      </c>
      <c r="S133" s="1762">
        <v>46113</v>
      </c>
      <c r="T133" s="842" t="s">
        <v>22</v>
      </c>
      <c r="U133" s="1762">
        <v>46118</v>
      </c>
      <c r="V133" s="842" t="s">
        <v>22</v>
      </c>
      <c r="W133" s="1762" t="s">
        <v>22</v>
      </c>
      <c r="X133" s="842" t="s">
        <v>22</v>
      </c>
      <c r="Y133" s="1762" t="s">
        <v>22</v>
      </c>
      <c r="Z133" s="842" t="s">
        <v>22</v>
      </c>
      <c r="AA133" s="2943" t="s">
        <v>22</v>
      </c>
      <c r="AB133" s="2940" t="s">
        <v>22</v>
      </c>
      <c r="AC133" s="1762">
        <v>46128</v>
      </c>
      <c r="AD133" s="842" t="s">
        <v>22</v>
      </c>
      <c r="AE133" s="1762">
        <v>46133</v>
      </c>
      <c r="AF133" s="842" t="s">
        <v>22</v>
      </c>
      <c r="AG133" s="2943" t="s">
        <v>22</v>
      </c>
      <c r="AH133" s="2940" t="s">
        <v>22</v>
      </c>
      <c r="AI133" s="1762">
        <v>46127</v>
      </c>
      <c r="AJ133" s="842" t="s">
        <v>22</v>
      </c>
      <c r="AK133" s="1762" t="s">
        <v>22</v>
      </c>
      <c r="AL133" s="842" t="s">
        <v>22</v>
      </c>
      <c r="AM133" s="1549" t="s">
        <v>1041</v>
      </c>
      <c r="AN133" s="1659"/>
      <c r="AO133" s="1659"/>
      <c r="AP133" s="1659"/>
      <c r="AQ133" s="1659"/>
      <c r="AR133" s="1659"/>
      <c r="AS133" s="1659"/>
      <c r="AT133" s="1659"/>
      <c r="AU133" s="1659"/>
      <c r="AV133" s="1659"/>
      <c r="AW133" s="699"/>
      <c r="AX133" s="1659">
        <v>0</v>
      </c>
    </row>
    <row s="1874" customFormat="1" customHeight="1" ht="15">
      <c r="A134" s="1659"/>
      <c r="B134" s="2421"/>
      <c r="C134" s="2422"/>
      <c r="D134" s="713" t="str">
        <f>B132&amp;".3"</f>
        <v>3.32.3</v>
      </c>
      <c r="E134" s="1691" t="s">
        <v>1042</v>
      </c>
      <c r="F134" s="2287" t="s">
        <v>390</v>
      </c>
      <c r="G134" s="1762" t="s">
        <v>22</v>
      </c>
      <c r="H134" s="842" t="s">
        <v>22</v>
      </c>
      <c r="I134" s="1762" t="s">
        <v>22</v>
      </c>
      <c r="J134" s="842" t="s">
        <v>22</v>
      </c>
      <c r="K134" s="1762" t="s">
        <v>22</v>
      </c>
      <c r="L134" s="842" t="s">
        <v>22</v>
      </c>
      <c r="M134" s="2943" t="s">
        <v>22</v>
      </c>
      <c r="N134" s="2940" t="s">
        <v>22</v>
      </c>
      <c r="O134" s="1762" t="s">
        <v>22</v>
      </c>
      <c r="P134" s="842" t="s">
        <v>22</v>
      </c>
      <c r="Q134" s="1762" t="s">
        <v>22</v>
      </c>
      <c r="R134" s="842" t="s">
        <v>22</v>
      </c>
      <c r="S134" s="1762" t="s">
        <v>22</v>
      </c>
      <c r="T134" s="842" t="s">
        <v>22</v>
      </c>
      <c r="U134" s="1762" t="s">
        <v>22</v>
      </c>
      <c r="V134" s="842" t="s">
        <v>22</v>
      </c>
      <c r="W134" s="1762" t="s">
        <v>22</v>
      </c>
      <c r="X134" s="842" t="s">
        <v>22</v>
      </c>
      <c r="Y134" s="1762" t="s">
        <v>22</v>
      </c>
      <c r="Z134" s="842" t="s">
        <v>22</v>
      </c>
      <c r="AA134" s="2943" t="s">
        <v>22</v>
      </c>
      <c r="AB134" s="2940" t="s">
        <v>22</v>
      </c>
      <c r="AC134" s="1762" t="s">
        <v>22</v>
      </c>
      <c r="AD134" s="842" t="s">
        <v>22</v>
      </c>
      <c r="AE134" s="1762" t="s">
        <v>22</v>
      </c>
      <c r="AF134" s="842" t="s">
        <v>22</v>
      </c>
      <c r="AG134" s="2943" t="s">
        <v>22</v>
      </c>
      <c r="AH134" s="2940" t="s">
        <v>22</v>
      </c>
      <c r="AI134" s="1762">
        <v>46127</v>
      </c>
      <c r="AJ134" s="842" t="s">
        <v>22</v>
      </c>
      <c r="AK134" s="1762" t="s">
        <v>22</v>
      </c>
      <c r="AL134" s="842" t="s">
        <v>22</v>
      </c>
      <c r="AM134" s="1549" t="s">
        <v>1043</v>
      </c>
      <c r="AN134" s="1659"/>
      <c r="AO134" s="1659"/>
      <c r="AP134" s="1659"/>
      <c r="AQ134" s="1659"/>
      <c r="AR134" s="1659"/>
      <c r="AS134" s="1659"/>
      <c r="AT134" s="1659"/>
      <c r="AU134" s="1659"/>
      <c r="AV134" s="1659"/>
      <c r="AW134" s="699"/>
      <c r="AX134" s="1659">
        <v>0</v>
      </c>
    </row>
    <row s="1874" customFormat="1" customHeight="1" ht="22.5">
      <c r="A135" s="1659"/>
      <c r="B135" s="2421" t="s">
        <v>1099</v>
      </c>
      <c r="C135" s="2422" t="s">
        <v>104</v>
      </c>
      <c r="D135" s="713" t="str">
        <f>B135&amp;".1"</f>
        <v>3.33.1</v>
      </c>
      <c r="E135" s="1691" t="s">
        <v>1039</v>
      </c>
      <c r="F135" s="2287" t="s">
        <v>390</v>
      </c>
      <c r="G135" s="2377" t="s">
        <v>22</v>
      </c>
      <c r="H135" s="842" t="s">
        <v>22</v>
      </c>
      <c r="I135" s="2377" t="s">
        <v>1059</v>
      </c>
      <c r="J135" s="842" t="s">
        <v>22</v>
      </c>
      <c r="K135" s="2377" t="s">
        <v>22</v>
      </c>
      <c r="L135" s="842" t="s">
        <v>22</v>
      </c>
      <c r="M135" s="2942" t="s">
        <v>22</v>
      </c>
      <c r="N135" s="2940" t="s">
        <v>22</v>
      </c>
      <c r="O135" s="2377" t="s">
        <v>1059</v>
      </c>
      <c r="P135" s="842" t="s">
        <v>22</v>
      </c>
      <c r="Q135" s="2377" t="s">
        <v>1059</v>
      </c>
      <c r="R135" s="842" t="s">
        <v>22</v>
      </c>
      <c r="S135" s="2377" t="s">
        <v>1059</v>
      </c>
      <c r="T135" s="842" t="s">
        <v>22</v>
      </c>
      <c r="U135" s="2377" t="s">
        <v>1059</v>
      </c>
      <c r="V135" s="842" t="s">
        <v>22</v>
      </c>
      <c r="W135" s="2377" t="s">
        <v>22</v>
      </c>
      <c r="X135" s="842" t="s">
        <v>22</v>
      </c>
      <c r="Y135" s="2377" t="s">
        <v>22</v>
      </c>
      <c r="Z135" s="842" t="s">
        <v>22</v>
      </c>
      <c r="AA135" s="2942" t="s">
        <v>22</v>
      </c>
      <c r="AB135" s="2940" t="s">
        <v>22</v>
      </c>
      <c r="AC135" s="2377" t="s">
        <v>1059</v>
      </c>
      <c r="AD135" s="842" t="s">
        <v>22</v>
      </c>
      <c r="AE135" s="2377" t="s">
        <v>1074</v>
      </c>
      <c r="AF135" s="842" t="s">
        <v>22</v>
      </c>
      <c r="AG135" s="2942" t="s">
        <v>22</v>
      </c>
      <c r="AH135" s="2940" t="s">
        <v>22</v>
      </c>
      <c r="AI135" s="2377" t="s">
        <v>1059</v>
      </c>
      <c r="AJ135" s="842" t="s">
        <v>22</v>
      </c>
      <c r="AK135" s="2377" t="s">
        <v>22</v>
      </c>
      <c r="AL135" s="842" t="s">
        <v>22</v>
      </c>
      <c r="AM135" s="1549"/>
      <c r="AN135" s="1659"/>
      <c r="AO135" s="1659"/>
      <c r="AP135" s="1659"/>
      <c r="AQ135" s="1659"/>
      <c r="AR135" s="1659"/>
      <c r="AS135" s="1659"/>
      <c r="AT135" s="1659"/>
      <c r="AU135" s="1659"/>
      <c r="AV135" s="1659"/>
      <c r="AW135" s="699"/>
      <c r="AX135" s="1659">
        <v>0</v>
      </c>
    </row>
    <row s="1874" customFormat="1" customHeight="1" ht="15">
      <c r="A136" s="1659"/>
      <c r="B136" s="2421"/>
      <c r="C136" s="2422"/>
      <c r="D136" s="713" t="str">
        <f>B135&amp;".2"</f>
        <v>3.33.2</v>
      </c>
      <c r="E136" s="1691" t="s">
        <v>1040</v>
      </c>
      <c r="F136" s="2287" t="s">
        <v>390</v>
      </c>
      <c r="G136" s="1762" t="s">
        <v>22</v>
      </c>
      <c r="H136" s="842" t="s">
        <v>22</v>
      </c>
      <c r="I136" s="1762">
        <v>46113</v>
      </c>
      <c r="J136" s="842" t="s">
        <v>22</v>
      </c>
      <c r="K136" s="1762" t="s">
        <v>22</v>
      </c>
      <c r="L136" s="842" t="s">
        <v>22</v>
      </c>
      <c r="M136" s="2943" t="s">
        <v>22</v>
      </c>
      <c r="N136" s="2940" t="s">
        <v>22</v>
      </c>
      <c r="O136" s="1762">
        <v>46127</v>
      </c>
      <c r="P136" s="842" t="s">
        <v>22</v>
      </c>
      <c r="Q136" s="1762">
        <v>46113</v>
      </c>
      <c r="R136" s="842" t="s">
        <v>22</v>
      </c>
      <c r="S136" s="1762">
        <v>46113</v>
      </c>
      <c r="T136" s="842" t="s">
        <v>22</v>
      </c>
      <c r="U136" s="1762">
        <v>46120</v>
      </c>
      <c r="V136" s="842" t="s">
        <v>22</v>
      </c>
      <c r="W136" s="1762" t="s">
        <v>22</v>
      </c>
      <c r="X136" s="842" t="s">
        <v>22</v>
      </c>
      <c r="Y136" s="1762" t="s">
        <v>22</v>
      </c>
      <c r="Z136" s="842" t="s">
        <v>22</v>
      </c>
      <c r="AA136" s="2943" t="s">
        <v>22</v>
      </c>
      <c r="AB136" s="2940" t="s">
        <v>22</v>
      </c>
      <c r="AC136" s="1762">
        <v>46129</v>
      </c>
      <c r="AD136" s="842" t="s">
        <v>22</v>
      </c>
      <c r="AE136" s="1762">
        <v>46133</v>
      </c>
      <c r="AF136" s="842" t="s">
        <v>22</v>
      </c>
      <c r="AG136" s="2943" t="s">
        <v>22</v>
      </c>
      <c r="AH136" s="2940" t="s">
        <v>22</v>
      </c>
      <c r="AI136" s="1762">
        <v>46128</v>
      </c>
      <c r="AJ136" s="842" t="s">
        <v>22</v>
      </c>
      <c r="AK136" s="1762" t="s">
        <v>22</v>
      </c>
      <c r="AL136" s="842" t="s">
        <v>22</v>
      </c>
      <c r="AM136" s="1549" t="s">
        <v>1041</v>
      </c>
      <c r="AN136" s="1659"/>
      <c r="AO136" s="1659"/>
      <c r="AP136" s="1659"/>
      <c r="AQ136" s="1659"/>
      <c r="AR136" s="1659"/>
      <c r="AS136" s="1659"/>
      <c r="AT136" s="1659"/>
      <c r="AU136" s="1659"/>
      <c r="AV136" s="1659"/>
      <c r="AW136" s="699"/>
      <c r="AX136" s="1659">
        <v>0</v>
      </c>
    </row>
    <row s="1874" customFormat="1" customHeight="1" ht="15">
      <c r="A137" s="1659"/>
      <c r="B137" s="2421"/>
      <c r="C137" s="2422"/>
      <c r="D137" s="713" t="str">
        <f>B135&amp;".3"</f>
        <v>3.33.3</v>
      </c>
      <c r="E137" s="1691" t="s">
        <v>1042</v>
      </c>
      <c r="F137" s="2287" t="s">
        <v>390</v>
      </c>
      <c r="G137" s="1762" t="s">
        <v>22</v>
      </c>
      <c r="H137" s="842" t="s">
        <v>22</v>
      </c>
      <c r="I137" s="1762"/>
      <c r="J137" s="842" t="s">
        <v>22</v>
      </c>
      <c r="K137" s="1762" t="s">
        <v>22</v>
      </c>
      <c r="L137" s="842" t="s">
        <v>22</v>
      </c>
      <c r="M137" s="2943" t="s">
        <v>22</v>
      </c>
      <c r="N137" s="2940" t="s">
        <v>22</v>
      </c>
      <c r="O137" s="1762" t="s">
        <v>22</v>
      </c>
      <c r="P137" s="842" t="s">
        <v>22</v>
      </c>
      <c r="Q137" s="1762" t="s">
        <v>22</v>
      </c>
      <c r="R137" s="842" t="s">
        <v>22</v>
      </c>
      <c r="S137" s="1762" t="s">
        <v>22</v>
      </c>
      <c r="T137" s="842" t="s">
        <v>22</v>
      </c>
      <c r="U137" s="1762" t="s">
        <v>22</v>
      </c>
      <c r="V137" s="842" t="s">
        <v>22</v>
      </c>
      <c r="W137" s="1762" t="s">
        <v>22</v>
      </c>
      <c r="X137" s="842" t="s">
        <v>22</v>
      </c>
      <c r="Y137" s="1762" t="s">
        <v>22</v>
      </c>
      <c r="Z137" s="842" t="s">
        <v>22</v>
      </c>
      <c r="AA137" s="2943" t="s">
        <v>22</v>
      </c>
      <c r="AB137" s="2940" t="s">
        <v>22</v>
      </c>
      <c r="AC137" s="1762" t="s">
        <v>22</v>
      </c>
      <c r="AD137" s="842" t="s">
        <v>22</v>
      </c>
      <c r="AE137" s="1762" t="s">
        <v>22</v>
      </c>
      <c r="AF137" s="842" t="s">
        <v>22</v>
      </c>
      <c r="AG137" s="2943" t="s">
        <v>22</v>
      </c>
      <c r="AH137" s="2940" t="s">
        <v>22</v>
      </c>
      <c r="AI137" s="1762" t="s">
        <v>22</v>
      </c>
      <c r="AJ137" s="842" t="s">
        <v>22</v>
      </c>
      <c r="AK137" s="1762" t="s">
        <v>22</v>
      </c>
      <c r="AL137" s="842" t="s">
        <v>22</v>
      </c>
      <c r="AM137" s="1549" t="s">
        <v>1043</v>
      </c>
      <c r="AN137" s="1659"/>
      <c r="AO137" s="1659"/>
      <c r="AP137" s="1659"/>
      <c r="AQ137" s="1659"/>
      <c r="AR137" s="1659"/>
      <c r="AS137" s="1659"/>
      <c r="AT137" s="1659"/>
      <c r="AU137" s="1659"/>
      <c r="AV137" s="1659"/>
      <c r="AW137" s="699"/>
      <c r="AX137" s="1659">
        <v>0</v>
      </c>
    </row>
    <row s="1874" customFormat="1" customHeight="1" ht="22.5">
      <c r="A138" s="1659"/>
      <c r="B138" s="2421" t="s">
        <v>1100</v>
      </c>
      <c r="C138" s="2422" t="s">
        <v>104</v>
      </c>
      <c r="D138" s="713" t="str">
        <f>B138&amp;".1"</f>
        <v>3.34.1</v>
      </c>
      <c r="E138" s="1691" t="s">
        <v>1039</v>
      </c>
      <c r="F138" s="2287" t="s">
        <v>390</v>
      </c>
      <c r="G138" s="2377" t="s">
        <v>22</v>
      </c>
      <c r="H138" s="842" t="s">
        <v>22</v>
      </c>
      <c r="I138" s="2377" t="s">
        <v>1059</v>
      </c>
      <c r="J138" s="842" t="s">
        <v>22</v>
      </c>
      <c r="K138" s="2377" t="s">
        <v>22</v>
      </c>
      <c r="L138" s="842" t="s">
        <v>22</v>
      </c>
      <c r="M138" s="2942" t="s">
        <v>22</v>
      </c>
      <c r="N138" s="2940" t="s">
        <v>22</v>
      </c>
      <c r="O138" s="2377" t="s">
        <v>1059</v>
      </c>
      <c r="P138" s="842" t="s">
        <v>22</v>
      </c>
      <c r="Q138" s="2377" t="s">
        <v>1059</v>
      </c>
      <c r="R138" s="842" t="s">
        <v>22</v>
      </c>
      <c r="S138" s="2377" t="s">
        <v>1059</v>
      </c>
      <c r="T138" s="842" t="s">
        <v>22</v>
      </c>
      <c r="U138" s="2377" t="s">
        <v>1059</v>
      </c>
      <c r="V138" s="842" t="s">
        <v>22</v>
      </c>
      <c r="W138" s="2377" t="s">
        <v>22</v>
      </c>
      <c r="X138" s="842" t="s">
        <v>22</v>
      </c>
      <c r="Y138" s="2377" t="s">
        <v>22</v>
      </c>
      <c r="Z138" s="842" t="s">
        <v>22</v>
      </c>
      <c r="AA138" s="2942" t="s">
        <v>22</v>
      </c>
      <c r="AB138" s="2940" t="s">
        <v>22</v>
      </c>
      <c r="AC138" s="2377" t="s">
        <v>1059</v>
      </c>
      <c r="AD138" s="842" t="s">
        <v>22</v>
      </c>
      <c r="AE138" s="2377" t="s">
        <v>1059</v>
      </c>
      <c r="AF138" s="842" t="s">
        <v>22</v>
      </c>
      <c r="AG138" s="2942" t="s">
        <v>22</v>
      </c>
      <c r="AH138" s="2940" t="s">
        <v>22</v>
      </c>
      <c r="AI138" s="2377" t="s">
        <v>1059</v>
      </c>
      <c r="AJ138" s="842" t="s">
        <v>22</v>
      </c>
      <c r="AK138" s="2377" t="s">
        <v>22</v>
      </c>
      <c r="AL138" s="842" t="s">
        <v>22</v>
      </c>
      <c r="AM138" s="1549"/>
      <c r="AN138" s="1659"/>
      <c r="AO138" s="1659"/>
      <c r="AP138" s="1659"/>
      <c r="AQ138" s="1659"/>
      <c r="AR138" s="1659"/>
      <c r="AS138" s="1659"/>
      <c r="AT138" s="1659"/>
      <c r="AU138" s="1659"/>
      <c r="AV138" s="1659"/>
      <c r="AW138" s="699"/>
      <c r="AX138" s="1659">
        <v>0</v>
      </c>
    </row>
    <row s="1874" customFormat="1" customHeight="1" ht="15">
      <c r="A139" s="1659"/>
      <c r="B139" s="2421"/>
      <c r="C139" s="2422"/>
      <c r="D139" s="713" t="str">
        <f>B138&amp;".2"</f>
        <v>3.34.2</v>
      </c>
      <c r="E139" s="1691" t="s">
        <v>1040</v>
      </c>
      <c r="F139" s="2287" t="s">
        <v>390</v>
      </c>
      <c r="G139" s="1762" t="s">
        <v>22</v>
      </c>
      <c r="H139" s="842" t="s">
        <v>22</v>
      </c>
      <c r="I139" s="1762">
        <v>46113</v>
      </c>
      <c r="J139" s="842" t="s">
        <v>22</v>
      </c>
      <c r="K139" s="1762" t="s">
        <v>22</v>
      </c>
      <c r="L139" s="842" t="s">
        <v>22</v>
      </c>
      <c r="M139" s="2943" t="s">
        <v>22</v>
      </c>
      <c r="N139" s="2940" t="s">
        <v>22</v>
      </c>
      <c r="O139" s="1762">
        <v>46127</v>
      </c>
      <c r="P139" s="842" t="s">
        <v>22</v>
      </c>
      <c r="Q139" s="1762">
        <v>46113</v>
      </c>
      <c r="R139" s="842" t="s">
        <v>22</v>
      </c>
      <c r="S139" s="1762">
        <v>46113</v>
      </c>
      <c r="T139" s="842" t="s">
        <v>22</v>
      </c>
      <c r="U139" s="1762">
        <v>46120</v>
      </c>
      <c r="V139" s="842" t="s">
        <v>22</v>
      </c>
      <c r="W139" s="1762" t="s">
        <v>22</v>
      </c>
      <c r="X139" s="842" t="s">
        <v>22</v>
      </c>
      <c r="Y139" s="1762" t="s">
        <v>22</v>
      </c>
      <c r="Z139" s="842" t="s">
        <v>22</v>
      </c>
      <c r="AA139" s="2943" t="s">
        <v>22</v>
      </c>
      <c r="AB139" s="2940" t="s">
        <v>22</v>
      </c>
      <c r="AC139" s="1762">
        <v>46129</v>
      </c>
      <c r="AD139" s="842" t="s">
        <v>22</v>
      </c>
      <c r="AE139" s="1762">
        <v>46136</v>
      </c>
      <c r="AF139" s="842" t="s">
        <v>22</v>
      </c>
      <c r="AG139" s="2943" t="s">
        <v>22</v>
      </c>
      <c r="AH139" s="2940" t="s">
        <v>22</v>
      </c>
      <c r="AI139" s="1762">
        <v>46128</v>
      </c>
      <c r="AJ139" s="842" t="s">
        <v>22</v>
      </c>
      <c r="AK139" s="1762" t="s">
        <v>22</v>
      </c>
      <c r="AL139" s="842" t="s">
        <v>22</v>
      </c>
      <c r="AM139" s="1549" t="s">
        <v>1041</v>
      </c>
      <c r="AN139" s="1659"/>
      <c r="AO139" s="1659"/>
      <c r="AP139" s="1659"/>
      <c r="AQ139" s="1659"/>
      <c r="AR139" s="1659"/>
      <c r="AS139" s="1659"/>
      <c r="AT139" s="1659"/>
      <c r="AU139" s="1659"/>
      <c r="AV139" s="1659"/>
      <c r="AW139" s="699"/>
      <c r="AX139" s="1659">
        <v>0</v>
      </c>
    </row>
    <row s="1874" customFormat="1" customHeight="1" ht="15">
      <c r="A140" s="1659"/>
      <c r="B140" s="2421"/>
      <c r="C140" s="2422"/>
      <c r="D140" s="713" t="str">
        <f>B138&amp;".3"</f>
        <v>3.34.3</v>
      </c>
      <c r="E140" s="1691" t="s">
        <v>1042</v>
      </c>
      <c r="F140" s="2287" t="s">
        <v>390</v>
      </c>
      <c r="G140" s="1762" t="s">
        <v>22</v>
      </c>
      <c r="H140" s="842" t="s">
        <v>22</v>
      </c>
      <c r="I140" s="1762"/>
      <c r="J140" s="842" t="s">
        <v>22</v>
      </c>
      <c r="K140" s="1762" t="s">
        <v>22</v>
      </c>
      <c r="L140" s="842" t="s">
        <v>22</v>
      </c>
      <c r="M140" s="2943" t="s">
        <v>22</v>
      </c>
      <c r="N140" s="2940" t="s">
        <v>22</v>
      </c>
      <c r="O140" s="1762" t="s">
        <v>22</v>
      </c>
      <c r="P140" s="842" t="s">
        <v>22</v>
      </c>
      <c r="Q140" s="1762" t="s">
        <v>22</v>
      </c>
      <c r="R140" s="842" t="s">
        <v>22</v>
      </c>
      <c r="S140" s="1762" t="s">
        <v>22</v>
      </c>
      <c r="T140" s="842" t="s">
        <v>22</v>
      </c>
      <c r="U140" s="1762" t="s">
        <v>22</v>
      </c>
      <c r="V140" s="842" t="s">
        <v>22</v>
      </c>
      <c r="W140" s="1762" t="s">
        <v>22</v>
      </c>
      <c r="X140" s="842" t="s">
        <v>22</v>
      </c>
      <c r="Y140" s="1762" t="s">
        <v>22</v>
      </c>
      <c r="Z140" s="842" t="s">
        <v>22</v>
      </c>
      <c r="AA140" s="2943" t="s">
        <v>22</v>
      </c>
      <c r="AB140" s="2940" t="s">
        <v>22</v>
      </c>
      <c r="AC140" s="1762" t="s">
        <v>22</v>
      </c>
      <c r="AD140" s="842" t="s">
        <v>22</v>
      </c>
      <c r="AE140" s="1762" t="s">
        <v>22</v>
      </c>
      <c r="AF140" s="842" t="s">
        <v>22</v>
      </c>
      <c r="AG140" s="2943" t="s">
        <v>22</v>
      </c>
      <c r="AH140" s="2940" t="s">
        <v>22</v>
      </c>
      <c r="AI140" s="1762" t="s">
        <v>22</v>
      </c>
      <c r="AJ140" s="842" t="s">
        <v>22</v>
      </c>
      <c r="AK140" s="1762" t="s">
        <v>22</v>
      </c>
      <c r="AL140" s="842" t="s">
        <v>22</v>
      </c>
      <c r="AM140" s="1549" t="s">
        <v>1043</v>
      </c>
      <c r="AN140" s="1659"/>
      <c r="AO140" s="1659"/>
      <c r="AP140" s="1659"/>
      <c r="AQ140" s="1659"/>
      <c r="AR140" s="1659"/>
      <c r="AS140" s="1659"/>
      <c r="AT140" s="1659"/>
      <c r="AU140" s="1659"/>
      <c r="AV140" s="1659"/>
      <c r="AW140" s="699"/>
      <c r="AX140" s="1659">
        <v>0</v>
      </c>
    </row>
    <row s="1874" customFormat="1" customHeight="1" ht="22.5">
      <c r="A141" s="1659"/>
      <c r="B141" s="2421" t="s">
        <v>1101</v>
      </c>
      <c r="C141" s="2422" t="s">
        <v>104</v>
      </c>
      <c r="D141" s="713" t="str">
        <f>B141&amp;".1"</f>
        <v>3.35.1</v>
      </c>
      <c r="E141" s="1691" t="s">
        <v>1039</v>
      </c>
      <c r="F141" s="2287" t="s">
        <v>390</v>
      </c>
      <c r="G141" s="2377" t="s">
        <v>22</v>
      </c>
      <c r="H141" s="842" t="s">
        <v>22</v>
      </c>
      <c r="I141" s="2377" t="s">
        <v>1059</v>
      </c>
      <c r="J141" s="842" t="s">
        <v>22</v>
      </c>
      <c r="K141" s="2377" t="s">
        <v>22</v>
      </c>
      <c r="L141" s="842" t="s">
        <v>22</v>
      </c>
      <c r="M141" s="2942" t="s">
        <v>22</v>
      </c>
      <c r="N141" s="2940" t="s">
        <v>22</v>
      </c>
      <c r="O141" s="2377" t="s">
        <v>1059</v>
      </c>
      <c r="P141" s="842" t="s">
        <v>22</v>
      </c>
      <c r="Q141" s="2377" t="s">
        <v>1059</v>
      </c>
      <c r="R141" s="842" t="s">
        <v>22</v>
      </c>
      <c r="S141" s="2377" t="s">
        <v>1059</v>
      </c>
      <c r="T141" s="842" t="s">
        <v>22</v>
      </c>
      <c r="U141" s="2377" t="s">
        <v>1059</v>
      </c>
      <c r="V141" s="842" t="s">
        <v>22</v>
      </c>
      <c r="W141" s="2377" t="s">
        <v>22</v>
      </c>
      <c r="X141" s="842" t="s">
        <v>22</v>
      </c>
      <c r="Y141" s="2377" t="s">
        <v>22</v>
      </c>
      <c r="Z141" s="842" t="s">
        <v>22</v>
      </c>
      <c r="AA141" s="2942" t="s">
        <v>22</v>
      </c>
      <c r="AB141" s="2940" t="s">
        <v>22</v>
      </c>
      <c r="AC141" s="2377" t="s">
        <v>1064</v>
      </c>
      <c r="AD141" s="842" t="s">
        <v>22</v>
      </c>
      <c r="AE141" s="2377" t="s">
        <v>1074</v>
      </c>
      <c r="AF141" s="842" t="s">
        <v>22</v>
      </c>
      <c r="AG141" s="2942" t="s">
        <v>22</v>
      </c>
      <c r="AH141" s="2940" t="s">
        <v>22</v>
      </c>
      <c r="AI141" s="2377" t="s">
        <v>1064</v>
      </c>
      <c r="AJ141" s="842" t="s">
        <v>22</v>
      </c>
      <c r="AK141" s="2377" t="s">
        <v>22</v>
      </c>
      <c r="AL141" s="842" t="s">
        <v>22</v>
      </c>
      <c r="AM141" s="1549"/>
      <c r="AN141" s="1659"/>
      <c r="AO141" s="1659"/>
      <c r="AP141" s="1659"/>
      <c r="AQ141" s="1659"/>
      <c r="AR141" s="1659"/>
      <c r="AS141" s="1659"/>
      <c r="AT141" s="1659"/>
      <c r="AU141" s="1659"/>
      <c r="AV141" s="1659"/>
      <c r="AW141" s="699"/>
      <c r="AX141" s="1659">
        <v>0</v>
      </c>
    </row>
    <row s="1874" customFormat="1" customHeight="1" ht="15">
      <c r="A142" s="1659"/>
      <c r="B142" s="2421"/>
      <c r="C142" s="2422"/>
      <c r="D142" s="713" t="str">
        <f>B141&amp;".2"</f>
        <v>3.35.2</v>
      </c>
      <c r="E142" s="1691" t="s">
        <v>1040</v>
      </c>
      <c r="F142" s="2287" t="s">
        <v>390</v>
      </c>
      <c r="G142" s="1762" t="s">
        <v>22</v>
      </c>
      <c r="H142" s="842" t="s">
        <v>22</v>
      </c>
      <c r="I142" s="1762">
        <v>46113</v>
      </c>
      <c r="J142" s="842" t="s">
        <v>22</v>
      </c>
      <c r="K142" s="1762" t="s">
        <v>22</v>
      </c>
      <c r="L142" s="842" t="s">
        <v>22</v>
      </c>
      <c r="M142" s="2943" t="s">
        <v>22</v>
      </c>
      <c r="N142" s="2940" t="s">
        <v>22</v>
      </c>
      <c r="O142" s="1762">
        <v>46127</v>
      </c>
      <c r="P142" s="842" t="s">
        <v>22</v>
      </c>
      <c r="Q142" s="1762">
        <v>46113</v>
      </c>
      <c r="R142" s="842" t="s">
        <v>22</v>
      </c>
      <c r="S142" s="1762">
        <v>46113</v>
      </c>
      <c r="T142" s="842" t="s">
        <v>22</v>
      </c>
      <c r="U142" s="1762">
        <v>46122</v>
      </c>
      <c r="V142" s="842" t="s">
        <v>22</v>
      </c>
      <c r="W142" s="1762" t="s">
        <v>22</v>
      </c>
      <c r="X142" s="842" t="s">
        <v>22</v>
      </c>
      <c r="Y142" s="1762" t="s">
        <v>22</v>
      </c>
      <c r="Z142" s="842" t="s">
        <v>22</v>
      </c>
      <c r="AA142" s="2943" t="s">
        <v>22</v>
      </c>
      <c r="AB142" s="2940" t="s">
        <v>22</v>
      </c>
      <c r="AC142" s="1762">
        <v>46132</v>
      </c>
      <c r="AD142" s="842" t="s">
        <v>22</v>
      </c>
      <c r="AE142" s="1762">
        <v>46136</v>
      </c>
      <c r="AF142" s="842" t="s">
        <v>22</v>
      </c>
      <c r="AG142" s="2943" t="s">
        <v>22</v>
      </c>
      <c r="AH142" s="2940" t="s">
        <v>22</v>
      </c>
      <c r="AI142" s="1762">
        <v>46128</v>
      </c>
      <c r="AJ142" s="842" t="s">
        <v>22</v>
      </c>
      <c r="AK142" s="1762" t="s">
        <v>22</v>
      </c>
      <c r="AL142" s="842" t="s">
        <v>22</v>
      </c>
      <c r="AM142" s="1549" t="s">
        <v>1041</v>
      </c>
      <c r="AN142" s="1659"/>
      <c r="AO142" s="1659"/>
      <c r="AP142" s="1659"/>
      <c r="AQ142" s="1659"/>
      <c r="AR142" s="1659"/>
      <c r="AS142" s="1659"/>
      <c r="AT142" s="1659"/>
      <c r="AU142" s="1659"/>
      <c r="AV142" s="1659"/>
      <c r="AW142" s="699"/>
      <c r="AX142" s="1659">
        <v>0</v>
      </c>
    </row>
    <row s="1874" customFormat="1" customHeight="1" ht="15">
      <c r="A143" s="1659"/>
      <c r="B143" s="2421"/>
      <c r="C143" s="2422"/>
      <c r="D143" s="713" t="str">
        <f>B141&amp;".3"</f>
        <v>3.35.3</v>
      </c>
      <c r="E143" s="1691" t="s">
        <v>1042</v>
      </c>
      <c r="F143" s="2287" t="s">
        <v>390</v>
      </c>
      <c r="G143" s="1762" t="s">
        <v>22</v>
      </c>
      <c r="H143" s="842" t="s">
        <v>22</v>
      </c>
      <c r="I143" s="1762" t="s">
        <v>22</v>
      </c>
      <c r="J143" s="842" t="s">
        <v>22</v>
      </c>
      <c r="K143" s="1762" t="s">
        <v>22</v>
      </c>
      <c r="L143" s="842" t="s">
        <v>22</v>
      </c>
      <c r="M143" s="2943" t="s">
        <v>22</v>
      </c>
      <c r="N143" s="2940" t="s">
        <v>22</v>
      </c>
      <c r="O143" s="1762" t="s">
        <v>22</v>
      </c>
      <c r="P143" s="842" t="s">
        <v>22</v>
      </c>
      <c r="Q143" s="1762" t="s">
        <v>22</v>
      </c>
      <c r="R143" s="842" t="s">
        <v>22</v>
      </c>
      <c r="S143" s="1762" t="s">
        <v>22</v>
      </c>
      <c r="T143" s="842" t="s">
        <v>22</v>
      </c>
      <c r="U143" s="1762" t="s">
        <v>22</v>
      </c>
      <c r="V143" s="842" t="s">
        <v>22</v>
      </c>
      <c r="W143" s="1762" t="s">
        <v>22</v>
      </c>
      <c r="X143" s="842" t="s">
        <v>22</v>
      </c>
      <c r="Y143" s="1762" t="s">
        <v>22</v>
      </c>
      <c r="Z143" s="842" t="s">
        <v>22</v>
      </c>
      <c r="AA143" s="2943" t="s">
        <v>22</v>
      </c>
      <c r="AB143" s="2940" t="s">
        <v>22</v>
      </c>
      <c r="AC143" s="1762" t="s">
        <v>22</v>
      </c>
      <c r="AD143" s="842" t="s">
        <v>22</v>
      </c>
      <c r="AE143" s="1762" t="s">
        <v>22</v>
      </c>
      <c r="AF143" s="842" t="s">
        <v>22</v>
      </c>
      <c r="AG143" s="2943" t="s">
        <v>22</v>
      </c>
      <c r="AH143" s="2940" t="s">
        <v>22</v>
      </c>
      <c r="AI143" s="1762" t="s">
        <v>22</v>
      </c>
      <c r="AJ143" s="842" t="s">
        <v>22</v>
      </c>
      <c r="AK143" s="1762" t="s">
        <v>22</v>
      </c>
      <c r="AL143" s="842" t="s">
        <v>22</v>
      </c>
      <c r="AM143" s="1549" t="s">
        <v>1043</v>
      </c>
      <c r="AN143" s="1659"/>
      <c r="AO143" s="1659"/>
      <c r="AP143" s="1659"/>
      <c r="AQ143" s="1659"/>
      <c r="AR143" s="1659"/>
      <c r="AS143" s="1659"/>
      <c r="AT143" s="1659"/>
      <c r="AU143" s="1659"/>
      <c r="AV143" s="1659"/>
      <c r="AW143" s="699"/>
      <c r="AX143" s="1659">
        <v>0</v>
      </c>
    </row>
    <row s="1874" customFormat="1" customHeight="1" ht="22.5">
      <c r="A144" s="1659"/>
      <c r="B144" s="2421" t="s">
        <v>1102</v>
      </c>
      <c r="C144" s="2422" t="s">
        <v>104</v>
      </c>
      <c r="D144" s="713" t="str">
        <f>B144&amp;".1"</f>
        <v>3.36.1</v>
      </c>
      <c r="E144" s="1691" t="s">
        <v>1039</v>
      </c>
      <c r="F144" s="2287" t="s">
        <v>390</v>
      </c>
      <c r="G144" s="2377" t="s">
        <v>22</v>
      </c>
      <c r="H144" s="842" t="s">
        <v>22</v>
      </c>
      <c r="I144" s="2377" t="s">
        <v>1059</v>
      </c>
      <c r="J144" s="842" t="s">
        <v>22</v>
      </c>
      <c r="K144" s="2377" t="s">
        <v>22</v>
      </c>
      <c r="L144" s="842" t="s">
        <v>22</v>
      </c>
      <c r="M144" s="2942" t="s">
        <v>22</v>
      </c>
      <c r="N144" s="2940" t="s">
        <v>22</v>
      </c>
      <c r="O144" s="2377" t="s">
        <v>1059</v>
      </c>
      <c r="P144" s="842" t="s">
        <v>22</v>
      </c>
      <c r="Q144" s="2377" t="s">
        <v>1059</v>
      </c>
      <c r="R144" s="842" t="s">
        <v>22</v>
      </c>
      <c r="S144" s="2377" t="s">
        <v>1059</v>
      </c>
      <c r="T144" s="842" t="s">
        <v>22</v>
      </c>
      <c r="U144" s="2377" t="s">
        <v>1059</v>
      </c>
      <c r="V144" s="842" t="s">
        <v>22</v>
      </c>
      <c r="W144" s="2377" t="s">
        <v>22</v>
      </c>
      <c r="X144" s="842" t="s">
        <v>22</v>
      </c>
      <c r="Y144" s="2377" t="s">
        <v>22</v>
      </c>
      <c r="Z144" s="842" t="s">
        <v>22</v>
      </c>
      <c r="AA144" s="2942" t="s">
        <v>22</v>
      </c>
      <c r="AB144" s="2940" t="s">
        <v>22</v>
      </c>
      <c r="AC144" s="2377" t="s">
        <v>1064</v>
      </c>
      <c r="AD144" s="842" t="s">
        <v>22</v>
      </c>
      <c r="AE144" s="2377" t="s">
        <v>1059</v>
      </c>
      <c r="AF144" s="842" t="s">
        <v>22</v>
      </c>
      <c r="AG144" s="2942" t="s">
        <v>22</v>
      </c>
      <c r="AH144" s="2940" t="s">
        <v>22</v>
      </c>
      <c r="AI144" s="2377" t="s">
        <v>1103</v>
      </c>
      <c r="AJ144" s="842" t="s">
        <v>22</v>
      </c>
      <c r="AK144" s="2377" t="s">
        <v>22</v>
      </c>
      <c r="AL144" s="842" t="s">
        <v>22</v>
      </c>
      <c r="AM144" s="1549"/>
      <c r="AN144" s="1659"/>
      <c r="AO144" s="1659"/>
      <c r="AP144" s="1659"/>
      <c r="AQ144" s="1659"/>
      <c r="AR144" s="1659"/>
      <c r="AS144" s="1659"/>
      <c r="AT144" s="1659"/>
      <c r="AU144" s="1659"/>
      <c r="AV144" s="1659"/>
      <c r="AW144" s="699"/>
      <c r="AX144" s="1659">
        <v>0</v>
      </c>
    </row>
    <row s="1874" customFormat="1" customHeight="1" ht="15">
      <c r="A145" s="1659"/>
      <c r="B145" s="2421"/>
      <c r="C145" s="2422"/>
      <c r="D145" s="713" t="str">
        <f>B144&amp;".2"</f>
        <v>3.36.2</v>
      </c>
      <c r="E145" s="1691" t="s">
        <v>1040</v>
      </c>
      <c r="F145" s="2287" t="s">
        <v>390</v>
      </c>
      <c r="G145" s="1762" t="s">
        <v>22</v>
      </c>
      <c r="H145" s="842" t="s">
        <v>22</v>
      </c>
      <c r="I145" s="1762">
        <v>46114</v>
      </c>
      <c r="J145" s="842" t="s">
        <v>22</v>
      </c>
      <c r="K145" s="1762" t="s">
        <v>22</v>
      </c>
      <c r="L145" s="842" t="s">
        <v>22</v>
      </c>
      <c r="M145" s="2943" t="s">
        <v>22</v>
      </c>
      <c r="N145" s="2940" t="s">
        <v>22</v>
      </c>
      <c r="O145" s="1762">
        <v>46127</v>
      </c>
      <c r="P145" s="842" t="s">
        <v>22</v>
      </c>
      <c r="Q145" s="1762">
        <v>46113</v>
      </c>
      <c r="R145" s="842" t="s">
        <v>22</v>
      </c>
      <c r="S145" s="1762">
        <v>46113</v>
      </c>
      <c r="T145" s="842" t="s">
        <v>22</v>
      </c>
      <c r="U145" s="1762">
        <v>46122</v>
      </c>
      <c r="V145" s="842" t="s">
        <v>22</v>
      </c>
      <c r="W145" s="1762" t="s">
        <v>22</v>
      </c>
      <c r="X145" s="842" t="s">
        <v>22</v>
      </c>
      <c r="Y145" s="1762" t="s">
        <v>22</v>
      </c>
      <c r="Z145" s="842" t="s">
        <v>22</v>
      </c>
      <c r="AA145" s="2943" t="s">
        <v>22</v>
      </c>
      <c r="AB145" s="2940" t="s">
        <v>22</v>
      </c>
      <c r="AC145" s="1762">
        <v>46132</v>
      </c>
      <c r="AD145" s="842" t="s">
        <v>22</v>
      </c>
      <c r="AE145" s="1762">
        <v>46136</v>
      </c>
      <c r="AF145" s="842" t="s">
        <v>22</v>
      </c>
      <c r="AG145" s="2943" t="s">
        <v>22</v>
      </c>
      <c r="AH145" s="2940" t="s">
        <v>22</v>
      </c>
      <c r="AI145" s="1762">
        <v>46129</v>
      </c>
      <c r="AJ145" s="842" t="s">
        <v>22</v>
      </c>
      <c r="AK145" s="1762" t="s">
        <v>22</v>
      </c>
      <c r="AL145" s="842" t="s">
        <v>22</v>
      </c>
      <c r="AM145" s="1549" t="s">
        <v>1041</v>
      </c>
      <c r="AN145" s="1659"/>
      <c r="AO145" s="1659"/>
      <c r="AP145" s="1659"/>
      <c r="AQ145" s="1659"/>
      <c r="AR145" s="1659"/>
      <c r="AS145" s="1659"/>
      <c r="AT145" s="1659"/>
      <c r="AU145" s="1659"/>
      <c r="AV145" s="1659"/>
      <c r="AW145" s="699"/>
      <c r="AX145" s="1659">
        <v>0</v>
      </c>
    </row>
    <row s="1874" customFormat="1" customHeight="1" ht="15">
      <c r="A146" s="1659"/>
      <c r="B146" s="2421"/>
      <c r="C146" s="2422"/>
      <c r="D146" s="713" t="str">
        <f>B144&amp;".3"</f>
        <v>3.36.3</v>
      </c>
      <c r="E146" s="1691" t="s">
        <v>1042</v>
      </c>
      <c r="F146" s="2287" t="s">
        <v>390</v>
      </c>
      <c r="G146" s="1762" t="s">
        <v>22</v>
      </c>
      <c r="H146" s="842" t="s">
        <v>22</v>
      </c>
      <c r="I146" s="1762" t="s">
        <v>22</v>
      </c>
      <c r="J146" s="842" t="s">
        <v>22</v>
      </c>
      <c r="K146" s="1762" t="s">
        <v>22</v>
      </c>
      <c r="L146" s="842" t="s">
        <v>22</v>
      </c>
      <c r="M146" s="2943" t="s">
        <v>22</v>
      </c>
      <c r="N146" s="2940" t="s">
        <v>22</v>
      </c>
      <c r="O146" s="1762" t="s">
        <v>22</v>
      </c>
      <c r="P146" s="842" t="s">
        <v>22</v>
      </c>
      <c r="Q146" s="1762" t="s">
        <v>22</v>
      </c>
      <c r="R146" s="842" t="s">
        <v>22</v>
      </c>
      <c r="S146" s="1762" t="s">
        <v>22</v>
      </c>
      <c r="T146" s="842" t="s">
        <v>22</v>
      </c>
      <c r="U146" s="1762" t="s">
        <v>22</v>
      </c>
      <c r="V146" s="842" t="s">
        <v>22</v>
      </c>
      <c r="W146" s="1762" t="s">
        <v>22</v>
      </c>
      <c r="X146" s="842" t="s">
        <v>22</v>
      </c>
      <c r="Y146" s="1762" t="s">
        <v>22</v>
      </c>
      <c r="Z146" s="842" t="s">
        <v>22</v>
      </c>
      <c r="AA146" s="2943" t="s">
        <v>22</v>
      </c>
      <c r="AB146" s="2940" t="s">
        <v>22</v>
      </c>
      <c r="AC146" s="1762" t="s">
        <v>22</v>
      </c>
      <c r="AD146" s="842" t="s">
        <v>22</v>
      </c>
      <c r="AE146" s="1762" t="s">
        <v>22</v>
      </c>
      <c r="AF146" s="842" t="s">
        <v>22</v>
      </c>
      <c r="AG146" s="2943" t="s">
        <v>22</v>
      </c>
      <c r="AH146" s="2940" t="s">
        <v>22</v>
      </c>
      <c r="AI146" s="1762" t="s">
        <v>22</v>
      </c>
      <c r="AJ146" s="842" t="s">
        <v>22</v>
      </c>
      <c r="AK146" s="1762" t="s">
        <v>22</v>
      </c>
      <c r="AL146" s="842" t="s">
        <v>22</v>
      </c>
      <c r="AM146" s="1549" t="s">
        <v>1043</v>
      </c>
      <c r="AN146" s="1659"/>
      <c r="AO146" s="1659"/>
      <c r="AP146" s="1659"/>
      <c r="AQ146" s="1659"/>
      <c r="AR146" s="1659"/>
      <c r="AS146" s="1659"/>
      <c r="AT146" s="1659"/>
      <c r="AU146" s="1659"/>
      <c r="AV146" s="1659"/>
      <c r="AW146" s="699"/>
      <c r="AX146" s="1659">
        <v>0</v>
      </c>
    </row>
    <row s="1874" customFormat="1" customHeight="1" ht="22.5">
      <c r="A147" s="1659"/>
      <c r="B147" s="2421" t="s">
        <v>1104</v>
      </c>
      <c r="C147" s="2422" t="s">
        <v>104</v>
      </c>
      <c r="D147" s="713" t="str">
        <f>B147&amp;".1"</f>
        <v>3.37.1</v>
      </c>
      <c r="E147" s="1691" t="s">
        <v>1039</v>
      </c>
      <c r="F147" s="2287" t="s">
        <v>390</v>
      </c>
      <c r="G147" s="2377" t="s">
        <v>22</v>
      </c>
      <c r="H147" s="842" t="s">
        <v>22</v>
      </c>
      <c r="I147" s="2377" t="s">
        <v>1059</v>
      </c>
      <c r="J147" s="842" t="s">
        <v>22</v>
      </c>
      <c r="K147" s="2377" t="s">
        <v>22</v>
      </c>
      <c r="L147" s="842" t="s">
        <v>22</v>
      </c>
      <c r="M147" s="2942" t="s">
        <v>22</v>
      </c>
      <c r="N147" s="2940" t="s">
        <v>22</v>
      </c>
      <c r="O147" s="2377" t="s">
        <v>1059</v>
      </c>
      <c r="P147" s="842" t="s">
        <v>22</v>
      </c>
      <c r="Q147" s="2377" t="s">
        <v>1059</v>
      </c>
      <c r="R147" s="842" t="s">
        <v>22</v>
      </c>
      <c r="S147" s="2377" t="s">
        <v>1059</v>
      </c>
      <c r="T147" s="842" t="s">
        <v>22</v>
      </c>
      <c r="U147" s="2377" t="s">
        <v>1059</v>
      </c>
      <c r="V147" s="842" t="s">
        <v>22</v>
      </c>
      <c r="W147" s="2377" t="s">
        <v>22</v>
      </c>
      <c r="X147" s="842" t="s">
        <v>22</v>
      </c>
      <c r="Y147" s="2377" t="s">
        <v>22</v>
      </c>
      <c r="Z147" s="842" t="s">
        <v>22</v>
      </c>
      <c r="AA147" s="2942" t="s">
        <v>22</v>
      </c>
      <c r="AB147" s="2940" t="s">
        <v>22</v>
      </c>
      <c r="AC147" s="2377" t="s">
        <v>1059</v>
      </c>
      <c r="AD147" s="842" t="s">
        <v>22</v>
      </c>
      <c r="AE147" s="2377" t="s">
        <v>1105</v>
      </c>
      <c r="AF147" s="842" t="s">
        <v>22</v>
      </c>
      <c r="AG147" s="2942" t="s">
        <v>22</v>
      </c>
      <c r="AH147" s="2940" t="s">
        <v>22</v>
      </c>
      <c r="AI147" s="2377" t="s">
        <v>1059</v>
      </c>
      <c r="AJ147" s="842" t="s">
        <v>22</v>
      </c>
      <c r="AK147" s="2377" t="s">
        <v>22</v>
      </c>
      <c r="AL147" s="842" t="s">
        <v>22</v>
      </c>
      <c r="AM147" s="1549"/>
      <c r="AN147" s="1659"/>
      <c r="AO147" s="1659"/>
      <c r="AP147" s="1659"/>
      <c r="AQ147" s="1659"/>
      <c r="AR147" s="1659"/>
      <c r="AS147" s="1659"/>
      <c r="AT147" s="1659"/>
      <c r="AU147" s="1659"/>
      <c r="AV147" s="1659"/>
      <c r="AW147" s="699"/>
      <c r="AX147" s="1659">
        <v>0</v>
      </c>
    </row>
    <row s="1874" customFormat="1" customHeight="1" ht="15">
      <c r="A148" s="1659"/>
      <c r="B148" s="2421"/>
      <c r="C148" s="2422"/>
      <c r="D148" s="713" t="str">
        <f>B147&amp;".2"</f>
        <v>3.37.2</v>
      </c>
      <c r="E148" s="1691" t="s">
        <v>1040</v>
      </c>
      <c r="F148" s="2287" t="s">
        <v>390</v>
      </c>
      <c r="G148" s="1762" t="s">
        <v>22</v>
      </c>
      <c r="H148" s="842" t="s">
        <v>22</v>
      </c>
      <c r="I148" s="1762">
        <v>46114</v>
      </c>
      <c r="J148" s="842" t="s">
        <v>22</v>
      </c>
      <c r="K148" s="1762" t="s">
        <v>22</v>
      </c>
      <c r="L148" s="842" t="s">
        <v>22</v>
      </c>
      <c r="M148" s="2943" t="s">
        <v>22</v>
      </c>
      <c r="N148" s="2940" t="s">
        <v>22</v>
      </c>
      <c r="O148" s="1762">
        <v>46127</v>
      </c>
      <c r="P148" s="842" t="s">
        <v>22</v>
      </c>
      <c r="Q148" s="1762">
        <v>46113</v>
      </c>
      <c r="R148" s="842" t="s">
        <v>22</v>
      </c>
      <c r="S148" s="1762">
        <v>46113</v>
      </c>
      <c r="T148" s="842" t="s">
        <v>22</v>
      </c>
      <c r="U148" s="1762">
        <v>46122</v>
      </c>
      <c r="V148" s="842" t="s">
        <v>22</v>
      </c>
      <c r="W148" s="1762" t="s">
        <v>22</v>
      </c>
      <c r="X148" s="842" t="s">
        <v>22</v>
      </c>
      <c r="Y148" s="1762" t="s">
        <v>22</v>
      </c>
      <c r="Z148" s="842" t="s">
        <v>22</v>
      </c>
      <c r="AA148" s="2943" t="s">
        <v>22</v>
      </c>
      <c r="AB148" s="2940" t="s">
        <v>22</v>
      </c>
      <c r="AC148" s="1762">
        <v>46132</v>
      </c>
      <c r="AD148" s="842" t="s">
        <v>22</v>
      </c>
      <c r="AE148" s="1762">
        <v>46136</v>
      </c>
      <c r="AF148" s="842" t="s">
        <v>22</v>
      </c>
      <c r="AG148" s="2943" t="s">
        <v>22</v>
      </c>
      <c r="AH148" s="2940" t="s">
        <v>22</v>
      </c>
      <c r="AI148" s="1762">
        <v>46129</v>
      </c>
      <c r="AJ148" s="842" t="s">
        <v>22</v>
      </c>
      <c r="AK148" s="1762" t="s">
        <v>22</v>
      </c>
      <c r="AL148" s="842" t="s">
        <v>22</v>
      </c>
      <c r="AM148" s="1549" t="s">
        <v>1041</v>
      </c>
      <c r="AN148" s="1659"/>
      <c r="AO148" s="1659"/>
      <c r="AP148" s="1659"/>
      <c r="AQ148" s="1659"/>
      <c r="AR148" s="1659"/>
      <c r="AS148" s="1659"/>
      <c r="AT148" s="1659"/>
      <c r="AU148" s="1659"/>
      <c r="AV148" s="1659"/>
      <c r="AW148" s="699"/>
      <c r="AX148" s="1659">
        <v>0</v>
      </c>
    </row>
    <row s="1874" customFormat="1" customHeight="1" ht="15">
      <c r="A149" s="1659"/>
      <c r="B149" s="2421"/>
      <c r="C149" s="2422"/>
      <c r="D149" s="713" t="str">
        <f>B147&amp;".3"</f>
        <v>3.37.3</v>
      </c>
      <c r="E149" s="1691" t="s">
        <v>1042</v>
      </c>
      <c r="F149" s="2287" t="s">
        <v>390</v>
      </c>
      <c r="G149" s="1762" t="s">
        <v>22</v>
      </c>
      <c r="H149" s="842" t="s">
        <v>22</v>
      </c>
      <c r="I149" s="1762" t="s">
        <v>22</v>
      </c>
      <c r="J149" s="842" t="s">
        <v>22</v>
      </c>
      <c r="K149" s="1762" t="s">
        <v>22</v>
      </c>
      <c r="L149" s="842" t="s">
        <v>22</v>
      </c>
      <c r="M149" s="2943" t="s">
        <v>22</v>
      </c>
      <c r="N149" s="2940" t="s">
        <v>22</v>
      </c>
      <c r="O149" s="1762" t="s">
        <v>22</v>
      </c>
      <c r="P149" s="842" t="s">
        <v>22</v>
      </c>
      <c r="Q149" s="1762" t="s">
        <v>22</v>
      </c>
      <c r="R149" s="842" t="s">
        <v>22</v>
      </c>
      <c r="S149" s="1762" t="s">
        <v>22</v>
      </c>
      <c r="T149" s="842" t="s">
        <v>22</v>
      </c>
      <c r="U149" s="1762" t="s">
        <v>22</v>
      </c>
      <c r="V149" s="842" t="s">
        <v>22</v>
      </c>
      <c r="W149" s="1762" t="s">
        <v>22</v>
      </c>
      <c r="X149" s="842" t="s">
        <v>22</v>
      </c>
      <c r="Y149" s="1762" t="s">
        <v>22</v>
      </c>
      <c r="Z149" s="842" t="s">
        <v>22</v>
      </c>
      <c r="AA149" s="2943" t="s">
        <v>22</v>
      </c>
      <c r="AB149" s="2940" t="s">
        <v>22</v>
      </c>
      <c r="AC149" s="1762" t="s">
        <v>22</v>
      </c>
      <c r="AD149" s="842" t="s">
        <v>22</v>
      </c>
      <c r="AE149" s="1762" t="s">
        <v>22</v>
      </c>
      <c r="AF149" s="842" t="s">
        <v>22</v>
      </c>
      <c r="AG149" s="2943" t="s">
        <v>22</v>
      </c>
      <c r="AH149" s="2940" t="s">
        <v>22</v>
      </c>
      <c r="AI149" s="1762" t="s">
        <v>22</v>
      </c>
      <c r="AJ149" s="842" t="s">
        <v>22</v>
      </c>
      <c r="AK149" s="1762" t="s">
        <v>22</v>
      </c>
      <c r="AL149" s="842" t="s">
        <v>22</v>
      </c>
      <c r="AM149" s="1549" t="s">
        <v>1043</v>
      </c>
      <c r="AN149" s="1659"/>
      <c r="AO149" s="1659"/>
      <c r="AP149" s="1659"/>
      <c r="AQ149" s="1659"/>
      <c r="AR149" s="1659"/>
      <c r="AS149" s="1659"/>
      <c r="AT149" s="1659"/>
      <c r="AU149" s="1659"/>
      <c r="AV149" s="1659"/>
      <c r="AW149" s="699"/>
      <c r="AX149" s="1659">
        <v>0</v>
      </c>
    </row>
    <row s="1874" customFormat="1" customHeight="1" ht="22.5">
      <c r="A150" s="1659"/>
      <c r="B150" s="2421" t="s">
        <v>1106</v>
      </c>
      <c r="C150" s="2422" t="s">
        <v>104</v>
      </c>
      <c r="D150" s="713" t="str">
        <f>B150&amp;".1"</f>
        <v>3.38.1</v>
      </c>
      <c r="E150" s="1691" t="s">
        <v>1039</v>
      </c>
      <c r="F150" s="2287" t="s">
        <v>390</v>
      </c>
      <c r="G150" s="2377" t="s">
        <v>22</v>
      </c>
      <c r="H150" s="842" t="s">
        <v>22</v>
      </c>
      <c r="I150" s="2377" t="s">
        <v>1059</v>
      </c>
      <c r="J150" s="842" t="s">
        <v>22</v>
      </c>
      <c r="K150" s="2377" t="s">
        <v>22</v>
      </c>
      <c r="L150" s="842" t="s">
        <v>22</v>
      </c>
      <c r="M150" s="2942" t="s">
        <v>22</v>
      </c>
      <c r="N150" s="2940" t="s">
        <v>22</v>
      </c>
      <c r="O150" s="2377" t="s">
        <v>1059</v>
      </c>
      <c r="P150" s="842" t="s">
        <v>22</v>
      </c>
      <c r="Q150" s="2377" t="s">
        <v>1059</v>
      </c>
      <c r="R150" s="842" t="s">
        <v>22</v>
      </c>
      <c r="S150" s="2377" t="s">
        <v>1059</v>
      </c>
      <c r="T150" s="842" t="s">
        <v>22</v>
      </c>
      <c r="U150" s="2377" t="s">
        <v>1059</v>
      </c>
      <c r="V150" s="842" t="s">
        <v>22</v>
      </c>
      <c r="W150" s="2377" t="s">
        <v>22</v>
      </c>
      <c r="X150" s="842" t="s">
        <v>22</v>
      </c>
      <c r="Y150" s="2377" t="s">
        <v>22</v>
      </c>
      <c r="Z150" s="842" t="s">
        <v>22</v>
      </c>
      <c r="AA150" s="2942" t="s">
        <v>22</v>
      </c>
      <c r="AB150" s="2940" t="s">
        <v>22</v>
      </c>
      <c r="AC150" s="2377" t="s">
        <v>1059</v>
      </c>
      <c r="AD150" s="842" t="s">
        <v>22</v>
      </c>
      <c r="AE150" s="2377" t="s">
        <v>1059</v>
      </c>
      <c r="AF150" s="842" t="s">
        <v>22</v>
      </c>
      <c r="AG150" s="2942" t="s">
        <v>22</v>
      </c>
      <c r="AH150" s="2940" t="s">
        <v>22</v>
      </c>
      <c r="AI150" s="2377" t="s">
        <v>1059</v>
      </c>
      <c r="AJ150" s="842" t="s">
        <v>22</v>
      </c>
      <c r="AK150" s="2377" t="s">
        <v>22</v>
      </c>
      <c r="AL150" s="842" t="s">
        <v>22</v>
      </c>
      <c r="AM150" s="1549"/>
      <c r="AN150" s="1659"/>
      <c r="AO150" s="1659"/>
      <c r="AP150" s="1659"/>
      <c r="AQ150" s="1659"/>
      <c r="AR150" s="1659"/>
      <c r="AS150" s="1659"/>
      <c r="AT150" s="1659"/>
      <c r="AU150" s="1659"/>
      <c r="AV150" s="1659"/>
      <c r="AW150" s="699"/>
      <c r="AX150" s="1659">
        <v>0</v>
      </c>
    </row>
    <row s="1874" customFormat="1" customHeight="1" ht="15">
      <c r="A151" s="1659"/>
      <c r="B151" s="2421"/>
      <c r="C151" s="2422"/>
      <c r="D151" s="713" t="str">
        <f>B150&amp;".2"</f>
        <v>3.38.2</v>
      </c>
      <c r="E151" s="1691" t="s">
        <v>1040</v>
      </c>
      <c r="F151" s="2287" t="s">
        <v>390</v>
      </c>
      <c r="G151" s="1762" t="s">
        <v>22</v>
      </c>
      <c r="H151" s="842" t="s">
        <v>22</v>
      </c>
      <c r="I151" s="1762">
        <v>46114</v>
      </c>
      <c r="J151" s="842" t="s">
        <v>22</v>
      </c>
      <c r="K151" s="1762" t="s">
        <v>22</v>
      </c>
      <c r="L151" s="842" t="s">
        <v>22</v>
      </c>
      <c r="M151" s="2943" t="s">
        <v>22</v>
      </c>
      <c r="N151" s="2940" t="s">
        <v>22</v>
      </c>
      <c r="O151" s="1762">
        <v>46127</v>
      </c>
      <c r="P151" s="842" t="s">
        <v>22</v>
      </c>
      <c r="Q151" s="1762">
        <v>46113</v>
      </c>
      <c r="R151" s="842" t="s">
        <v>22</v>
      </c>
      <c r="S151" s="1762">
        <v>46114</v>
      </c>
      <c r="T151" s="842" t="s">
        <v>22</v>
      </c>
      <c r="U151" s="1762">
        <v>46122</v>
      </c>
      <c r="V151" s="842" t="s">
        <v>22</v>
      </c>
      <c r="W151" s="1762" t="s">
        <v>22</v>
      </c>
      <c r="X151" s="842" t="s">
        <v>22</v>
      </c>
      <c r="Y151" s="1762" t="s">
        <v>22</v>
      </c>
      <c r="Z151" s="842" t="s">
        <v>22</v>
      </c>
      <c r="AA151" s="2943" t="s">
        <v>22</v>
      </c>
      <c r="AB151" s="2940" t="s">
        <v>22</v>
      </c>
      <c r="AC151" s="1762">
        <v>46132</v>
      </c>
      <c r="AD151" s="842" t="s">
        <v>22</v>
      </c>
      <c r="AE151" s="1762">
        <v>46139</v>
      </c>
      <c r="AF151" s="842" t="s">
        <v>22</v>
      </c>
      <c r="AG151" s="2943" t="s">
        <v>22</v>
      </c>
      <c r="AH151" s="2940" t="s">
        <v>22</v>
      </c>
      <c r="AI151" s="1762">
        <v>46129</v>
      </c>
      <c r="AJ151" s="842" t="s">
        <v>22</v>
      </c>
      <c r="AK151" s="1762" t="s">
        <v>22</v>
      </c>
      <c r="AL151" s="842" t="s">
        <v>22</v>
      </c>
      <c r="AM151" s="1549" t="s">
        <v>1041</v>
      </c>
      <c r="AN151" s="1659"/>
      <c r="AO151" s="1659"/>
      <c r="AP151" s="1659"/>
      <c r="AQ151" s="1659"/>
      <c r="AR151" s="1659"/>
      <c r="AS151" s="1659"/>
      <c r="AT151" s="1659"/>
      <c r="AU151" s="1659"/>
      <c r="AV151" s="1659"/>
      <c r="AW151" s="699"/>
      <c r="AX151" s="1659">
        <v>0</v>
      </c>
    </row>
    <row s="1874" customFormat="1" customHeight="1" ht="15">
      <c r="A152" s="1659"/>
      <c r="B152" s="2421"/>
      <c r="C152" s="2422"/>
      <c r="D152" s="713" t="str">
        <f>B150&amp;".3"</f>
        <v>3.38.3</v>
      </c>
      <c r="E152" s="1691" t="s">
        <v>1042</v>
      </c>
      <c r="F152" s="2287" t="s">
        <v>390</v>
      </c>
      <c r="G152" s="1762" t="s">
        <v>22</v>
      </c>
      <c r="H152" s="842" t="s">
        <v>22</v>
      </c>
      <c r="I152" s="1762" t="s">
        <v>22</v>
      </c>
      <c r="J152" s="842" t="s">
        <v>22</v>
      </c>
      <c r="K152" s="1762" t="s">
        <v>22</v>
      </c>
      <c r="L152" s="842" t="s">
        <v>22</v>
      </c>
      <c r="M152" s="2943" t="s">
        <v>22</v>
      </c>
      <c r="N152" s="2940" t="s">
        <v>22</v>
      </c>
      <c r="O152" s="1762" t="s">
        <v>22</v>
      </c>
      <c r="P152" s="842" t="s">
        <v>22</v>
      </c>
      <c r="Q152" s="1762" t="s">
        <v>22</v>
      </c>
      <c r="R152" s="842" t="s">
        <v>22</v>
      </c>
      <c r="S152" s="1762"/>
      <c r="T152" s="842" t="s">
        <v>22</v>
      </c>
      <c r="U152" s="1762" t="s">
        <v>22</v>
      </c>
      <c r="V152" s="842" t="s">
        <v>22</v>
      </c>
      <c r="W152" s="1762" t="s">
        <v>22</v>
      </c>
      <c r="X152" s="842" t="s">
        <v>22</v>
      </c>
      <c r="Y152" s="1762" t="s">
        <v>22</v>
      </c>
      <c r="Z152" s="842" t="s">
        <v>22</v>
      </c>
      <c r="AA152" s="2943" t="s">
        <v>22</v>
      </c>
      <c r="AB152" s="2940" t="s">
        <v>22</v>
      </c>
      <c r="AC152" s="1762" t="s">
        <v>22</v>
      </c>
      <c r="AD152" s="842" t="s">
        <v>22</v>
      </c>
      <c r="AE152" s="1762" t="s">
        <v>22</v>
      </c>
      <c r="AF152" s="842" t="s">
        <v>22</v>
      </c>
      <c r="AG152" s="2943" t="s">
        <v>22</v>
      </c>
      <c r="AH152" s="2940" t="s">
        <v>22</v>
      </c>
      <c r="AI152" s="1762" t="s">
        <v>22</v>
      </c>
      <c r="AJ152" s="842" t="s">
        <v>22</v>
      </c>
      <c r="AK152" s="1762" t="s">
        <v>22</v>
      </c>
      <c r="AL152" s="842" t="s">
        <v>22</v>
      </c>
      <c r="AM152" s="1549" t="s">
        <v>1043</v>
      </c>
      <c r="AN152" s="1659"/>
      <c r="AO152" s="1659"/>
      <c r="AP152" s="1659"/>
      <c r="AQ152" s="1659"/>
      <c r="AR152" s="1659"/>
      <c r="AS152" s="1659"/>
      <c r="AT152" s="1659"/>
      <c r="AU152" s="1659"/>
      <c r="AV152" s="1659"/>
      <c r="AW152" s="699"/>
      <c r="AX152" s="1659">
        <v>0</v>
      </c>
    </row>
    <row s="1874" customFormat="1" customHeight="1" ht="22.5">
      <c r="A153" s="1659"/>
      <c r="B153" s="2421" t="s">
        <v>1107</v>
      </c>
      <c r="C153" s="2422" t="s">
        <v>104</v>
      </c>
      <c r="D153" s="713" t="str">
        <f>B153&amp;".1"</f>
        <v>3.39.1</v>
      </c>
      <c r="E153" s="1691" t="s">
        <v>1039</v>
      </c>
      <c r="F153" s="2287" t="s">
        <v>390</v>
      </c>
      <c r="G153" s="2377" t="s">
        <v>22</v>
      </c>
      <c r="H153" s="842" t="s">
        <v>22</v>
      </c>
      <c r="I153" s="2377" t="s">
        <v>1059</v>
      </c>
      <c r="J153" s="842" t="s">
        <v>22</v>
      </c>
      <c r="K153" s="2377" t="s">
        <v>22</v>
      </c>
      <c r="L153" s="842" t="s">
        <v>22</v>
      </c>
      <c r="M153" s="2942" t="s">
        <v>22</v>
      </c>
      <c r="N153" s="2940" t="s">
        <v>22</v>
      </c>
      <c r="O153" s="2377" t="s">
        <v>1059</v>
      </c>
      <c r="P153" s="842" t="s">
        <v>22</v>
      </c>
      <c r="Q153" s="2377" t="s">
        <v>1059</v>
      </c>
      <c r="R153" s="842" t="s">
        <v>22</v>
      </c>
      <c r="S153" s="2377" t="s">
        <v>1059</v>
      </c>
      <c r="T153" s="842" t="s">
        <v>22</v>
      </c>
      <c r="U153" s="2377" t="s">
        <v>1059</v>
      </c>
      <c r="V153" s="842" t="s">
        <v>22</v>
      </c>
      <c r="W153" s="2377" t="s">
        <v>22</v>
      </c>
      <c r="X153" s="842" t="s">
        <v>22</v>
      </c>
      <c r="Y153" s="2377" t="s">
        <v>22</v>
      </c>
      <c r="Z153" s="842" t="s">
        <v>22</v>
      </c>
      <c r="AA153" s="2942" t="s">
        <v>22</v>
      </c>
      <c r="AB153" s="2940" t="s">
        <v>22</v>
      </c>
      <c r="AC153" s="2377" t="s">
        <v>1059</v>
      </c>
      <c r="AD153" s="842" t="s">
        <v>22</v>
      </c>
      <c r="AE153" s="2377" t="s">
        <v>1059</v>
      </c>
      <c r="AF153" s="842" t="s">
        <v>22</v>
      </c>
      <c r="AG153" s="2942" t="s">
        <v>22</v>
      </c>
      <c r="AH153" s="2940" t="s">
        <v>22</v>
      </c>
      <c r="AI153" s="2377" t="s">
        <v>1059</v>
      </c>
      <c r="AJ153" s="842" t="s">
        <v>22</v>
      </c>
      <c r="AK153" s="2377" t="s">
        <v>22</v>
      </c>
      <c r="AL153" s="842" t="s">
        <v>22</v>
      </c>
      <c r="AM153" s="1549"/>
      <c r="AN153" s="1659"/>
      <c r="AO153" s="1659"/>
      <c r="AP153" s="1659"/>
      <c r="AQ153" s="1659"/>
      <c r="AR153" s="1659"/>
      <c r="AS153" s="1659"/>
      <c r="AT153" s="1659"/>
      <c r="AU153" s="1659"/>
      <c r="AV153" s="1659"/>
      <c r="AW153" s="699"/>
      <c r="AX153" s="1659">
        <v>0</v>
      </c>
    </row>
    <row s="1874" customFormat="1" customHeight="1" ht="15">
      <c r="A154" s="1659"/>
      <c r="B154" s="2421"/>
      <c r="C154" s="2422"/>
      <c r="D154" s="713" t="str">
        <f>B153&amp;".2"</f>
        <v>3.39.2</v>
      </c>
      <c r="E154" s="1691" t="s">
        <v>1040</v>
      </c>
      <c r="F154" s="2287" t="s">
        <v>390</v>
      </c>
      <c r="G154" s="1762" t="s">
        <v>22</v>
      </c>
      <c r="H154" s="842" t="s">
        <v>22</v>
      </c>
      <c r="I154" s="1762">
        <v>46114</v>
      </c>
      <c r="J154" s="842" t="s">
        <v>22</v>
      </c>
      <c r="K154" s="1762" t="s">
        <v>22</v>
      </c>
      <c r="L154" s="842" t="s">
        <v>22</v>
      </c>
      <c r="M154" s="2943" t="s">
        <v>22</v>
      </c>
      <c r="N154" s="2940" t="s">
        <v>22</v>
      </c>
      <c r="O154" s="1762">
        <v>46127</v>
      </c>
      <c r="P154" s="842" t="s">
        <v>22</v>
      </c>
      <c r="Q154" s="1762">
        <v>46113</v>
      </c>
      <c r="R154" s="842" t="s">
        <v>22</v>
      </c>
      <c r="S154" s="1762">
        <v>46115</v>
      </c>
      <c r="T154" s="842" t="s">
        <v>22</v>
      </c>
      <c r="U154" s="1762">
        <v>46122</v>
      </c>
      <c r="V154" s="842" t="s">
        <v>22</v>
      </c>
      <c r="W154" s="1762" t="s">
        <v>22</v>
      </c>
      <c r="X154" s="842" t="s">
        <v>22</v>
      </c>
      <c r="Y154" s="1762" t="s">
        <v>22</v>
      </c>
      <c r="Z154" s="842" t="s">
        <v>22</v>
      </c>
      <c r="AA154" s="2943" t="s">
        <v>22</v>
      </c>
      <c r="AB154" s="2940" t="s">
        <v>22</v>
      </c>
      <c r="AC154" s="1762">
        <v>46132</v>
      </c>
      <c r="AD154" s="842" t="s">
        <v>22</v>
      </c>
      <c r="AE154" s="1762">
        <v>46139</v>
      </c>
      <c r="AF154" s="842" t="s">
        <v>22</v>
      </c>
      <c r="AG154" s="2943" t="s">
        <v>22</v>
      </c>
      <c r="AH154" s="2940" t="s">
        <v>22</v>
      </c>
      <c r="AI154" s="1762">
        <v>46129</v>
      </c>
      <c r="AJ154" s="842" t="s">
        <v>22</v>
      </c>
      <c r="AK154" s="1762" t="s">
        <v>22</v>
      </c>
      <c r="AL154" s="842" t="s">
        <v>22</v>
      </c>
      <c r="AM154" s="1549" t="s">
        <v>1041</v>
      </c>
      <c r="AN154" s="1659"/>
      <c r="AO154" s="1659"/>
      <c r="AP154" s="1659"/>
      <c r="AQ154" s="1659"/>
      <c r="AR154" s="1659"/>
      <c r="AS154" s="1659"/>
      <c r="AT154" s="1659"/>
      <c r="AU154" s="1659"/>
      <c r="AV154" s="1659"/>
      <c r="AW154" s="699"/>
      <c r="AX154" s="1659">
        <v>0</v>
      </c>
    </row>
    <row s="1874" customFormat="1" customHeight="1" ht="15">
      <c r="A155" s="1659"/>
      <c r="B155" s="2421"/>
      <c r="C155" s="2422"/>
      <c r="D155" s="713" t="str">
        <f>B153&amp;".3"</f>
        <v>3.39.3</v>
      </c>
      <c r="E155" s="1691" t="s">
        <v>1042</v>
      </c>
      <c r="F155" s="2287" t="s">
        <v>390</v>
      </c>
      <c r="G155" s="1762" t="s">
        <v>22</v>
      </c>
      <c r="H155" s="842" t="s">
        <v>22</v>
      </c>
      <c r="I155" s="1762" t="s">
        <v>22</v>
      </c>
      <c r="J155" s="842" t="s">
        <v>22</v>
      </c>
      <c r="K155" s="1762" t="s">
        <v>22</v>
      </c>
      <c r="L155" s="842" t="s">
        <v>22</v>
      </c>
      <c r="M155" s="2943" t="s">
        <v>22</v>
      </c>
      <c r="N155" s="2940" t="s">
        <v>22</v>
      </c>
      <c r="O155" s="1762" t="s">
        <v>22</v>
      </c>
      <c r="P155" s="842" t="s">
        <v>22</v>
      </c>
      <c r="Q155" s="1762" t="s">
        <v>22</v>
      </c>
      <c r="R155" s="842" t="s">
        <v>22</v>
      </c>
      <c r="S155" s="1762"/>
      <c r="T155" s="842" t="s">
        <v>22</v>
      </c>
      <c r="U155" s="1762" t="s">
        <v>22</v>
      </c>
      <c r="V155" s="842" t="s">
        <v>22</v>
      </c>
      <c r="W155" s="1762" t="s">
        <v>22</v>
      </c>
      <c r="X155" s="842" t="s">
        <v>22</v>
      </c>
      <c r="Y155" s="1762" t="s">
        <v>22</v>
      </c>
      <c r="Z155" s="842" t="s">
        <v>22</v>
      </c>
      <c r="AA155" s="2943" t="s">
        <v>22</v>
      </c>
      <c r="AB155" s="2940" t="s">
        <v>22</v>
      </c>
      <c r="AC155" s="1762" t="s">
        <v>22</v>
      </c>
      <c r="AD155" s="842" t="s">
        <v>22</v>
      </c>
      <c r="AE155" s="1762" t="s">
        <v>22</v>
      </c>
      <c r="AF155" s="842" t="s">
        <v>22</v>
      </c>
      <c r="AG155" s="2943" t="s">
        <v>22</v>
      </c>
      <c r="AH155" s="2940" t="s">
        <v>22</v>
      </c>
      <c r="AI155" s="1762" t="s">
        <v>22</v>
      </c>
      <c r="AJ155" s="842" t="s">
        <v>22</v>
      </c>
      <c r="AK155" s="1762" t="s">
        <v>22</v>
      </c>
      <c r="AL155" s="842" t="s">
        <v>22</v>
      </c>
      <c r="AM155" s="1549" t="s">
        <v>1043</v>
      </c>
      <c r="AN155" s="1659"/>
      <c r="AO155" s="1659"/>
      <c r="AP155" s="1659"/>
      <c r="AQ155" s="1659"/>
      <c r="AR155" s="1659"/>
      <c r="AS155" s="1659"/>
      <c r="AT155" s="1659"/>
      <c r="AU155" s="1659"/>
      <c r="AV155" s="1659"/>
      <c r="AW155" s="699"/>
      <c r="AX155" s="1659">
        <v>0</v>
      </c>
    </row>
    <row s="1874" customFormat="1" customHeight="1" ht="22.5">
      <c r="A156" s="1659"/>
      <c r="B156" s="2421" t="s">
        <v>1108</v>
      </c>
      <c r="C156" s="2422" t="s">
        <v>104</v>
      </c>
      <c r="D156" s="713" t="str">
        <f>B156&amp;".1"</f>
        <v>3.40.1</v>
      </c>
      <c r="E156" s="1691" t="s">
        <v>1039</v>
      </c>
      <c r="F156" s="2287" t="s">
        <v>390</v>
      </c>
      <c r="G156" s="2377" t="s">
        <v>22</v>
      </c>
      <c r="H156" s="842" t="s">
        <v>22</v>
      </c>
      <c r="I156" s="2377" t="s">
        <v>1059</v>
      </c>
      <c r="J156" s="842" t="s">
        <v>22</v>
      </c>
      <c r="K156" s="2377" t="s">
        <v>22</v>
      </c>
      <c r="L156" s="842" t="s">
        <v>22</v>
      </c>
      <c r="M156" s="2942" t="s">
        <v>22</v>
      </c>
      <c r="N156" s="2940" t="s">
        <v>22</v>
      </c>
      <c r="O156" s="2377" t="s">
        <v>1059</v>
      </c>
      <c r="P156" s="842" t="s">
        <v>22</v>
      </c>
      <c r="Q156" s="2377" t="s">
        <v>1059</v>
      </c>
      <c r="R156" s="842" t="s">
        <v>22</v>
      </c>
      <c r="S156" s="2377" t="s">
        <v>1059</v>
      </c>
      <c r="T156" s="842" t="s">
        <v>22</v>
      </c>
      <c r="U156" s="2377" t="s">
        <v>1059</v>
      </c>
      <c r="V156" s="842" t="s">
        <v>22</v>
      </c>
      <c r="W156" s="2377" t="s">
        <v>22</v>
      </c>
      <c r="X156" s="842" t="s">
        <v>22</v>
      </c>
      <c r="Y156" s="2377" t="s">
        <v>22</v>
      </c>
      <c r="Z156" s="842" t="s">
        <v>22</v>
      </c>
      <c r="AA156" s="2942" t="s">
        <v>22</v>
      </c>
      <c r="AB156" s="2940" t="s">
        <v>22</v>
      </c>
      <c r="AC156" s="2377" t="s">
        <v>1109</v>
      </c>
      <c r="AD156" s="842" t="s">
        <v>22</v>
      </c>
      <c r="AE156" s="2377" t="s">
        <v>1059</v>
      </c>
      <c r="AF156" s="842" t="s">
        <v>22</v>
      </c>
      <c r="AG156" s="2942" t="s">
        <v>22</v>
      </c>
      <c r="AH156" s="2940" t="s">
        <v>22</v>
      </c>
      <c r="AI156" s="2377" t="s">
        <v>1059</v>
      </c>
      <c r="AJ156" s="842" t="s">
        <v>22</v>
      </c>
      <c r="AK156" s="2377" t="s">
        <v>22</v>
      </c>
      <c r="AL156" s="842" t="s">
        <v>22</v>
      </c>
      <c r="AM156" s="1549"/>
      <c r="AN156" s="1659"/>
      <c r="AO156" s="1659"/>
      <c r="AP156" s="1659"/>
      <c r="AQ156" s="1659"/>
      <c r="AR156" s="1659"/>
      <c r="AS156" s="1659"/>
      <c r="AT156" s="1659"/>
      <c r="AU156" s="1659"/>
      <c r="AV156" s="1659"/>
      <c r="AW156" s="699"/>
      <c r="AX156" s="1659">
        <v>0</v>
      </c>
    </row>
    <row s="1874" customFormat="1" customHeight="1" ht="15">
      <c r="A157" s="1659"/>
      <c r="B157" s="2421"/>
      <c r="C157" s="2422"/>
      <c r="D157" s="713" t="str">
        <f>B156&amp;".2"</f>
        <v>3.40.2</v>
      </c>
      <c r="E157" s="1691" t="s">
        <v>1040</v>
      </c>
      <c r="F157" s="2287" t="s">
        <v>390</v>
      </c>
      <c r="G157" s="1762" t="s">
        <v>22</v>
      </c>
      <c r="H157" s="842" t="s">
        <v>22</v>
      </c>
      <c r="I157" s="1762">
        <v>46115</v>
      </c>
      <c r="J157" s="842" t="s">
        <v>22</v>
      </c>
      <c r="K157" s="1762" t="s">
        <v>22</v>
      </c>
      <c r="L157" s="842" t="s">
        <v>22</v>
      </c>
      <c r="M157" s="2943" t="s">
        <v>22</v>
      </c>
      <c r="N157" s="2940" t="s">
        <v>22</v>
      </c>
      <c r="O157" s="1762">
        <v>46127</v>
      </c>
      <c r="P157" s="842" t="s">
        <v>22</v>
      </c>
      <c r="Q157" s="1762">
        <v>46114</v>
      </c>
      <c r="R157" s="842" t="s">
        <v>22</v>
      </c>
      <c r="S157" s="1762">
        <v>46115</v>
      </c>
      <c r="T157" s="842" t="s">
        <v>22</v>
      </c>
      <c r="U157" s="1762">
        <v>46122</v>
      </c>
      <c r="V157" s="842" t="s">
        <v>22</v>
      </c>
      <c r="W157" s="1762" t="s">
        <v>22</v>
      </c>
      <c r="X157" s="842" t="s">
        <v>22</v>
      </c>
      <c r="Y157" s="1762" t="s">
        <v>22</v>
      </c>
      <c r="Z157" s="842" t="s">
        <v>22</v>
      </c>
      <c r="AA157" s="2943" t="s">
        <v>22</v>
      </c>
      <c r="AB157" s="2940" t="s">
        <v>22</v>
      </c>
      <c r="AC157" s="1762">
        <v>46132</v>
      </c>
      <c r="AD157" s="842" t="s">
        <v>22</v>
      </c>
      <c r="AE157" s="1762">
        <v>46139</v>
      </c>
      <c r="AF157" s="842" t="s">
        <v>22</v>
      </c>
      <c r="AG157" s="2943" t="s">
        <v>22</v>
      </c>
      <c r="AH157" s="2940" t="s">
        <v>22</v>
      </c>
      <c r="AI157" s="1762">
        <v>46129</v>
      </c>
      <c r="AJ157" s="842" t="s">
        <v>22</v>
      </c>
      <c r="AK157" s="1762" t="s">
        <v>22</v>
      </c>
      <c r="AL157" s="842" t="s">
        <v>22</v>
      </c>
      <c r="AM157" s="1549" t="s">
        <v>1041</v>
      </c>
      <c r="AN157" s="1659"/>
      <c r="AO157" s="1659"/>
      <c r="AP157" s="1659"/>
      <c r="AQ157" s="1659"/>
      <c r="AR157" s="1659"/>
      <c r="AS157" s="1659"/>
      <c r="AT157" s="1659"/>
      <c r="AU157" s="1659"/>
      <c r="AV157" s="1659"/>
      <c r="AW157" s="699"/>
      <c r="AX157" s="1659">
        <v>0</v>
      </c>
    </row>
    <row s="1874" customFormat="1" customHeight="1" ht="15">
      <c r="A158" s="1659"/>
      <c r="B158" s="2421"/>
      <c r="C158" s="2422"/>
      <c r="D158" s="713" t="str">
        <f>B156&amp;".3"</f>
        <v>3.40.3</v>
      </c>
      <c r="E158" s="1691" t="s">
        <v>1042</v>
      </c>
      <c r="F158" s="2287" t="s">
        <v>390</v>
      </c>
      <c r="G158" s="1762" t="s">
        <v>22</v>
      </c>
      <c r="H158" s="842" t="s">
        <v>22</v>
      </c>
      <c r="I158" s="1762" t="s">
        <v>22</v>
      </c>
      <c r="J158" s="842" t="s">
        <v>22</v>
      </c>
      <c r="K158" s="1762" t="s">
        <v>22</v>
      </c>
      <c r="L158" s="842" t="s">
        <v>22</v>
      </c>
      <c r="M158" s="2943" t="s">
        <v>22</v>
      </c>
      <c r="N158" s="2940" t="s">
        <v>22</v>
      </c>
      <c r="O158" s="1762" t="s">
        <v>22</v>
      </c>
      <c r="P158" s="842" t="s">
        <v>22</v>
      </c>
      <c r="Q158" s="1762" t="s">
        <v>22</v>
      </c>
      <c r="R158" s="842" t="s">
        <v>22</v>
      </c>
      <c r="S158" s="1762"/>
      <c r="T158" s="842" t="s">
        <v>22</v>
      </c>
      <c r="U158" s="1762" t="s">
        <v>22</v>
      </c>
      <c r="V158" s="842" t="s">
        <v>22</v>
      </c>
      <c r="W158" s="1762" t="s">
        <v>22</v>
      </c>
      <c r="X158" s="842" t="s">
        <v>22</v>
      </c>
      <c r="Y158" s="1762" t="s">
        <v>22</v>
      </c>
      <c r="Z158" s="842" t="s">
        <v>22</v>
      </c>
      <c r="AA158" s="2943" t="s">
        <v>22</v>
      </c>
      <c r="AB158" s="2940" t="s">
        <v>22</v>
      </c>
      <c r="AC158" s="1762" t="s">
        <v>22</v>
      </c>
      <c r="AD158" s="842" t="s">
        <v>22</v>
      </c>
      <c r="AE158" s="1762" t="s">
        <v>22</v>
      </c>
      <c r="AF158" s="842" t="s">
        <v>22</v>
      </c>
      <c r="AG158" s="2943" t="s">
        <v>22</v>
      </c>
      <c r="AH158" s="2940" t="s">
        <v>22</v>
      </c>
      <c r="AI158" s="1762" t="s">
        <v>22</v>
      </c>
      <c r="AJ158" s="842" t="s">
        <v>22</v>
      </c>
      <c r="AK158" s="1762" t="s">
        <v>22</v>
      </c>
      <c r="AL158" s="842" t="s">
        <v>22</v>
      </c>
      <c r="AM158" s="1549" t="s">
        <v>1043</v>
      </c>
      <c r="AN158" s="1659"/>
      <c r="AO158" s="1659"/>
      <c r="AP158" s="1659"/>
      <c r="AQ158" s="1659"/>
      <c r="AR158" s="1659"/>
      <c r="AS158" s="1659"/>
      <c r="AT158" s="1659"/>
      <c r="AU158" s="1659"/>
      <c r="AV158" s="1659"/>
      <c r="AW158" s="699"/>
      <c r="AX158" s="1659">
        <v>0</v>
      </c>
    </row>
    <row s="1874" customFormat="1" customHeight="1" ht="22.5">
      <c r="A159" s="1659"/>
      <c r="B159" s="2421" t="s">
        <v>1110</v>
      </c>
      <c r="C159" s="2422" t="s">
        <v>104</v>
      </c>
      <c r="D159" s="713" t="str">
        <f>B159&amp;".1"</f>
        <v>3.41.1</v>
      </c>
      <c r="E159" s="1691" t="s">
        <v>1039</v>
      </c>
      <c r="F159" s="2287" t="s">
        <v>390</v>
      </c>
      <c r="G159" s="2377" t="s">
        <v>22</v>
      </c>
      <c r="H159" s="842" t="s">
        <v>22</v>
      </c>
      <c r="I159" s="2377" t="s">
        <v>1059</v>
      </c>
      <c r="J159" s="842" t="s">
        <v>22</v>
      </c>
      <c r="K159" s="2377" t="s">
        <v>22</v>
      </c>
      <c r="L159" s="842" t="s">
        <v>22</v>
      </c>
      <c r="M159" s="2942" t="s">
        <v>22</v>
      </c>
      <c r="N159" s="2940" t="s">
        <v>22</v>
      </c>
      <c r="O159" s="2377" t="s">
        <v>1059</v>
      </c>
      <c r="P159" s="842" t="s">
        <v>22</v>
      </c>
      <c r="Q159" s="2377" t="s">
        <v>1059</v>
      </c>
      <c r="R159" s="842" t="s">
        <v>22</v>
      </c>
      <c r="S159" s="2377" t="s">
        <v>1059</v>
      </c>
      <c r="T159" s="842" t="s">
        <v>22</v>
      </c>
      <c r="U159" s="2377" t="s">
        <v>1059</v>
      </c>
      <c r="V159" s="842" t="s">
        <v>22</v>
      </c>
      <c r="W159" s="2377" t="s">
        <v>22</v>
      </c>
      <c r="X159" s="842" t="s">
        <v>22</v>
      </c>
      <c r="Y159" s="2377" t="s">
        <v>22</v>
      </c>
      <c r="Z159" s="842" t="s">
        <v>22</v>
      </c>
      <c r="AA159" s="2942" t="s">
        <v>22</v>
      </c>
      <c r="AB159" s="2940" t="s">
        <v>22</v>
      </c>
      <c r="AC159" s="2377" t="s">
        <v>1059</v>
      </c>
      <c r="AD159" s="842" t="s">
        <v>22</v>
      </c>
      <c r="AE159" s="2377" t="s">
        <v>1059</v>
      </c>
      <c r="AF159" s="842" t="s">
        <v>22</v>
      </c>
      <c r="AG159" s="2942" t="s">
        <v>22</v>
      </c>
      <c r="AH159" s="2940" t="s">
        <v>22</v>
      </c>
      <c r="AI159" s="2377" t="s">
        <v>1059</v>
      </c>
      <c r="AJ159" s="842" t="s">
        <v>22</v>
      </c>
      <c r="AK159" s="2377" t="s">
        <v>22</v>
      </c>
      <c r="AL159" s="842" t="s">
        <v>22</v>
      </c>
      <c r="AM159" s="1549"/>
      <c r="AN159" s="1659"/>
      <c r="AO159" s="1659"/>
      <c r="AP159" s="1659"/>
      <c r="AQ159" s="1659"/>
      <c r="AR159" s="1659"/>
      <c r="AS159" s="1659"/>
      <c r="AT159" s="1659"/>
      <c r="AU159" s="1659"/>
      <c r="AV159" s="1659"/>
      <c r="AW159" s="699"/>
      <c r="AX159" s="1659">
        <v>0</v>
      </c>
    </row>
    <row s="1874" customFormat="1" customHeight="1" ht="15">
      <c r="A160" s="1659"/>
      <c r="B160" s="2421"/>
      <c r="C160" s="2422"/>
      <c r="D160" s="713" t="str">
        <f>B159&amp;".2"</f>
        <v>3.41.2</v>
      </c>
      <c r="E160" s="1691" t="s">
        <v>1040</v>
      </c>
      <c r="F160" s="2287" t="s">
        <v>390</v>
      </c>
      <c r="G160" s="1762" t="s">
        <v>22</v>
      </c>
      <c r="H160" s="842" t="s">
        <v>22</v>
      </c>
      <c r="I160" s="1762">
        <v>46115</v>
      </c>
      <c r="J160" s="842" t="s">
        <v>22</v>
      </c>
      <c r="K160" s="1762" t="s">
        <v>22</v>
      </c>
      <c r="L160" s="842" t="s">
        <v>22</v>
      </c>
      <c r="M160" s="2943" t="s">
        <v>22</v>
      </c>
      <c r="N160" s="2940" t="s">
        <v>22</v>
      </c>
      <c r="O160" s="1762">
        <v>46127</v>
      </c>
      <c r="P160" s="842" t="s">
        <v>22</v>
      </c>
      <c r="Q160" s="1762">
        <v>46114</v>
      </c>
      <c r="R160" s="842" t="s">
        <v>22</v>
      </c>
      <c r="S160" s="1762">
        <v>46115</v>
      </c>
      <c r="T160" s="842" t="s">
        <v>22</v>
      </c>
      <c r="U160" s="1762">
        <v>46125</v>
      </c>
      <c r="V160" s="842" t="s">
        <v>22</v>
      </c>
      <c r="W160" s="1762" t="s">
        <v>22</v>
      </c>
      <c r="X160" s="842" t="s">
        <v>22</v>
      </c>
      <c r="Y160" s="1762" t="s">
        <v>22</v>
      </c>
      <c r="Z160" s="842" t="s">
        <v>22</v>
      </c>
      <c r="AA160" s="2943" t="s">
        <v>22</v>
      </c>
      <c r="AB160" s="2940" t="s">
        <v>22</v>
      </c>
      <c r="AC160" s="1762">
        <v>46132</v>
      </c>
      <c r="AD160" s="842" t="s">
        <v>22</v>
      </c>
      <c r="AE160" s="1762">
        <v>46139</v>
      </c>
      <c r="AF160" s="842" t="s">
        <v>22</v>
      </c>
      <c r="AG160" s="2943" t="s">
        <v>22</v>
      </c>
      <c r="AH160" s="2940" t="s">
        <v>22</v>
      </c>
      <c r="AI160" s="1762">
        <v>46129</v>
      </c>
      <c r="AJ160" s="842" t="s">
        <v>22</v>
      </c>
      <c r="AK160" s="1762" t="s">
        <v>22</v>
      </c>
      <c r="AL160" s="842" t="s">
        <v>22</v>
      </c>
      <c r="AM160" s="1549" t="s">
        <v>1041</v>
      </c>
      <c r="AN160" s="1659"/>
      <c r="AO160" s="1659"/>
      <c r="AP160" s="1659"/>
      <c r="AQ160" s="1659"/>
      <c r="AR160" s="1659"/>
      <c r="AS160" s="1659"/>
      <c r="AT160" s="1659"/>
      <c r="AU160" s="1659"/>
      <c r="AV160" s="1659"/>
      <c r="AW160" s="699"/>
      <c r="AX160" s="1659">
        <v>0</v>
      </c>
    </row>
    <row s="1874" customFormat="1" customHeight="1" ht="15">
      <c r="A161" s="1659"/>
      <c r="B161" s="2421"/>
      <c r="C161" s="2422"/>
      <c r="D161" s="713" t="str">
        <f>B159&amp;".3"</f>
        <v>3.41.3</v>
      </c>
      <c r="E161" s="1691" t="s">
        <v>1042</v>
      </c>
      <c r="F161" s="2287" t="s">
        <v>390</v>
      </c>
      <c r="G161" s="1762" t="s">
        <v>22</v>
      </c>
      <c r="H161" s="842" t="s">
        <v>22</v>
      </c>
      <c r="I161" s="1762" t="s">
        <v>22</v>
      </c>
      <c r="J161" s="842" t="s">
        <v>22</v>
      </c>
      <c r="K161" s="1762" t="s">
        <v>22</v>
      </c>
      <c r="L161" s="842" t="s">
        <v>22</v>
      </c>
      <c r="M161" s="2943" t="s">
        <v>22</v>
      </c>
      <c r="N161" s="2940" t="s">
        <v>22</v>
      </c>
      <c r="O161" s="1762" t="s">
        <v>22</v>
      </c>
      <c r="P161" s="842" t="s">
        <v>22</v>
      </c>
      <c r="Q161" s="1762" t="s">
        <v>22</v>
      </c>
      <c r="R161" s="842" t="s">
        <v>22</v>
      </c>
      <c r="S161" s="1762"/>
      <c r="T161" s="842" t="s">
        <v>22</v>
      </c>
      <c r="U161" s="1762" t="s">
        <v>22</v>
      </c>
      <c r="V161" s="842" t="s">
        <v>22</v>
      </c>
      <c r="W161" s="1762" t="s">
        <v>22</v>
      </c>
      <c r="X161" s="842" t="s">
        <v>22</v>
      </c>
      <c r="Y161" s="1762" t="s">
        <v>22</v>
      </c>
      <c r="Z161" s="842" t="s">
        <v>22</v>
      </c>
      <c r="AA161" s="2943" t="s">
        <v>22</v>
      </c>
      <c r="AB161" s="2940" t="s">
        <v>22</v>
      </c>
      <c r="AC161" s="1762" t="s">
        <v>22</v>
      </c>
      <c r="AD161" s="842" t="s">
        <v>22</v>
      </c>
      <c r="AE161" s="1762" t="s">
        <v>22</v>
      </c>
      <c r="AF161" s="842" t="s">
        <v>22</v>
      </c>
      <c r="AG161" s="2943" t="s">
        <v>22</v>
      </c>
      <c r="AH161" s="2940" t="s">
        <v>22</v>
      </c>
      <c r="AI161" s="1762" t="s">
        <v>22</v>
      </c>
      <c r="AJ161" s="842" t="s">
        <v>22</v>
      </c>
      <c r="AK161" s="1762" t="s">
        <v>22</v>
      </c>
      <c r="AL161" s="842" t="s">
        <v>22</v>
      </c>
      <c r="AM161" s="1549" t="s">
        <v>1043</v>
      </c>
      <c r="AN161" s="1659"/>
      <c r="AO161" s="1659"/>
      <c r="AP161" s="1659"/>
      <c r="AQ161" s="1659"/>
      <c r="AR161" s="1659"/>
      <c r="AS161" s="1659"/>
      <c r="AT161" s="1659"/>
      <c r="AU161" s="1659"/>
      <c r="AV161" s="1659"/>
      <c r="AW161" s="699"/>
      <c r="AX161" s="1659">
        <v>0</v>
      </c>
    </row>
    <row s="1874" customFormat="1" customHeight="1" ht="22.5">
      <c r="A162" s="1659"/>
      <c r="B162" s="2421" t="s">
        <v>1111</v>
      </c>
      <c r="C162" s="2422" t="s">
        <v>104</v>
      </c>
      <c r="D162" s="713" t="str">
        <f>B162&amp;".1"</f>
        <v>3.42.1</v>
      </c>
      <c r="E162" s="1691" t="s">
        <v>1039</v>
      </c>
      <c r="F162" s="2287" t="s">
        <v>390</v>
      </c>
      <c r="G162" s="2377" t="s">
        <v>22</v>
      </c>
      <c r="H162" s="842" t="s">
        <v>22</v>
      </c>
      <c r="I162" s="2377" t="s">
        <v>1059</v>
      </c>
      <c r="J162" s="842" t="s">
        <v>22</v>
      </c>
      <c r="K162" s="2377" t="s">
        <v>22</v>
      </c>
      <c r="L162" s="842" t="s">
        <v>22</v>
      </c>
      <c r="M162" s="2942" t="s">
        <v>22</v>
      </c>
      <c r="N162" s="2940" t="s">
        <v>22</v>
      </c>
      <c r="O162" s="2377" t="s">
        <v>1059</v>
      </c>
      <c r="P162" s="842" t="s">
        <v>22</v>
      </c>
      <c r="Q162" s="2377" t="s">
        <v>1059</v>
      </c>
      <c r="R162" s="842" t="s">
        <v>22</v>
      </c>
      <c r="S162" s="2377" t="s">
        <v>1059</v>
      </c>
      <c r="T162" s="842" t="s">
        <v>22</v>
      </c>
      <c r="U162" s="2377" t="s">
        <v>1059</v>
      </c>
      <c r="V162" s="842" t="s">
        <v>22</v>
      </c>
      <c r="W162" s="2377" t="s">
        <v>22</v>
      </c>
      <c r="X162" s="842" t="s">
        <v>22</v>
      </c>
      <c r="Y162" s="2377" t="s">
        <v>22</v>
      </c>
      <c r="Z162" s="842" t="s">
        <v>22</v>
      </c>
      <c r="AA162" s="2942" t="s">
        <v>22</v>
      </c>
      <c r="AB162" s="2940" t="s">
        <v>22</v>
      </c>
      <c r="AC162" s="2377" t="s">
        <v>1059</v>
      </c>
      <c r="AD162" s="842" t="s">
        <v>22</v>
      </c>
      <c r="AE162" s="2377" t="s">
        <v>1112</v>
      </c>
      <c r="AF162" s="842" t="s">
        <v>22</v>
      </c>
      <c r="AG162" s="2942" t="s">
        <v>22</v>
      </c>
      <c r="AH162" s="2940" t="s">
        <v>22</v>
      </c>
      <c r="AI162" s="2377" t="s">
        <v>1059</v>
      </c>
      <c r="AJ162" s="842" t="s">
        <v>22</v>
      </c>
      <c r="AK162" s="2377" t="s">
        <v>22</v>
      </c>
      <c r="AL162" s="842" t="s">
        <v>22</v>
      </c>
      <c r="AM162" s="1549"/>
      <c r="AN162" s="1659"/>
      <c r="AO162" s="1659"/>
      <c r="AP162" s="1659"/>
      <c r="AQ162" s="1659"/>
      <c r="AR162" s="1659"/>
      <c r="AS162" s="1659"/>
      <c r="AT162" s="1659"/>
      <c r="AU162" s="1659"/>
      <c r="AV162" s="1659"/>
      <c r="AW162" s="699"/>
      <c r="AX162" s="1659">
        <v>0</v>
      </c>
    </row>
    <row s="1874" customFormat="1" customHeight="1" ht="15">
      <c r="A163" s="1659"/>
      <c r="B163" s="2421"/>
      <c r="C163" s="2422"/>
      <c r="D163" s="713" t="str">
        <f>B162&amp;".2"</f>
        <v>3.42.2</v>
      </c>
      <c r="E163" s="1691" t="s">
        <v>1040</v>
      </c>
      <c r="F163" s="2287" t="s">
        <v>390</v>
      </c>
      <c r="G163" s="1762" t="s">
        <v>22</v>
      </c>
      <c r="H163" s="842" t="s">
        <v>22</v>
      </c>
      <c r="I163" s="1762">
        <v>46115</v>
      </c>
      <c r="J163" s="842" t="s">
        <v>22</v>
      </c>
      <c r="K163" s="1762" t="s">
        <v>22</v>
      </c>
      <c r="L163" s="842" t="s">
        <v>22</v>
      </c>
      <c r="M163" s="2943" t="s">
        <v>22</v>
      </c>
      <c r="N163" s="2940" t="s">
        <v>22</v>
      </c>
      <c r="O163" s="1762">
        <v>46127</v>
      </c>
      <c r="P163" s="842" t="s">
        <v>22</v>
      </c>
      <c r="Q163" s="1762">
        <v>46115</v>
      </c>
      <c r="R163" s="842" t="s">
        <v>22</v>
      </c>
      <c r="S163" s="1762">
        <v>46115</v>
      </c>
      <c r="T163" s="842" t="s">
        <v>22</v>
      </c>
      <c r="U163" s="1762">
        <v>46125</v>
      </c>
      <c r="V163" s="842" t="s">
        <v>22</v>
      </c>
      <c r="W163" s="1762" t="s">
        <v>22</v>
      </c>
      <c r="X163" s="842" t="s">
        <v>22</v>
      </c>
      <c r="Y163" s="1762" t="s">
        <v>22</v>
      </c>
      <c r="Z163" s="842" t="s">
        <v>22</v>
      </c>
      <c r="AA163" s="2943" t="s">
        <v>22</v>
      </c>
      <c r="AB163" s="2940" t="s">
        <v>22</v>
      </c>
      <c r="AC163" s="1762">
        <v>46132</v>
      </c>
      <c r="AD163" s="842" t="s">
        <v>22</v>
      </c>
      <c r="AE163" s="1762">
        <v>46140</v>
      </c>
      <c r="AF163" s="842" t="s">
        <v>22</v>
      </c>
      <c r="AG163" s="2943" t="s">
        <v>22</v>
      </c>
      <c r="AH163" s="2940" t="s">
        <v>22</v>
      </c>
      <c r="AI163" s="1762">
        <v>46132</v>
      </c>
      <c r="AJ163" s="842" t="s">
        <v>22</v>
      </c>
      <c r="AK163" s="1762" t="s">
        <v>22</v>
      </c>
      <c r="AL163" s="842" t="s">
        <v>22</v>
      </c>
      <c r="AM163" s="1549" t="s">
        <v>1041</v>
      </c>
      <c r="AN163" s="1659"/>
      <c r="AO163" s="1659"/>
      <c r="AP163" s="1659"/>
      <c r="AQ163" s="1659"/>
      <c r="AR163" s="1659"/>
      <c r="AS163" s="1659"/>
      <c r="AT163" s="1659"/>
      <c r="AU163" s="1659"/>
      <c r="AV163" s="1659"/>
      <c r="AW163" s="699"/>
      <c r="AX163" s="1659">
        <v>0</v>
      </c>
    </row>
    <row s="1874" customFormat="1" customHeight="1" ht="15">
      <c r="A164" s="1659"/>
      <c r="B164" s="2421"/>
      <c r="C164" s="2422"/>
      <c r="D164" s="713" t="str">
        <f>B162&amp;".3"</f>
        <v>3.42.3</v>
      </c>
      <c r="E164" s="1691" t="s">
        <v>1042</v>
      </c>
      <c r="F164" s="2287" t="s">
        <v>390</v>
      </c>
      <c r="G164" s="1762" t="s">
        <v>22</v>
      </c>
      <c r="H164" s="842" t="s">
        <v>22</v>
      </c>
      <c r="I164" s="1762" t="s">
        <v>22</v>
      </c>
      <c r="J164" s="842" t="s">
        <v>22</v>
      </c>
      <c r="K164" s="1762" t="s">
        <v>22</v>
      </c>
      <c r="L164" s="842" t="s">
        <v>22</v>
      </c>
      <c r="M164" s="2943" t="s">
        <v>22</v>
      </c>
      <c r="N164" s="2940" t="s">
        <v>22</v>
      </c>
      <c r="O164" s="1762" t="s">
        <v>22</v>
      </c>
      <c r="P164" s="842" t="s">
        <v>22</v>
      </c>
      <c r="Q164" s="1762" t="s">
        <v>22</v>
      </c>
      <c r="R164" s="842" t="s">
        <v>22</v>
      </c>
      <c r="S164" s="1762"/>
      <c r="T164" s="842" t="s">
        <v>22</v>
      </c>
      <c r="U164" s="1762" t="s">
        <v>22</v>
      </c>
      <c r="V164" s="842" t="s">
        <v>22</v>
      </c>
      <c r="W164" s="1762" t="s">
        <v>22</v>
      </c>
      <c r="X164" s="842" t="s">
        <v>22</v>
      </c>
      <c r="Y164" s="1762" t="s">
        <v>22</v>
      </c>
      <c r="Z164" s="842" t="s">
        <v>22</v>
      </c>
      <c r="AA164" s="2943" t="s">
        <v>22</v>
      </c>
      <c r="AB164" s="2940" t="s">
        <v>22</v>
      </c>
      <c r="AC164" s="1762">
        <v>46133</v>
      </c>
      <c r="AD164" s="842" t="s">
        <v>22</v>
      </c>
      <c r="AE164" s="1762" t="s">
        <v>22</v>
      </c>
      <c r="AF164" s="842" t="s">
        <v>22</v>
      </c>
      <c r="AG164" s="2943" t="s">
        <v>22</v>
      </c>
      <c r="AH164" s="2940" t="s">
        <v>22</v>
      </c>
      <c r="AI164" s="1762" t="s">
        <v>22</v>
      </c>
      <c r="AJ164" s="842" t="s">
        <v>22</v>
      </c>
      <c r="AK164" s="1762" t="s">
        <v>22</v>
      </c>
      <c r="AL164" s="842" t="s">
        <v>22</v>
      </c>
      <c r="AM164" s="1549" t="s">
        <v>1043</v>
      </c>
      <c r="AN164" s="1659"/>
      <c r="AO164" s="1659"/>
      <c r="AP164" s="1659"/>
      <c r="AQ164" s="1659"/>
      <c r="AR164" s="1659"/>
      <c r="AS164" s="1659"/>
      <c r="AT164" s="1659"/>
      <c r="AU164" s="1659"/>
      <c r="AV164" s="1659"/>
      <c r="AW164" s="699"/>
      <c r="AX164" s="1659">
        <v>0</v>
      </c>
    </row>
    <row s="1874" customFormat="1" customHeight="1" ht="22.5">
      <c r="A165" s="1659"/>
      <c r="B165" s="2421" t="s">
        <v>1113</v>
      </c>
      <c r="C165" s="2422" t="s">
        <v>104</v>
      </c>
      <c r="D165" s="713" t="str">
        <f>B165&amp;".1"</f>
        <v>3.43.1</v>
      </c>
      <c r="E165" s="1691" t="s">
        <v>1039</v>
      </c>
      <c r="F165" s="2287" t="s">
        <v>390</v>
      </c>
      <c r="G165" s="2377" t="s">
        <v>22</v>
      </c>
      <c r="H165" s="842" t="s">
        <v>22</v>
      </c>
      <c r="I165" s="2377" t="s">
        <v>1059</v>
      </c>
      <c r="J165" s="842" t="s">
        <v>22</v>
      </c>
      <c r="K165" s="2377" t="s">
        <v>22</v>
      </c>
      <c r="L165" s="842" t="s">
        <v>22</v>
      </c>
      <c r="M165" s="2942" t="s">
        <v>22</v>
      </c>
      <c r="N165" s="2940" t="s">
        <v>22</v>
      </c>
      <c r="O165" s="2377" t="s">
        <v>1059</v>
      </c>
      <c r="P165" s="842" t="s">
        <v>22</v>
      </c>
      <c r="Q165" s="2377" t="s">
        <v>1059</v>
      </c>
      <c r="R165" s="842" t="s">
        <v>22</v>
      </c>
      <c r="S165" s="2377" t="s">
        <v>1059</v>
      </c>
      <c r="T165" s="842" t="s">
        <v>22</v>
      </c>
      <c r="U165" s="2377" t="s">
        <v>1059</v>
      </c>
      <c r="V165" s="842" t="s">
        <v>22</v>
      </c>
      <c r="W165" s="2377" t="s">
        <v>22</v>
      </c>
      <c r="X165" s="842" t="s">
        <v>22</v>
      </c>
      <c r="Y165" s="2377" t="s">
        <v>22</v>
      </c>
      <c r="Z165" s="842" t="s">
        <v>22</v>
      </c>
      <c r="AA165" s="2942" t="s">
        <v>22</v>
      </c>
      <c r="AB165" s="2940" t="s">
        <v>22</v>
      </c>
      <c r="AC165" s="2377" t="s">
        <v>1059</v>
      </c>
      <c r="AD165" s="842" t="s">
        <v>22</v>
      </c>
      <c r="AE165" s="2377" t="s">
        <v>1059</v>
      </c>
      <c r="AF165" s="842" t="s">
        <v>22</v>
      </c>
      <c r="AG165" s="2942" t="s">
        <v>22</v>
      </c>
      <c r="AH165" s="2940" t="s">
        <v>22</v>
      </c>
      <c r="AI165" s="2377" t="s">
        <v>1064</v>
      </c>
      <c r="AJ165" s="842" t="s">
        <v>22</v>
      </c>
      <c r="AK165" s="2377" t="s">
        <v>22</v>
      </c>
      <c r="AL165" s="842" t="s">
        <v>22</v>
      </c>
      <c r="AM165" s="1549"/>
      <c r="AN165" s="1659"/>
      <c r="AO165" s="1659"/>
      <c r="AP165" s="1659"/>
      <c r="AQ165" s="1659"/>
      <c r="AR165" s="1659"/>
      <c r="AS165" s="1659"/>
      <c r="AT165" s="1659"/>
      <c r="AU165" s="1659"/>
      <c r="AV165" s="1659"/>
      <c r="AW165" s="699"/>
      <c r="AX165" s="1659">
        <v>0</v>
      </c>
    </row>
    <row s="1874" customFormat="1" customHeight="1" ht="15">
      <c r="A166" s="1659"/>
      <c r="B166" s="2421"/>
      <c r="C166" s="2422"/>
      <c r="D166" s="713" t="str">
        <f>B165&amp;".2"</f>
        <v>3.43.2</v>
      </c>
      <c r="E166" s="1691" t="s">
        <v>1040</v>
      </c>
      <c r="F166" s="2287" t="s">
        <v>390</v>
      </c>
      <c r="G166" s="1762" t="s">
        <v>22</v>
      </c>
      <c r="H166" s="842" t="s">
        <v>22</v>
      </c>
      <c r="I166" s="1762">
        <v>46115</v>
      </c>
      <c r="J166" s="842" t="s">
        <v>22</v>
      </c>
      <c r="K166" s="1762" t="s">
        <v>22</v>
      </c>
      <c r="L166" s="842" t="s">
        <v>22</v>
      </c>
      <c r="M166" s="2943" t="s">
        <v>22</v>
      </c>
      <c r="N166" s="2940" t="s">
        <v>22</v>
      </c>
      <c r="O166" s="1762">
        <v>46127</v>
      </c>
      <c r="P166" s="842" t="s">
        <v>22</v>
      </c>
      <c r="Q166" s="1762">
        <v>46115</v>
      </c>
      <c r="R166" s="842" t="s">
        <v>22</v>
      </c>
      <c r="S166" s="1762">
        <v>46116</v>
      </c>
      <c r="T166" s="842" t="s">
        <v>22</v>
      </c>
      <c r="U166" s="1762">
        <v>46125</v>
      </c>
      <c r="V166" s="842" t="s">
        <v>22</v>
      </c>
      <c r="W166" s="1762" t="s">
        <v>22</v>
      </c>
      <c r="X166" s="842" t="s">
        <v>22</v>
      </c>
      <c r="Y166" s="1762" t="s">
        <v>22</v>
      </c>
      <c r="Z166" s="842" t="s">
        <v>22</v>
      </c>
      <c r="AA166" s="2943" t="s">
        <v>22</v>
      </c>
      <c r="AB166" s="2940" t="s">
        <v>22</v>
      </c>
      <c r="AC166" s="1762">
        <v>46135</v>
      </c>
      <c r="AD166" s="842" t="s">
        <v>22</v>
      </c>
      <c r="AE166" s="1762">
        <v>46140</v>
      </c>
      <c r="AF166" s="842" t="s">
        <v>22</v>
      </c>
      <c r="AG166" s="2943" t="s">
        <v>22</v>
      </c>
      <c r="AH166" s="2940" t="s">
        <v>22</v>
      </c>
      <c r="AI166" s="1762">
        <v>46132</v>
      </c>
      <c r="AJ166" s="842" t="s">
        <v>22</v>
      </c>
      <c r="AK166" s="1762" t="s">
        <v>22</v>
      </c>
      <c r="AL166" s="842" t="s">
        <v>22</v>
      </c>
      <c r="AM166" s="1549" t="s">
        <v>1041</v>
      </c>
      <c r="AN166" s="1659"/>
      <c r="AO166" s="1659"/>
      <c r="AP166" s="1659"/>
      <c r="AQ166" s="1659"/>
      <c r="AR166" s="1659"/>
      <c r="AS166" s="1659"/>
      <c r="AT166" s="1659"/>
      <c r="AU166" s="1659"/>
      <c r="AV166" s="1659"/>
      <c r="AW166" s="699"/>
      <c r="AX166" s="1659">
        <v>0</v>
      </c>
    </row>
    <row s="1874" customFormat="1" customHeight="1" ht="15">
      <c r="A167" s="1659"/>
      <c r="B167" s="2421"/>
      <c r="C167" s="2422"/>
      <c r="D167" s="713" t="str">
        <f>B165&amp;".3"</f>
        <v>3.43.3</v>
      </c>
      <c r="E167" s="1691" t="s">
        <v>1042</v>
      </c>
      <c r="F167" s="2287" t="s">
        <v>390</v>
      </c>
      <c r="G167" s="1762" t="s">
        <v>22</v>
      </c>
      <c r="H167" s="842" t="s">
        <v>22</v>
      </c>
      <c r="I167" s="1762" t="s">
        <v>22</v>
      </c>
      <c r="J167" s="842" t="s">
        <v>22</v>
      </c>
      <c r="K167" s="1762" t="s">
        <v>22</v>
      </c>
      <c r="L167" s="842" t="s">
        <v>22</v>
      </c>
      <c r="M167" s="2943" t="s">
        <v>22</v>
      </c>
      <c r="N167" s="2940" t="s">
        <v>22</v>
      </c>
      <c r="O167" s="1762" t="s">
        <v>22</v>
      </c>
      <c r="P167" s="842" t="s">
        <v>22</v>
      </c>
      <c r="Q167" s="1762" t="s">
        <v>22</v>
      </c>
      <c r="R167" s="842" t="s">
        <v>22</v>
      </c>
      <c r="S167" s="1762"/>
      <c r="T167" s="842" t="s">
        <v>22</v>
      </c>
      <c r="U167" s="1762" t="s">
        <v>22</v>
      </c>
      <c r="V167" s="842" t="s">
        <v>22</v>
      </c>
      <c r="W167" s="1762" t="s">
        <v>22</v>
      </c>
      <c r="X167" s="842" t="s">
        <v>22</v>
      </c>
      <c r="Y167" s="1762" t="s">
        <v>22</v>
      </c>
      <c r="Z167" s="842" t="s">
        <v>22</v>
      </c>
      <c r="AA167" s="2943" t="s">
        <v>22</v>
      </c>
      <c r="AB167" s="2940" t="s">
        <v>22</v>
      </c>
      <c r="AC167" s="1762" t="s">
        <v>22</v>
      </c>
      <c r="AD167" s="842" t="s">
        <v>22</v>
      </c>
      <c r="AE167" s="1762" t="s">
        <v>22</v>
      </c>
      <c r="AF167" s="842" t="s">
        <v>22</v>
      </c>
      <c r="AG167" s="2943" t="s">
        <v>22</v>
      </c>
      <c r="AH167" s="2940" t="s">
        <v>22</v>
      </c>
      <c r="AI167" s="1762" t="s">
        <v>22</v>
      </c>
      <c r="AJ167" s="842" t="s">
        <v>22</v>
      </c>
      <c r="AK167" s="1762" t="s">
        <v>22</v>
      </c>
      <c r="AL167" s="842" t="s">
        <v>22</v>
      </c>
      <c r="AM167" s="1549" t="s">
        <v>1043</v>
      </c>
      <c r="AN167" s="1659"/>
      <c r="AO167" s="1659"/>
      <c r="AP167" s="1659"/>
      <c r="AQ167" s="1659"/>
      <c r="AR167" s="1659"/>
      <c r="AS167" s="1659"/>
      <c r="AT167" s="1659"/>
      <c r="AU167" s="1659"/>
      <c r="AV167" s="1659"/>
      <c r="AW167" s="699"/>
      <c r="AX167" s="1659">
        <v>0</v>
      </c>
    </row>
    <row s="1874" customFormat="1" customHeight="1" ht="22.5">
      <c r="A168" s="1659"/>
      <c r="B168" s="2421" t="s">
        <v>1114</v>
      </c>
      <c r="C168" s="2422" t="s">
        <v>104</v>
      </c>
      <c r="D168" s="713" t="str">
        <f>B168&amp;".1"</f>
        <v>3.44.1</v>
      </c>
      <c r="E168" s="1691" t="s">
        <v>1039</v>
      </c>
      <c r="F168" s="2287" t="s">
        <v>390</v>
      </c>
      <c r="G168" s="2377" t="s">
        <v>22</v>
      </c>
      <c r="H168" s="842" t="s">
        <v>22</v>
      </c>
      <c r="I168" s="2377" t="s">
        <v>1059</v>
      </c>
      <c r="J168" s="842" t="s">
        <v>22</v>
      </c>
      <c r="K168" s="2377" t="s">
        <v>22</v>
      </c>
      <c r="L168" s="842" t="s">
        <v>22</v>
      </c>
      <c r="M168" s="2942" t="s">
        <v>22</v>
      </c>
      <c r="N168" s="2940" t="s">
        <v>22</v>
      </c>
      <c r="O168" s="2377" t="s">
        <v>1059</v>
      </c>
      <c r="P168" s="842" t="s">
        <v>22</v>
      </c>
      <c r="Q168" s="2377" t="s">
        <v>1059</v>
      </c>
      <c r="R168" s="842" t="s">
        <v>22</v>
      </c>
      <c r="S168" s="2377" t="s">
        <v>1059</v>
      </c>
      <c r="T168" s="842" t="s">
        <v>22</v>
      </c>
      <c r="U168" s="2377" t="s">
        <v>1059</v>
      </c>
      <c r="V168" s="842" t="s">
        <v>22</v>
      </c>
      <c r="W168" s="2377" t="s">
        <v>22</v>
      </c>
      <c r="X168" s="842" t="s">
        <v>22</v>
      </c>
      <c r="Y168" s="2377" t="s">
        <v>22</v>
      </c>
      <c r="Z168" s="842" t="s">
        <v>22</v>
      </c>
      <c r="AA168" s="2942" t="s">
        <v>22</v>
      </c>
      <c r="AB168" s="2940" t="s">
        <v>22</v>
      </c>
      <c r="AC168" s="2377" t="s">
        <v>1115</v>
      </c>
      <c r="AD168" s="842" t="s">
        <v>22</v>
      </c>
      <c r="AE168" s="2377" t="s">
        <v>1059</v>
      </c>
      <c r="AF168" s="842" t="s">
        <v>22</v>
      </c>
      <c r="AG168" s="2942" t="s">
        <v>22</v>
      </c>
      <c r="AH168" s="2940" t="s">
        <v>22</v>
      </c>
      <c r="AI168" s="2377" t="s">
        <v>1059</v>
      </c>
      <c r="AJ168" s="842" t="s">
        <v>22</v>
      </c>
      <c r="AK168" s="2377" t="s">
        <v>22</v>
      </c>
      <c r="AL168" s="842" t="s">
        <v>22</v>
      </c>
      <c r="AM168" s="1549"/>
      <c r="AN168" s="1659"/>
      <c r="AO168" s="1659"/>
      <c r="AP168" s="1659"/>
      <c r="AQ168" s="1659"/>
      <c r="AR168" s="1659"/>
      <c r="AS168" s="1659"/>
      <c r="AT168" s="1659"/>
      <c r="AU168" s="1659"/>
      <c r="AV168" s="1659"/>
      <c r="AW168" s="699"/>
      <c r="AX168" s="1659">
        <v>0</v>
      </c>
    </row>
    <row s="1874" customFormat="1" customHeight="1" ht="15">
      <c r="A169" s="1659"/>
      <c r="B169" s="2421"/>
      <c r="C169" s="2422"/>
      <c r="D169" s="713" t="str">
        <f>B168&amp;".2"</f>
        <v>3.44.2</v>
      </c>
      <c r="E169" s="1691" t="s">
        <v>1040</v>
      </c>
      <c r="F169" s="2287" t="s">
        <v>390</v>
      </c>
      <c r="G169" s="1762" t="s">
        <v>22</v>
      </c>
      <c r="H169" s="842" t="s">
        <v>22</v>
      </c>
      <c r="I169" s="1762">
        <v>46115</v>
      </c>
      <c r="J169" s="842" t="s">
        <v>22</v>
      </c>
      <c r="K169" s="1762" t="s">
        <v>22</v>
      </c>
      <c r="L169" s="842" t="s">
        <v>22</v>
      </c>
      <c r="M169" s="2943" t="s">
        <v>22</v>
      </c>
      <c r="N169" s="2940" t="s">
        <v>22</v>
      </c>
      <c r="O169" s="1762">
        <v>46127</v>
      </c>
      <c r="P169" s="842" t="s">
        <v>22</v>
      </c>
      <c r="Q169" s="1762">
        <v>46115</v>
      </c>
      <c r="R169" s="842" t="s">
        <v>22</v>
      </c>
      <c r="S169" s="1762">
        <v>46116</v>
      </c>
      <c r="T169" s="842" t="s">
        <v>22</v>
      </c>
      <c r="U169" s="1762">
        <v>46125</v>
      </c>
      <c r="V169" s="842" t="s">
        <v>22</v>
      </c>
      <c r="W169" s="1762" t="s">
        <v>22</v>
      </c>
      <c r="X169" s="842" t="s">
        <v>22</v>
      </c>
      <c r="Y169" s="1762" t="s">
        <v>22</v>
      </c>
      <c r="Z169" s="842" t="s">
        <v>22</v>
      </c>
      <c r="AA169" s="2943" t="s">
        <v>22</v>
      </c>
      <c r="AB169" s="2940" t="s">
        <v>22</v>
      </c>
      <c r="AC169" s="1762">
        <v>46136</v>
      </c>
      <c r="AD169" s="842" t="s">
        <v>22</v>
      </c>
      <c r="AE169" s="1762">
        <v>46140</v>
      </c>
      <c r="AF169" s="842" t="s">
        <v>22</v>
      </c>
      <c r="AG169" s="2943" t="s">
        <v>22</v>
      </c>
      <c r="AH169" s="2940" t="s">
        <v>22</v>
      </c>
      <c r="AI169" s="1762">
        <v>46132</v>
      </c>
      <c r="AJ169" s="842" t="s">
        <v>22</v>
      </c>
      <c r="AK169" s="1762" t="s">
        <v>22</v>
      </c>
      <c r="AL169" s="842" t="s">
        <v>22</v>
      </c>
      <c r="AM169" s="1549" t="s">
        <v>1041</v>
      </c>
      <c r="AN169" s="1659"/>
      <c r="AO169" s="1659"/>
      <c r="AP169" s="1659"/>
      <c r="AQ169" s="1659"/>
      <c r="AR169" s="1659"/>
      <c r="AS169" s="1659"/>
      <c r="AT169" s="1659"/>
      <c r="AU169" s="1659"/>
      <c r="AV169" s="1659"/>
      <c r="AW169" s="699"/>
      <c r="AX169" s="1659">
        <v>0</v>
      </c>
    </row>
    <row s="1874" customFormat="1" customHeight="1" ht="15">
      <c r="A170" s="1659"/>
      <c r="B170" s="2421"/>
      <c r="C170" s="2422"/>
      <c r="D170" s="713" t="str">
        <f>B168&amp;".3"</f>
        <v>3.44.3</v>
      </c>
      <c r="E170" s="1691" t="s">
        <v>1042</v>
      </c>
      <c r="F170" s="2287" t="s">
        <v>390</v>
      </c>
      <c r="G170" s="1762" t="s">
        <v>22</v>
      </c>
      <c r="H170" s="842" t="s">
        <v>22</v>
      </c>
      <c r="I170" s="1762" t="s">
        <v>22</v>
      </c>
      <c r="J170" s="842" t="s">
        <v>22</v>
      </c>
      <c r="K170" s="1762" t="s">
        <v>22</v>
      </c>
      <c r="L170" s="842" t="s">
        <v>22</v>
      </c>
      <c r="M170" s="2943" t="s">
        <v>22</v>
      </c>
      <c r="N170" s="2940" t="s">
        <v>22</v>
      </c>
      <c r="O170" s="1762" t="s">
        <v>22</v>
      </c>
      <c r="P170" s="842" t="s">
        <v>22</v>
      </c>
      <c r="Q170" s="1762" t="s">
        <v>22</v>
      </c>
      <c r="R170" s="842" t="s">
        <v>22</v>
      </c>
      <c r="S170" s="1762"/>
      <c r="T170" s="842" t="s">
        <v>22</v>
      </c>
      <c r="U170" s="1762" t="s">
        <v>22</v>
      </c>
      <c r="V170" s="842" t="s">
        <v>22</v>
      </c>
      <c r="W170" s="1762" t="s">
        <v>22</v>
      </c>
      <c r="X170" s="842" t="s">
        <v>22</v>
      </c>
      <c r="Y170" s="1762" t="s">
        <v>22</v>
      </c>
      <c r="Z170" s="842" t="s">
        <v>22</v>
      </c>
      <c r="AA170" s="2943" t="s">
        <v>22</v>
      </c>
      <c r="AB170" s="2940" t="s">
        <v>22</v>
      </c>
      <c r="AC170" s="1762" t="s">
        <v>22</v>
      </c>
      <c r="AD170" s="842" t="s">
        <v>22</v>
      </c>
      <c r="AE170" s="1762" t="s">
        <v>22</v>
      </c>
      <c r="AF170" s="842" t="s">
        <v>22</v>
      </c>
      <c r="AG170" s="2943" t="s">
        <v>22</v>
      </c>
      <c r="AH170" s="2940" t="s">
        <v>22</v>
      </c>
      <c r="AI170" s="1762" t="s">
        <v>22</v>
      </c>
      <c r="AJ170" s="842" t="s">
        <v>22</v>
      </c>
      <c r="AK170" s="1762" t="s">
        <v>22</v>
      </c>
      <c r="AL170" s="842" t="s">
        <v>22</v>
      </c>
      <c r="AM170" s="1549" t="s">
        <v>1043</v>
      </c>
      <c r="AN170" s="1659"/>
      <c r="AO170" s="1659"/>
      <c r="AP170" s="1659"/>
      <c r="AQ170" s="1659"/>
      <c r="AR170" s="1659"/>
      <c r="AS170" s="1659"/>
      <c r="AT170" s="1659"/>
      <c r="AU170" s="1659"/>
      <c r="AV170" s="1659"/>
      <c r="AW170" s="699"/>
      <c r="AX170" s="1659">
        <v>0</v>
      </c>
    </row>
    <row s="1874" customFormat="1" customHeight="1" ht="22.5">
      <c r="A171" s="1659"/>
      <c r="B171" s="2421" t="s">
        <v>1116</v>
      </c>
      <c r="C171" s="2422" t="s">
        <v>104</v>
      </c>
      <c r="D171" s="713" t="str">
        <f>B171&amp;".1"</f>
        <v>3.45.1</v>
      </c>
      <c r="E171" s="1691" t="s">
        <v>1039</v>
      </c>
      <c r="F171" s="2287" t="s">
        <v>390</v>
      </c>
      <c r="G171" s="2377" t="s">
        <v>22</v>
      </c>
      <c r="H171" s="842" t="s">
        <v>22</v>
      </c>
      <c r="I171" s="2377" t="s">
        <v>1059</v>
      </c>
      <c r="J171" s="842" t="s">
        <v>22</v>
      </c>
      <c r="K171" s="2377" t="s">
        <v>22</v>
      </c>
      <c r="L171" s="842" t="s">
        <v>22</v>
      </c>
      <c r="M171" s="2942" t="s">
        <v>22</v>
      </c>
      <c r="N171" s="2940" t="s">
        <v>22</v>
      </c>
      <c r="O171" s="2377" t="s">
        <v>1059</v>
      </c>
      <c r="P171" s="842" t="s">
        <v>22</v>
      </c>
      <c r="Q171" s="2377" t="s">
        <v>1059</v>
      </c>
      <c r="R171" s="842" t="s">
        <v>22</v>
      </c>
      <c r="S171" s="2377" t="s">
        <v>1059</v>
      </c>
      <c r="T171" s="842" t="s">
        <v>22</v>
      </c>
      <c r="U171" s="2377" t="s">
        <v>1059</v>
      </c>
      <c r="V171" s="842" t="s">
        <v>22</v>
      </c>
      <c r="W171" s="2377" t="s">
        <v>22</v>
      </c>
      <c r="X171" s="842" t="s">
        <v>22</v>
      </c>
      <c r="Y171" s="2377" t="s">
        <v>22</v>
      </c>
      <c r="Z171" s="842" t="s">
        <v>22</v>
      </c>
      <c r="AA171" s="2942" t="s">
        <v>22</v>
      </c>
      <c r="AB171" s="2940" t="s">
        <v>22</v>
      </c>
      <c r="AC171" s="2377" t="s">
        <v>1059</v>
      </c>
      <c r="AD171" s="842" t="s">
        <v>22</v>
      </c>
      <c r="AE171" s="2377" t="s">
        <v>1059</v>
      </c>
      <c r="AF171" s="842" t="s">
        <v>22</v>
      </c>
      <c r="AG171" s="2942" t="s">
        <v>22</v>
      </c>
      <c r="AH171" s="2940" t="s">
        <v>22</v>
      </c>
      <c r="AI171" s="2377" t="s">
        <v>1059</v>
      </c>
      <c r="AJ171" s="842" t="s">
        <v>22</v>
      </c>
      <c r="AK171" s="2377" t="s">
        <v>22</v>
      </c>
      <c r="AL171" s="842" t="s">
        <v>22</v>
      </c>
      <c r="AM171" s="1549"/>
      <c r="AN171" s="1659"/>
      <c r="AO171" s="1659"/>
      <c r="AP171" s="1659"/>
      <c r="AQ171" s="1659"/>
      <c r="AR171" s="1659"/>
      <c r="AS171" s="1659"/>
      <c r="AT171" s="1659"/>
      <c r="AU171" s="1659"/>
      <c r="AV171" s="1659"/>
      <c r="AW171" s="699"/>
      <c r="AX171" s="1659">
        <v>0</v>
      </c>
    </row>
    <row s="1874" customFormat="1" customHeight="1" ht="15">
      <c r="A172" s="1659"/>
      <c r="B172" s="2421"/>
      <c r="C172" s="2422"/>
      <c r="D172" s="713" t="str">
        <f>B171&amp;".2"</f>
        <v>3.45.2</v>
      </c>
      <c r="E172" s="1691" t="s">
        <v>1040</v>
      </c>
      <c r="F172" s="2287" t="s">
        <v>390</v>
      </c>
      <c r="G172" s="1762" t="s">
        <v>22</v>
      </c>
      <c r="H172" s="842" t="s">
        <v>22</v>
      </c>
      <c r="I172" s="1762">
        <v>46115</v>
      </c>
      <c r="J172" s="842" t="s">
        <v>22</v>
      </c>
      <c r="K172" s="1762" t="s">
        <v>22</v>
      </c>
      <c r="L172" s="842" t="s">
        <v>22</v>
      </c>
      <c r="M172" s="2943" t="s">
        <v>22</v>
      </c>
      <c r="N172" s="2940" t="s">
        <v>22</v>
      </c>
      <c r="O172" s="1762">
        <v>46127</v>
      </c>
      <c r="P172" s="842" t="s">
        <v>22</v>
      </c>
      <c r="Q172" s="1762">
        <v>46115</v>
      </c>
      <c r="R172" s="842" t="s">
        <v>22</v>
      </c>
      <c r="S172" s="1762">
        <v>46116</v>
      </c>
      <c r="T172" s="842" t="s">
        <v>22</v>
      </c>
      <c r="U172" s="1762">
        <v>46126</v>
      </c>
      <c r="V172" s="842" t="s">
        <v>22</v>
      </c>
      <c r="W172" s="1762" t="s">
        <v>22</v>
      </c>
      <c r="X172" s="842" t="s">
        <v>22</v>
      </c>
      <c r="Y172" s="1762" t="s">
        <v>22</v>
      </c>
      <c r="Z172" s="842" t="s">
        <v>22</v>
      </c>
      <c r="AA172" s="2943" t="s">
        <v>22</v>
      </c>
      <c r="AB172" s="2940" t="s">
        <v>22</v>
      </c>
      <c r="AC172" s="1762">
        <v>46136</v>
      </c>
      <c r="AD172" s="842" t="s">
        <v>22</v>
      </c>
      <c r="AE172" s="1762">
        <v>46140</v>
      </c>
      <c r="AF172" s="842" t="s">
        <v>22</v>
      </c>
      <c r="AG172" s="2943" t="s">
        <v>22</v>
      </c>
      <c r="AH172" s="2940" t="s">
        <v>22</v>
      </c>
      <c r="AI172" s="1762">
        <v>46132</v>
      </c>
      <c r="AJ172" s="842" t="s">
        <v>22</v>
      </c>
      <c r="AK172" s="1762" t="s">
        <v>22</v>
      </c>
      <c r="AL172" s="842" t="s">
        <v>22</v>
      </c>
      <c r="AM172" s="1549" t="s">
        <v>1041</v>
      </c>
      <c r="AN172" s="1659"/>
      <c r="AO172" s="1659"/>
      <c r="AP172" s="1659"/>
      <c r="AQ172" s="1659"/>
      <c r="AR172" s="1659"/>
      <c r="AS172" s="1659"/>
      <c r="AT172" s="1659"/>
      <c r="AU172" s="1659"/>
      <c r="AV172" s="1659"/>
      <c r="AW172" s="699"/>
      <c r="AX172" s="1659">
        <v>0</v>
      </c>
    </row>
    <row s="1874" customFormat="1" customHeight="1" ht="15">
      <c r="A173" s="1659"/>
      <c r="B173" s="2421"/>
      <c r="C173" s="2422"/>
      <c r="D173" s="713" t="str">
        <f>B171&amp;".3"</f>
        <v>3.45.3</v>
      </c>
      <c r="E173" s="1691" t="s">
        <v>1042</v>
      </c>
      <c r="F173" s="2287" t="s">
        <v>390</v>
      </c>
      <c r="G173" s="1762" t="s">
        <v>22</v>
      </c>
      <c r="H173" s="842" t="s">
        <v>22</v>
      </c>
      <c r="I173" s="1762" t="s">
        <v>22</v>
      </c>
      <c r="J173" s="842" t="s">
        <v>22</v>
      </c>
      <c r="K173" s="1762" t="s">
        <v>22</v>
      </c>
      <c r="L173" s="842" t="s">
        <v>22</v>
      </c>
      <c r="M173" s="2943" t="s">
        <v>22</v>
      </c>
      <c r="N173" s="2940" t="s">
        <v>22</v>
      </c>
      <c r="O173" s="1762" t="s">
        <v>22</v>
      </c>
      <c r="P173" s="842" t="s">
        <v>22</v>
      </c>
      <c r="Q173" s="1762" t="s">
        <v>22</v>
      </c>
      <c r="R173" s="842" t="s">
        <v>22</v>
      </c>
      <c r="S173" s="1762"/>
      <c r="T173" s="842" t="s">
        <v>22</v>
      </c>
      <c r="U173" s="1762" t="s">
        <v>22</v>
      </c>
      <c r="V173" s="842" t="s">
        <v>22</v>
      </c>
      <c r="W173" s="1762" t="s">
        <v>22</v>
      </c>
      <c r="X173" s="842" t="s">
        <v>22</v>
      </c>
      <c r="Y173" s="1762" t="s">
        <v>22</v>
      </c>
      <c r="Z173" s="842" t="s">
        <v>22</v>
      </c>
      <c r="AA173" s="2943" t="s">
        <v>22</v>
      </c>
      <c r="AB173" s="2940" t="s">
        <v>22</v>
      </c>
      <c r="AC173" s="1762" t="s">
        <v>22</v>
      </c>
      <c r="AD173" s="842" t="s">
        <v>22</v>
      </c>
      <c r="AE173" s="1762" t="s">
        <v>22</v>
      </c>
      <c r="AF173" s="842" t="s">
        <v>22</v>
      </c>
      <c r="AG173" s="2943" t="s">
        <v>22</v>
      </c>
      <c r="AH173" s="2940" t="s">
        <v>22</v>
      </c>
      <c r="AI173" s="1762" t="s">
        <v>22</v>
      </c>
      <c r="AJ173" s="842" t="s">
        <v>22</v>
      </c>
      <c r="AK173" s="1762" t="s">
        <v>22</v>
      </c>
      <c r="AL173" s="842" t="s">
        <v>22</v>
      </c>
      <c r="AM173" s="1549" t="s">
        <v>1043</v>
      </c>
      <c r="AN173" s="1659"/>
      <c r="AO173" s="1659"/>
      <c r="AP173" s="1659"/>
      <c r="AQ173" s="1659"/>
      <c r="AR173" s="1659"/>
      <c r="AS173" s="1659"/>
      <c r="AT173" s="1659"/>
      <c r="AU173" s="1659"/>
      <c r="AV173" s="1659"/>
      <c r="AW173" s="699"/>
      <c r="AX173" s="1659">
        <v>0</v>
      </c>
    </row>
    <row s="1874" customFormat="1" customHeight="1" ht="22.5">
      <c r="A174" s="1659"/>
      <c r="B174" s="2421" t="s">
        <v>1117</v>
      </c>
      <c r="C174" s="2422" t="s">
        <v>104</v>
      </c>
      <c r="D174" s="713" t="str">
        <f>B174&amp;".1"</f>
        <v>3.46.1</v>
      </c>
      <c r="E174" s="1691" t="s">
        <v>1039</v>
      </c>
      <c r="F174" s="2287" t="s">
        <v>390</v>
      </c>
      <c r="G174" s="2377" t="s">
        <v>22</v>
      </c>
      <c r="H174" s="842" t="s">
        <v>22</v>
      </c>
      <c r="I174" s="2377" t="s">
        <v>1059</v>
      </c>
      <c r="J174" s="842" t="s">
        <v>22</v>
      </c>
      <c r="K174" s="2377" t="s">
        <v>22</v>
      </c>
      <c r="L174" s="842" t="s">
        <v>22</v>
      </c>
      <c r="M174" s="2942" t="s">
        <v>22</v>
      </c>
      <c r="N174" s="2940" t="s">
        <v>22</v>
      </c>
      <c r="O174" s="2377" t="s">
        <v>1059</v>
      </c>
      <c r="P174" s="842" t="s">
        <v>22</v>
      </c>
      <c r="Q174" s="2377" t="s">
        <v>1059</v>
      </c>
      <c r="R174" s="842" t="s">
        <v>22</v>
      </c>
      <c r="S174" s="2377" t="s">
        <v>1059</v>
      </c>
      <c r="T174" s="842" t="s">
        <v>22</v>
      </c>
      <c r="U174" s="2377" t="s">
        <v>1059</v>
      </c>
      <c r="V174" s="842" t="s">
        <v>22</v>
      </c>
      <c r="W174" s="2377" t="s">
        <v>22</v>
      </c>
      <c r="X174" s="842" t="s">
        <v>22</v>
      </c>
      <c r="Y174" s="2377" t="s">
        <v>22</v>
      </c>
      <c r="Z174" s="842" t="s">
        <v>22</v>
      </c>
      <c r="AA174" s="2942" t="s">
        <v>22</v>
      </c>
      <c r="AB174" s="2940" t="s">
        <v>22</v>
      </c>
      <c r="AC174" s="2377" t="s">
        <v>1074</v>
      </c>
      <c r="AD174" s="842" t="s">
        <v>22</v>
      </c>
      <c r="AE174" s="2377" t="s">
        <v>1064</v>
      </c>
      <c r="AF174" s="842" t="s">
        <v>22</v>
      </c>
      <c r="AG174" s="2942" t="s">
        <v>22</v>
      </c>
      <c r="AH174" s="2940" t="s">
        <v>22</v>
      </c>
      <c r="AI174" s="2377" t="s">
        <v>1064</v>
      </c>
      <c r="AJ174" s="842" t="s">
        <v>22</v>
      </c>
      <c r="AK174" s="2377" t="s">
        <v>22</v>
      </c>
      <c r="AL174" s="842" t="s">
        <v>22</v>
      </c>
      <c r="AM174" s="1549"/>
      <c r="AN174" s="1659"/>
      <c r="AO174" s="1659"/>
      <c r="AP174" s="1659"/>
      <c r="AQ174" s="1659"/>
      <c r="AR174" s="1659"/>
      <c r="AS174" s="1659"/>
      <c r="AT174" s="1659"/>
      <c r="AU174" s="1659"/>
      <c r="AV174" s="1659"/>
      <c r="AW174" s="699"/>
      <c r="AX174" s="1659">
        <v>0</v>
      </c>
    </row>
    <row s="1874" customFormat="1" customHeight="1" ht="15">
      <c r="A175" s="1659"/>
      <c r="B175" s="2421"/>
      <c r="C175" s="2422"/>
      <c r="D175" s="713" t="str">
        <f>B174&amp;".2"</f>
        <v>3.46.2</v>
      </c>
      <c r="E175" s="1691" t="s">
        <v>1040</v>
      </c>
      <c r="F175" s="2287" t="s">
        <v>390</v>
      </c>
      <c r="G175" s="1762" t="s">
        <v>22</v>
      </c>
      <c r="H175" s="842" t="s">
        <v>22</v>
      </c>
      <c r="I175" s="1762">
        <v>46118</v>
      </c>
      <c r="J175" s="842" t="s">
        <v>22</v>
      </c>
      <c r="K175" s="1762" t="s">
        <v>22</v>
      </c>
      <c r="L175" s="842" t="s">
        <v>22</v>
      </c>
      <c r="M175" s="2943" t="s">
        <v>22</v>
      </c>
      <c r="N175" s="2940" t="s">
        <v>22</v>
      </c>
      <c r="O175" s="1762">
        <v>46128</v>
      </c>
      <c r="P175" s="842" t="s">
        <v>22</v>
      </c>
      <c r="Q175" s="1762">
        <v>46115</v>
      </c>
      <c r="R175" s="842" t="s">
        <v>22</v>
      </c>
      <c r="S175" s="1762">
        <v>46116</v>
      </c>
      <c r="T175" s="842" t="s">
        <v>22</v>
      </c>
      <c r="U175" s="1762">
        <v>46127</v>
      </c>
      <c r="V175" s="842" t="s">
        <v>22</v>
      </c>
      <c r="W175" s="1762" t="s">
        <v>22</v>
      </c>
      <c r="X175" s="842" t="s">
        <v>22</v>
      </c>
      <c r="Y175" s="1762" t="s">
        <v>22</v>
      </c>
      <c r="Z175" s="842" t="s">
        <v>22</v>
      </c>
      <c r="AA175" s="2943" t="s">
        <v>22</v>
      </c>
      <c r="AB175" s="2940" t="s">
        <v>22</v>
      </c>
      <c r="AC175" s="1762">
        <v>46139</v>
      </c>
      <c r="AD175" s="842" t="s">
        <v>22</v>
      </c>
      <c r="AE175" s="1762">
        <v>46140</v>
      </c>
      <c r="AF175" s="842" t="s">
        <v>22</v>
      </c>
      <c r="AG175" s="2943" t="s">
        <v>22</v>
      </c>
      <c r="AH175" s="2940" t="s">
        <v>22</v>
      </c>
      <c r="AI175" s="1762">
        <v>46132</v>
      </c>
      <c r="AJ175" s="842" t="s">
        <v>22</v>
      </c>
      <c r="AK175" s="1762" t="s">
        <v>22</v>
      </c>
      <c r="AL175" s="842" t="s">
        <v>22</v>
      </c>
      <c r="AM175" s="1549" t="s">
        <v>1041</v>
      </c>
      <c r="AN175" s="1659"/>
      <c r="AO175" s="1659"/>
      <c r="AP175" s="1659"/>
      <c r="AQ175" s="1659"/>
      <c r="AR175" s="1659"/>
      <c r="AS175" s="1659"/>
      <c r="AT175" s="1659"/>
      <c r="AU175" s="1659"/>
      <c r="AV175" s="1659"/>
      <c r="AW175" s="699"/>
      <c r="AX175" s="1659">
        <v>0</v>
      </c>
    </row>
    <row s="1874" customFormat="1" customHeight="1" ht="15">
      <c r="A176" s="1659"/>
      <c r="B176" s="2421"/>
      <c r="C176" s="2422"/>
      <c r="D176" s="713" t="str">
        <f>B174&amp;".3"</f>
        <v>3.46.3</v>
      </c>
      <c r="E176" s="1691" t="s">
        <v>1042</v>
      </c>
      <c r="F176" s="2287" t="s">
        <v>390</v>
      </c>
      <c r="G176" s="1762" t="s">
        <v>22</v>
      </c>
      <c r="H176" s="842" t="s">
        <v>22</v>
      </c>
      <c r="I176" s="1762" t="s">
        <v>22</v>
      </c>
      <c r="J176" s="842" t="s">
        <v>22</v>
      </c>
      <c r="K176" s="1762" t="s">
        <v>22</v>
      </c>
      <c r="L176" s="842" t="s">
        <v>22</v>
      </c>
      <c r="M176" s="2943" t="s">
        <v>22</v>
      </c>
      <c r="N176" s="2940" t="s">
        <v>22</v>
      </c>
      <c r="O176" s="1762" t="s">
        <v>22</v>
      </c>
      <c r="P176" s="842" t="s">
        <v>22</v>
      </c>
      <c r="Q176" s="1762" t="s">
        <v>22</v>
      </c>
      <c r="R176" s="842" t="s">
        <v>22</v>
      </c>
      <c r="S176" s="1762"/>
      <c r="T176" s="842" t="s">
        <v>22</v>
      </c>
      <c r="U176" s="1762" t="s">
        <v>22</v>
      </c>
      <c r="V176" s="842" t="s">
        <v>22</v>
      </c>
      <c r="W176" s="1762" t="s">
        <v>22</v>
      </c>
      <c r="X176" s="842" t="s">
        <v>22</v>
      </c>
      <c r="Y176" s="1762" t="s">
        <v>22</v>
      </c>
      <c r="Z176" s="842" t="s">
        <v>22</v>
      </c>
      <c r="AA176" s="2943" t="s">
        <v>22</v>
      </c>
      <c r="AB176" s="2940" t="s">
        <v>22</v>
      </c>
      <c r="AC176" s="1762" t="s">
        <v>22</v>
      </c>
      <c r="AD176" s="842" t="s">
        <v>22</v>
      </c>
      <c r="AE176" s="1762" t="s">
        <v>22</v>
      </c>
      <c r="AF176" s="842" t="s">
        <v>22</v>
      </c>
      <c r="AG176" s="2943" t="s">
        <v>22</v>
      </c>
      <c r="AH176" s="2940" t="s">
        <v>22</v>
      </c>
      <c r="AI176" s="1762" t="s">
        <v>22</v>
      </c>
      <c r="AJ176" s="842" t="s">
        <v>22</v>
      </c>
      <c r="AK176" s="1762" t="s">
        <v>22</v>
      </c>
      <c r="AL176" s="842" t="s">
        <v>22</v>
      </c>
      <c r="AM176" s="1549" t="s">
        <v>1043</v>
      </c>
      <c r="AN176" s="1659"/>
      <c r="AO176" s="1659"/>
      <c r="AP176" s="1659"/>
      <c r="AQ176" s="1659"/>
      <c r="AR176" s="1659"/>
      <c r="AS176" s="1659"/>
      <c r="AT176" s="1659"/>
      <c r="AU176" s="1659"/>
      <c r="AV176" s="1659"/>
      <c r="AW176" s="699"/>
      <c r="AX176" s="1659">
        <v>0</v>
      </c>
    </row>
    <row s="1874" customFormat="1" customHeight="1" ht="22.5">
      <c r="A177" s="1659"/>
      <c r="B177" s="2421" t="s">
        <v>1118</v>
      </c>
      <c r="C177" s="2422" t="s">
        <v>104</v>
      </c>
      <c r="D177" s="713" t="str">
        <f>B177&amp;".1"</f>
        <v>3.47.1</v>
      </c>
      <c r="E177" s="1691" t="s">
        <v>1039</v>
      </c>
      <c r="F177" s="2287" t="s">
        <v>390</v>
      </c>
      <c r="G177" s="2377" t="s">
        <v>22</v>
      </c>
      <c r="H177" s="842" t="s">
        <v>22</v>
      </c>
      <c r="I177" s="2377" t="s">
        <v>1059</v>
      </c>
      <c r="J177" s="842" t="s">
        <v>22</v>
      </c>
      <c r="K177" s="2377" t="s">
        <v>22</v>
      </c>
      <c r="L177" s="842" t="s">
        <v>22</v>
      </c>
      <c r="M177" s="2942" t="s">
        <v>22</v>
      </c>
      <c r="N177" s="2940" t="s">
        <v>22</v>
      </c>
      <c r="O177" s="2377" t="s">
        <v>1059</v>
      </c>
      <c r="P177" s="842" t="s">
        <v>22</v>
      </c>
      <c r="Q177" s="2377" t="s">
        <v>1059</v>
      </c>
      <c r="R177" s="842" t="s">
        <v>22</v>
      </c>
      <c r="S177" s="2377" t="s">
        <v>1059</v>
      </c>
      <c r="T177" s="842" t="s">
        <v>22</v>
      </c>
      <c r="U177" s="2377" t="s">
        <v>1119</v>
      </c>
      <c r="V177" s="842" t="s">
        <v>22</v>
      </c>
      <c r="W177" s="2377" t="s">
        <v>22</v>
      </c>
      <c r="X177" s="842" t="s">
        <v>22</v>
      </c>
      <c r="Y177" s="2377" t="s">
        <v>22</v>
      </c>
      <c r="Z177" s="842" t="s">
        <v>22</v>
      </c>
      <c r="AA177" s="2942" t="s">
        <v>22</v>
      </c>
      <c r="AB177" s="2940" t="s">
        <v>22</v>
      </c>
      <c r="AC177" s="2377" t="s">
        <v>1059</v>
      </c>
      <c r="AD177" s="842" t="s">
        <v>22</v>
      </c>
      <c r="AE177" s="2377" t="s">
        <v>1120</v>
      </c>
      <c r="AF177" s="842" t="s">
        <v>22</v>
      </c>
      <c r="AG177" s="2942" t="s">
        <v>22</v>
      </c>
      <c r="AH177" s="2940" t="s">
        <v>22</v>
      </c>
      <c r="AI177" s="2377" t="s">
        <v>1059</v>
      </c>
      <c r="AJ177" s="842" t="s">
        <v>22</v>
      </c>
      <c r="AK177" s="2377" t="s">
        <v>22</v>
      </c>
      <c r="AL177" s="842" t="s">
        <v>22</v>
      </c>
      <c r="AM177" s="1549"/>
      <c r="AN177" s="1659"/>
      <c r="AO177" s="1659"/>
      <c r="AP177" s="1659"/>
      <c r="AQ177" s="1659"/>
      <c r="AR177" s="1659"/>
      <c r="AS177" s="1659"/>
      <c r="AT177" s="1659"/>
      <c r="AU177" s="1659"/>
      <c r="AV177" s="1659"/>
      <c r="AW177" s="699"/>
      <c r="AX177" s="1659">
        <v>0</v>
      </c>
    </row>
    <row s="1874" customFormat="1" customHeight="1" ht="15">
      <c r="A178" s="1659"/>
      <c r="B178" s="2421"/>
      <c r="C178" s="2422"/>
      <c r="D178" s="713" t="str">
        <f>B177&amp;".2"</f>
        <v>3.47.2</v>
      </c>
      <c r="E178" s="1691" t="s">
        <v>1040</v>
      </c>
      <c r="F178" s="2287" t="s">
        <v>390</v>
      </c>
      <c r="G178" s="1762" t="s">
        <v>22</v>
      </c>
      <c r="H178" s="842" t="s">
        <v>22</v>
      </c>
      <c r="I178" s="1762">
        <v>46118</v>
      </c>
      <c r="J178" s="842" t="s">
        <v>22</v>
      </c>
      <c r="K178" s="1762" t="s">
        <v>22</v>
      </c>
      <c r="L178" s="842" t="s">
        <v>22</v>
      </c>
      <c r="M178" s="2943" t="s">
        <v>22</v>
      </c>
      <c r="N178" s="2940" t="s">
        <v>22</v>
      </c>
      <c r="O178" s="1762">
        <v>46129</v>
      </c>
      <c r="P178" s="842" t="s">
        <v>22</v>
      </c>
      <c r="Q178" s="1762">
        <v>46115</v>
      </c>
      <c r="R178" s="842" t="s">
        <v>22</v>
      </c>
      <c r="S178" s="1762">
        <v>46116</v>
      </c>
      <c r="T178" s="842" t="s">
        <v>22</v>
      </c>
      <c r="U178" s="1762">
        <v>46128</v>
      </c>
      <c r="V178" s="842" t="s">
        <v>22</v>
      </c>
      <c r="W178" s="1762" t="s">
        <v>22</v>
      </c>
      <c r="X178" s="842" t="s">
        <v>22</v>
      </c>
      <c r="Y178" s="1762" t="s">
        <v>22</v>
      </c>
      <c r="Z178" s="842" t="s">
        <v>22</v>
      </c>
      <c r="AA178" s="2943" t="s">
        <v>22</v>
      </c>
      <c r="AB178" s="2940" t="s">
        <v>22</v>
      </c>
      <c r="AC178" s="1762">
        <v>46139</v>
      </c>
      <c r="AD178" s="842" t="s">
        <v>22</v>
      </c>
      <c r="AE178" s="1762">
        <v>46141</v>
      </c>
      <c r="AF178" s="842" t="s">
        <v>22</v>
      </c>
      <c r="AG178" s="2943" t="s">
        <v>22</v>
      </c>
      <c r="AH178" s="2940" t="s">
        <v>22</v>
      </c>
      <c r="AI178" s="1762">
        <v>46133</v>
      </c>
      <c r="AJ178" s="842" t="s">
        <v>22</v>
      </c>
      <c r="AK178" s="1762" t="s">
        <v>22</v>
      </c>
      <c r="AL178" s="842" t="s">
        <v>22</v>
      </c>
      <c r="AM178" s="1549" t="s">
        <v>1041</v>
      </c>
      <c r="AN178" s="1659"/>
      <c r="AO178" s="1659"/>
      <c r="AP178" s="1659"/>
      <c r="AQ178" s="1659"/>
      <c r="AR178" s="1659"/>
      <c r="AS178" s="1659"/>
      <c r="AT178" s="1659"/>
      <c r="AU178" s="1659"/>
      <c r="AV178" s="1659"/>
      <c r="AW178" s="699"/>
      <c r="AX178" s="1659">
        <v>0</v>
      </c>
    </row>
    <row s="1874" customFormat="1" customHeight="1" ht="15">
      <c r="A179" s="1659"/>
      <c r="B179" s="2421"/>
      <c r="C179" s="2422"/>
      <c r="D179" s="713" t="str">
        <f>B177&amp;".3"</f>
        <v>3.47.3</v>
      </c>
      <c r="E179" s="1691" t="s">
        <v>1042</v>
      </c>
      <c r="F179" s="2287" t="s">
        <v>390</v>
      </c>
      <c r="G179" s="1762" t="s">
        <v>22</v>
      </c>
      <c r="H179" s="842" t="s">
        <v>22</v>
      </c>
      <c r="I179" s="1762" t="s">
        <v>22</v>
      </c>
      <c r="J179" s="842" t="s">
        <v>22</v>
      </c>
      <c r="K179" s="1762" t="s">
        <v>22</v>
      </c>
      <c r="L179" s="842" t="s">
        <v>22</v>
      </c>
      <c r="M179" s="2943" t="s">
        <v>22</v>
      </c>
      <c r="N179" s="2940" t="s">
        <v>22</v>
      </c>
      <c r="O179" s="1762" t="s">
        <v>22</v>
      </c>
      <c r="P179" s="842" t="s">
        <v>22</v>
      </c>
      <c r="Q179" s="1762" t="s">
        <v>22</v>
      </c>
      <c r="R179" s="842" t="s">
        <v>22</v>
      </c>
      <c r="S179" s="1762"/>
      <c r="T179" s="842" t="s">
        <v>22</v>
      </c>
      <c r="U179" s="1762" t="s">
        <v>22</v>
      </c>
      <c r="V179" s="842" t="s">
        <v>22</v>
      </c>
      <c r="W179" s="1762" t="s">
        <v>22</v>
      </c>
      <c r="X179" s="842" t="s">
        <v>22</v>
      </c>
      <c r="Y179" s="1762" t="s">
        <v>22</v>
      </c>
      <c r="Z179" s="842" t="s">
        <v>22</v>
      </c>
      <c r="AA179" s="2943" t="s">
        <v>22</v>
      </c>
      <c r="AB179" s="2940" t="s">
        <v>22</v>
      </c>
      <c r="AC179" s="1762" t="s">
        <v>22</v>
      </c>
      <c r="AD179" s="842" t="s">
        <v>22</v>
      </c>
      <c r="AE179" s="1762" t="s">
        <v>22</v>
      </c>
      <c r="AF179" s="842" t="s">
        <v>22</v>
      </c>
      <c r="AG179" s="2943" t="s">
        <v>22</v>
      </c>
      <c r="AH179" s="2940" t="s">
        <v>22</v>
      </c>
      <c r="AI179" s="1762" t="s">
        <v>22</v>
      </c>
      <c r="AJ179" s="842" t="s">
        <v>22</v>
      </c>
      <c r="AK179" s="1762" t="s">
        <v>22</v>
      </c>
      <c r="AL179" s="842" t="s">
        <v>22</v>
      </c>
      <c r="AM179" s="1549" t="s">
        <v>1043</v>
      </c>
      <c r="AN179" s="1659"/>
      <c r="AO179" s="1659"/>
      <c r="AP179" s="1659"/>
      <c r="AQ179" s="1659"/>
      <c r="AR179" s="1659"/>
      <c r="AS179" s="1659"/>
      <c r="AT179" s="1659"/>
      <c r="AU179" s="1659"/>
      <c r="AV179" s="1659"/>
      <c r="AW179" s="699"/>
      <c r="AX179" s="1659">
        <v>0</v>
      </c>
    </row>
    <row s="1874" customFormat="1" customHeight="1" ht="22.5">
      <c r="A180" s="1659"/>
      <c r="B180" s="2421" t="s">
        <v>1121</v>
      </c>
      <c r="C180" s="2422" t="s">
        <v>104</v>
      </c>
      <c r="D180" s="713" t="str">
        <f>B180&amp;".1"</f>
        <v>3.48.1</v>
      </c>
      <c r="E180" s="1691" t="s">
        <v>1039</v>
      </c>
      <c r="F180" s="2287" t="s">
        <v>390</v>
      </c>
      <c r="G180" s="2377" t="s">
        <v>22</v>
      </c>
      <c r="H180" s="842" t="s">
        <v>22</v>
      </c>
      <c r="I180" s="2377" t="s">
        <v>1059</v>
      </c>
      <c r="J180" s="842" t="s">
        <v>22</v>
      </c>
      <c r="K180" s="2377" t="s">
        <v>22</v>
      </c>
      <c r="L180" s="842" t="s">
        <v>22</v>
      </c>
      <c r="M180" s="2942" t="s">
        <v>22</v>
      </c>
      <c r="N180" s="2940" t="s">
        <v>22</v>
      </c>
      <c r="O180" s="2377" t="s">
        <v>1059</v>
      </c>
      <c r="P180" s="842" t="s">
        <v>22</v>
      </c>
      <c r="Q180" s="2377" t="s">
        <v>1059</v>
      </c>
      <c r="R180" s="842" t="s">
        <v>22</v>
      </c>
      <c r="S180" s="2377" t="s">
        <v>1059</v>
      </c>
      <c r="T180" s="842" t="s">
        <v>22</v>
      </c>
      <c r="U180" s="2377" t="s">
        <v>1059</v>
      </c>
      <c r="V180" s="842" t="s">
        <v>22</v>
      </c>
      <c r="W180" s="2377" t="s">
        <v>22</v>
      </c>
      <c r="X180" s="842" t="s">
        <v>22</v>
      </c>
      <c r="Y180" s="2377" t="s">
        <v>22</v>
      </c>
      <c r="Z180" s="842" t="s">
        <v>22</v>
      </c>
      <c r="AA180" s="2942" t="s">
        <v>22</v>
      </c>
      <c r="AB180" s="2940" t="s">
        <v>22</v>
      </c>
      <c r="AC180" s="2377" t="s">
        <v>1059</v>
      </c>
      <c r="AD180" s="842" t="s">
        <v>22</v>
      </c>
      <c r="AE180" s="2377" t="s">
        <v>1064</v>
      </c>
      <c r="AF180" s="842" t="s">
        <v>22</v>
      </c>
      <c r="AG180" s="2942" t="s">
        <v>22</v>
      </c>
      <c r="AH180" s="2940" t="s">
        <v>22</v>
      </c>
      <c r="AI180" s="2377" t="s">
        <v>1059</v>
      </c>
      <c r="AJ180" s="842" t="s">
        <v>22</v>
      </c>
      <c r="AK180" s="2377" t="s">
        <v>22</v>
      </c>
      <c r="AL180" s="842" t="s">
        <v>22</v>
      </c>
      <c r="AM180" s="1549"/>
      <c r="AN180" s="1659"/>
      <c r="AO180" s="1659"/>
      <c r="AP180" s="1659"/>
      <c r="AQ180" s="1659"/>
      <c r="AR180" s="1659"/>
      <c r="AS180" s="1659"/>
      <c r="AT180" s="1659"/>
      <c r="AU180" s="1659"/>
      <c r="AV180" s="1659"/>
      <c r="AW180" s="699"/>
      <c r="AX180" s="1659">
        <v>0</v>
      </c>
    </row>
    <row s="1874" customFormat="1" customHeight="1" ht="15">
      <c r="A181" s="1659"/>
      <c r="B181" s="2421"/>
      <c r="C181" s="2422"/>
      <c r="D181" s="713" t="str">
        <f>B180&amp;".2"</f>
        <v>3.48.2</v>
      </c>
      <c r="E181" s="1691" t="s">
        <v>1040</v>
      </c>
      <c r="F181" s="2287" t="s">
        <v>390</v>
      </c>
      <c r="G181" s="1762" t="s">
        <v>22</v>
      </c>
      <c r="H181" s="842" t="s">
        <v>22</v>
      </c>
      <c r="I181" s="1762">
        <v>46120</v>
      </c>
      <c r="J181" s="842" t="s">
        <v>22</v>
      </c>
      <c r="K181" s="1762" t="s">
        <v>22</v>
      </c>
      <c r="L181" s="842" t="s">
        <v>22</v>
      </c>
      <c r="M181" s="2943" t="s">
        <v>22</v>
      </c>
      <c r="N181" s="2940" t="s">
        <v>22</v>
      </c>
      <c r="O181" s="1762">
        <v>46129</v>
      </c>
      <c r="P181" s="842" t="s">
        <v>22</v>
      </c>
      <c r="Q181" s="1762">
        <v>46115</v>
      </c>
      <c r="R181" s="842" t="s">
        <v>22</v>
      </c>
      <c r="S181" s="1762">
        <v>46122</v>
      </c>
      <c r="T181" s="842" t="s">
        <v>22</v>
      </c>
      <c r="U181" s="1762">
        <v>46129</v>
      </c>
      <c r="V181" s="842" t="s">
        <v>22</v>
      </c>
      <c r="W181" s="1762" t="s">
        <v>22</v>
      </c>
      <c r="X181" s="842" t="s">
        <v>22</v>
      </c>
      <c r="Y181" s="1762" t="s">
        <v>22</v>
      </c>
      <c r="Z181" s="842" t="s">
        <v>22</v>
      </c>
      <c r="AA181" s="2943" t="s">
        <v>22</v>
      </c>
      <c r="AB181" s="2940" t="s">
        <v>22</v>
      </c>
      <c r="AC181" s="1762">
        <v>46140</v>
      </c>
      <c r="AD181" s="842" t="s">
        <v>22</v>
      </c>
      <c r="AE181" s="1762">
        <v>46141</v>
      </c>
      <c r="AF181" s="842" t="s">
        <v>22</v>
      </c>
      <c r="AG181" s="2943" t="s">
        <v>22</v>
      </c>
      <c r="AH181" s="2940" t="s">
        <v>22</v>
      </c>
      <c r="AI181" s="1762">
        <v>46133</v>
      </c>
      <c r="AJ181" s="842" t="s">
        <v>22</v>
      </c>
      <c r="AK181" s="1762" t="s">
        <v>22</v>
      </c>
      <c r="AL181" s="842" t="s">
        <v>22</v>
      </c>
      <c r="AM181" s="1549" t="s">
        <v>1041</v>
      </c>
      <c r="AN181" s="1659"/>
      <c r="AO181" s="1659"/>
      <c r="AP181" s="1659"/>
      <c r="AQ181" s="1659"/>
      <c r="AR181" s="1659"/>
      <c r="AS181" s="1659"/>
      <c r="AT181" s="1659"/>
      <c r="AU181" s="1659"/>
      <c r="AV181" s="1659"/>
      <c r="AW181" s="699"/>
      <c r="AX181" s="1659">
        <v>0</v>
      </c>
    </row>
    <row s="1874" customFormat="1" customHeight="1" ht="15">
      <c r="A182" s="1659"/>
      <c r="B182" s="2421"/>
      <c r="C182" s="2422"/>
      <c r="D182" s="713" t="str">
        <f>B180&amp;".3"</f>
        <v>3.48.3</v>
      </c>
      <c r="E182" s="1691" t="s">
        <v>1042</v>
      </c>
      <c r="F182" s="2287" t="s">
        <v>390</v>
      </c>
      <c r="G182" s="1762" t="s">
        <v>22</v>
      </c>
      <c r="H182" s="842" t="s">
        <v>22</v>
      </c>
      <c r="I182" s="1762" t="s">
        <v>22</v>
      </c>
      <c r="J182" s="842" t="s">
        <v>22</v>
      </c>
      <c r="K182" s="1762" t="s">
        <v>22</v>
      </c>
      <c r="L182" s="842" t="s">
        <v>22</v>
      </c>
      <c r="M182" s="2943" t="s">
        <v>22</v>
      </c>
      <c r="N182" s="2940" t="s">
        <v>22</v>
      </c>
      <c r="O182" s="1762" t="s">
        <v>22</v>
      </c>
      <c r="P182" s="842" t="s">
        <v>22</v>
      </c>
      <c r="Q182" s="1762" t="s">
        <v>22</v>
      </c>
      <c r="R182" s="842" t="s">
        <v>22</v>
      </c>
      <c r="S182" s="1762"/>
      <c r="T182" s="842" t="s">
        <v>22</v>
      </c>
      <c r="U182" s="1762" t="s">
        <v>22</v>
      </c>
      <c r="V182" s="842" t="s">
        <v>22</v>
      </c>
      <c r="W182" s="1762" t="s">
        <v>22</v>
      </c>
      <c r="X182" s="842" t="s">
        <v>22</v>
      </c>
      <c r="Y182" s="1762" t="s">
        <v>22</v>
      </c>
      <c r="Z182" s="842" t="s">
        <v>22</v>
      </c>
      <c r="AA182" s="2943" t="s">
        <v>22</v>
      </c>
      <c r="AB182" s="2940" t="s">
        <v>22</v>
      </c>
      <c r="AC182" s="1762" t="s">
        <v>22</v>
      </c>
      <c r="AD182" s="842" t="s">
        <v>22</v>
      </c>
      <c r="AE182" s="1762" t="s">
        <v>22</v>
      </c>
      <c r="AF182" s="842" t="s">
        <v>22</v>
      </c>
      <c r="AG182" s="2943" t="s">
        <v>22</v>
      </c>
      <c r="AH182" s="2940" t="s">
        <v>22</v>
      </c>
      <c r="AI182" s="1762" t="s">
        <v>22</v>
      </c>
      <c r="AJ182" s="842" t="s">
        <v>22</v>
      </c>
      <c r="AK182" s="1762" t="s">
        <v>22</v>
      </c>
      <c r="AL182" s="842" t="s">
        <v>22</v>
      </c>
      <c r="AM182" s="1549" t="s">
        <v>1043</v>
      </c>
      <c r="AN182" s="1659"/>
      <c r="AO182" s="1659"/>
      <c r="AP182" s="1659"/>
      <c r="AQ182" s="1659"/>
      <c r="AR182" s="1659"/>
      <c r="AS182" s="1659"/>
      <c r="AT182" s="1659"/>
      <c r="AU182" s="1659"/>
      <c r="AV182" s="1659"/>
      <c r="AW182" s="699"/>
      <c r="AX182" s="1659">
        <v>0</v>
      </c>
    </row>
    <row s="1874" customFormat="1" customHeight="1" ht="22.5">
      <c r="A183" s="1659"/>
      <c r="B183" s="2421" t="s">
        <v>1122</v>
      </c>
      <c r="C183" s="2422" t="s">
        <v>104</v>
      </c>
      <c r="D183" s="713" t="str">
        <f>B183&amp;".1"</f>
        <v>3.49.1</v>
      </c>
      <c r="E183" s="1691" t="s">
        <v>1039</v>
      </c>
      <c r="F183" s="2287" t="s">
        <v>390</v>
      </c>
      <c r="G183" s="2377" t="s">
        <v>22</v>
      </c>
      <c r="H183" s="842" t="s">
        <v>22</v>
      </c>
      <c r="I183" s="2377" t="s">
        <v>1059</v>
      </c>
      <c r="J183" s="842" t="s">
        <v>22</v>
      </c>
      <c r="K183" s="2377" t="s">
        <v>22</v>
      </c>
      <c r="L183" s="842" t="s">
        <v>22</v>
      </c>
      <c r="M183" s="2942" t="s">
        <v>22</v>
      </c>
      <c r="N183" s="2940" t="s">
        <v>22</v>
      </c>
      <c r="O183" s="2377" t="s">
        <v>1059</v>
      </c>
      <c r="P183" s="842" t="s">
        <v>22</v>
      </c>
      <c r="Q183" s="2377" t="s">
        <v>1059</v>
      </c>
      <c r="R183" s="842" t="s">
        <v>22</v>
      </c>
      <c r="S183" s="2377" t="s">
        <v>1059</v>
      </c>
      <c r="T183" s="842" t="s">
        <v>22</v>
      </c>
      <c r="U183" s="2377" t="s">
        <v>1059</v>
      </c>
      <c r="V183" s="842" t="s">
        <v>22</v>
      </c>
      <c r="W183" s="2377" t="s">
        <v>22</v>
      </c>
      <c r="X183" s="842" t="s">
        <v>22</v>
      </c>
      <c r="Y183" s="2377" t="s">
        <v>22</v>
      </c>
      <c r="Z183" s="842" t="s">
        <v>22</v>
      </c>
      <c r="AA183" s="2942" t="s">
        <v>22</v>
      </c>
      <c r="AB183" s="2940" t="s">
        <v>22</v>
      </c>
      <c r="AC183" s="2377" t="s">
        <v>1064</v>
      </c>
      <c r="AD183" s="842" t="s">
        <v>22</v>
      </c>
      <c r="AE183" s="2377" t="s">
        <v>1059</v>
      </c>
      <c r="AF183" s="842" t="s">
        <v>22</v>
      </c>
      <c r="AG183" s="2942" t="s">
        <v>22</v>
      </c>
      <c r="AH183" s="2940" t="s">
        <v>22</v>
      </c>
      <c r="AI183" s="2377" t="s">
        <v>1059</v>
      </c>
      <c r="AJ183" s="842" t="s">
        <v>22</v>
      </c>
      <c r="AK183" s="2377" t="s">
        <v>22</v>
      </c>
      <c r="AL183" s="842" t="s">
        <v>22</v>
      </c>
      <c r="AM183" s="1549"/>
      <c r="AN183" s="1659"/>
      <c r="AO183" s="1659"/>
      <c r="AP183" s="1659"/>
      <c r="AQ183" s="1659"/>
      <c r="AR183" s="1659"/>
      <c r="AS183" s="1659"/>
      <c r="AT183" s="1659"/>
      <c r="AU183" s="1659"/>
      <c r="AV183" s="1659"/>
      <c r="AW183" s="699"/>
      <c r="AX183" s="1659">
        <v>0</v>
      </c>
    </row>
    <row s="1874" customFormat="1" customHeight="1" ht="15">
      <c r="A184" s="1659"/>
      <c r="B184" s="2421"/>
      <c r="C184" s="2422"/>
      <c r="D184" s="713" t="str">
        <f>B183&amp;".2"</f>
        <v>3.49.2</v>
      </c>
      <c r="E184" s="1691" t="s">
        <v>1040</v>
      </c>
      <c r="F184" s="2287" t="s">
        <v>390</v>
      </c>
      <c r="G184" s="1762" t="s">
        <v>22</v>
      </c>
      <c r="H184" s="842" t="s">
        <v>22</v>
      </c>
      <c r="I184" s="1762">
        <v>46122</v>
      </c>
      <c r="J184" s="842" t="s">
        <v>22</v>
      </c>
      <c r="K184" s="1762" t="s">
        <v>22</v>
      </c>
      <c r="L184" s="842" t="s">
        <v>22</v>
      </c>
      <c r="M184" s="2943" t="s">
        <v>22</v>
      </c>
      <c r="N184" s="2940" t="s">
        <v>22</v>
      </c>
      <c r="O184" s="1762">
        <v>46129</v>
      </c>
      <c r="P184" s="842" t="s">
        <v>22</v>
      </c>
      <c r="Q184" s="1762">
        <v>46118</v>
      </c>
      <c r="R184" s="842" t="s">
        <v>22</v>
      </c>
      <c r="S184" s="1762">
        <v>46122</v>
      </c>
      <c r="T184" s="842" t="s">
        <v>22</v>
      </c>
      <c r="U184" s="1762">
        <v>46129</v>
      </c>
      <c r="V184" s="842" t="s">
        <v>22</v>
      </c>
      <c r="W184" s="1762" t="s">
        <v>22</v>
      </c>
      <c r="X184" s="842" t="s">
        <v>22</v>
      </c>
      <c r="Y184" s="1762" t="s">
        <v>22</v>
      </c>
      <c r="Z184" s="842" t="s">
        <v>22</v>
      </c>
      <c r="AA184" s="2943" t="s">
        <v>22</v>
      </c>
      <c r="AB184" s="2940" t="s">
        <v>22</v>
      </c>
      <c r="AC184" s="1762">
        <v>46140</v>
      </c>
      <c r="AD184" s="842" t="s">
        <v>22</v>
      </c>
      <c r="AE184" s="1762">
        <v>46141</v>
      </c>
      <c r="AF184" s="842" t="s">
        <v>22</v>
      </c>
      <c r="AG184" s="2943" t="s">
        <v>22</v>
      </c>
      <c r="AH184" s="2940" t="s">
        <v>22</v>
      </c>
      <c r="AI184" s="1762">
        <v>46134</v>
      </c>
      <c r="AJ184" s="842" t="s">
        <v>22</v>
      </c>
      <c r="AK184" s="1762" t="s">
        <v>22</v>
      </c>
      <c r="AL184" s="842" t="s">
        <v>22</v>
      </c>
      <c r="AM184" s="1549" t="s">
        <v>1041</v>
      </c>
      <c r="AN184" s="1659"/>
      <c r="AO184" s="1659"/>
      <c r="AP184" s="1659"/>
      <c r="AQ184" s="1659"/>
      <c r="AR184" s="1659"/>
      <c r="AS184" s="1659"/>
      <c r="AT184" s="1659"/>
      <c r="AU184" s="1659"/>
      <c r="AV184" s="1659"/>
      <c r="AW184" s="699"/>
      <c r="AX184" s="1659">
        <v>0</v>
      </c>
    </row>
    <row s="1874" customFormat="1" customHeight="1" ht="15">
      <c r="A185" s="1659"/>
      <c r="B185" s="2421"/>
      <c r="C185" s="2422"/>
      <c r="D185" s="713" t="str">
        <f>B183&amp;".3"</f>
        <v>3.49.3</v>
      </c>
      <c r="E185" s="1691" t="s">
        <v>1042</v>
      </c>
      <c r="F185" s="2287" t="s">
        <v>390</v>
      </c>
      <c r="G185" s="1762" t="s">
        <v>22</v>
      </c>
      <c r="H185" s="842" t="s">
        <v>22</v>
      </c>
      <c r="I185" s="1762" t="s">
        <v>22</v>
      </c>
      <c r="J185" s="842" t="s">
        <v>22</v>
      </c>
      <c r="K185" s="1762" t="s">
        <v>22</v>
      </c>
      <c r="L185" s="842" t="s">
        <v>22</v>
      </c>
      <c r="M185" s="2943" t="s">
        <v>22</v>
      </c>
      <c r="N185" s="2940" t="s">
        <v>22</v>
      </c>
      <c r="O185" s="1762" t="s">
        <v>22</v>
      </c>
      <c r="P185" s="842" t="s">
        <v>22</v>
      </c>
      <c r="Q185" s="1762" t="s">
        <v>22</v>
      </c>
      <c r="R185" s="842" t="s">
        <v>22</v>
      </c>
      <c r="S185" s="1762"/>
      <c r="T185" s="842" t="s">
        <v>22</v>
      </c>
      <c r="U185" s="1762" t="s">
        <v>22</v>
      </c>
      <c r="V185" s="842" t="s">
        <v>22</v>
      </c>
      <c r="W185" s="1762" t="s">
        <v>22</v>
      </c>
      <c r="X185" s="842" t="s">
        <v>22</v>
      </c>
      <c r="Y185" s="1762" t="s">
        <v>22</v>
      </c>
      <c r="Z185" s="842" t="s">
        <v>22</v>
      </c>
      <c r="AA185" s="2943" t="s">
        <v>22</v>
      </c>
      <c r="AB185" s="2940" t="s">
        <v>22</v>
      </c>
      <c r="AC185" s="1762" t="s">
        <v>22</v>
      </c>
      <c r="AD185" s="842" t="s">
        <v>22</v>
      </c>
      <c r="AE185" s="1762" t="s">
        <v>22</v>
      </c>
      <c r="AF185" s="842" t="s">
        <v>22</v>
      </c>
      <c r="AG185" s="2943" t="s">
        <v>22</v>
      </c>
      <c r="AH185" s="2940" t="s">
        <v>22</v>
      </c>
      <c r="AI185" s="1762" t="s">
        <v>22</v>
      </c>
      <c r="AJ185" s="842" t="s">
        <v>22</v>
      </c>
      <c r="AK185" s="1762" t="s">
        <v>22</v>
      </c>
      <c r="AL185" s="842" t="s">
        <v>22</v>
      </c>
      <c r="AM185" s="1549" t="s">
        <v>1043</v>
      </c>
      <c r="AN185" s="1659"/>
      <c r="AO185" s="1659"/>
      <c r="AP185" s="1659"/>
      <c r="AQ185" s="1659"/>
      <c r="AR185" s="1659"/>
      <c r="AS185" s="1659"/>
      <c r="AT185" s="1659"/>
      <c r="AU185" s="1659"/>
      <c r="AV185" s="1659"/>
      <c r="AW185" s="699"/>
      <c r="AX185" s="1659">
        <v>0</v>
      </c>
    </row>
    <row s="1874" customFormat="1" customHeight="1" ht="22.5">
      <c r="A186" s="1659"/>
      <c r="B186" s="2421" t="s">
        <v>1123</v>
      </c>
      <c r="C186" s="2422" t="s">
        <v>104</v>
      </c>
      <c r="D186" s="713" t="str">
        <f>B186&amp;".1"</f>
        <v>3.50.1</v>
      </c>
      <c r="E186" s="1691" t="s">
        <v>1039</v>
      </c>
      <c r="F186" s="2287" t="s">
        <v>390</v>
      </c>
      <c r="G186" s="2377" t="s">
        <v>22</v>
      </c>
      <c r="H186" s="842" t="s">
        <v>22</v>
      </c>
      <c r="I186" s="2377" t="s">
        <v>1059</v>
      </c>
      <c r="J186" s="842" t="s">
        <v>22</v>
      </c>
      <c r="K186" s="2377" t="s">
        <v>22</v>
      </c>
      <c r="L186" s="842" t="s">
        <v>22</v>
      </c>
      <c r="M186" s="2942" t="s">
        <v>22</v>
      </c>
      <c r="N186" s="2940" t="s">
        <v>22</v>
      </c>
      <c r="O186" s="2377" t="s">
        <v>1059</v>
      </c>
      <c r="P186" s="842" t="s">
        <v>22</v>
      </c>
      <c r="Q186" s="2377" t="s">
        <v>1059</v>
      </c>
      <c r="R186" s="842" t="s">
        <v>22</v>
      </c>
      <c r="S186" s="2377" t="s">
        <v>1059</v>
      </c>
      <c r="T186" s="842" t="s">
        <v>22</v>
      </c>
      <c r="U186" s="2377" t="s">
        <v>1059</v>
      </c>
      <c r="V186" s="842" t="s">
        <v>22</v>
      </c>
      <c r="W186" s="2377" t="s">
        <v>22</v>
      </c>
      <c r="X186" s="842" t="s">
        <v>22</v>
      </c>
      <c r="Y186" s="2377" t="s">
        <v>22</v>
      </c>
      <c r="Z186" s="842" t="s">
        <v>22</v>
      </c>
      <c r="AA186" s="2942" t="s">
        <v>22</v>
      </c>
      <c r="AB186" s="2940" t="s">
        <v>22</v>
      </c>
      <c r="AC186" s="2377" t="s">
        <v>1059</v>
      </c>
      <c r="AD186" s="842" t="s">
        <v>22</v>
      </c>
      <c r="AE186" s="2377" t="s">
        <v>1059</v>
      </c>
      <c r="AF186" s="842" t="s">
        <v>22</v>
      </c>
      <c r="AG186" s="2942" t="s">
        <v>22</v>
      </c>
      <c r="AH186" s="2940" t="s">
        <v>22</v>
      </c>
      <c r="AI186" s="2377" t="s">
        <v>1124</v>
      </c>
      <c r="AJ186" s="842" t="s">
        <v>22</v>
      </c>
      <c r="AK186" s="2377" t="s">
        <v>22</v>
      </c>
      <c r="AL186" s="842" t="s">
        <v>22</v>
      </c>
      <c r="AM186" s="1549"/>
      <c r="AN186" s="1659"/>
      <c r="AO186" s="1659"/>
      <c r="AP186" s="1659"/>
      <c r="AQ186" s="1659"/>
      <c r="AR186" s="1659"/>
      <c r="AS186" s="1659"/>
      <c r="AT186" s="1659"/>
      <c r="AU186" s="1659"/>
      <c r="AV186" s="1659"/>
      <c r="AW186" s="699"/>
      <c r="AX186" s="1659">
        <v>0</v>
      </c>
    </row>
    <row s="1874" customFormat="1" customHeight="1" ht="15">
      <c r="A187" s="1659"/>
      <c r="B187" s="2421"/>
      <c r="C187" s="2422"/>
      <c r="D187" s="713" t="str">
        <f>B186&amp;".2"</f>
        <v>3.50.2</v>
      </c>
      <c r="E187" s="1691" t="s">
        <v>1040</v>
      </c>
      <c r="F187" s="2287" t="s">
        <v>390</v>
      </c>
      <c r="G187" s="1762" t="s">
        <v>22</v>
      </c>
      <c r="H187" s="842" t="s">
        <v>22</v>
      </c>
      <c r="I187" s="1762">
        <v>46122</v>
      </c>
      <c r="J187" s="842" t="s">
        <v>22</v>
      </c>
      <c r="K187" s="1762" t="s">
        <v>22</v>
      </c>
      <c r="L187" s="842" t="s">
        <v>22</v>
      </c>
      <c r="M187" s="2943" t="s">
        <v>22</v>
      </c>
      <c r="N187" s="2940" t="s">
        <v>22</v>
      </c>
      <c r="O187" s="1762">
        <v>46132</v>
      </c>
      <c r="P187" s="842" t="s">
        <v>22</v>
      </c>
      <c r="Q187" s="1762">
        <v>46118</v>
      </c>
      <c r="R187" s="842" t="s">
        <v>22</v>
      </c>
      <c r="S187" s="1762">
        <v>46122</v>
      </c>
      <c r="T187" s="842" t="s">
        <v>22</v>
      </c>
      <c r="U187" s="1762">
        <v>46132</v>
      </c>
      <c r="V187" s="842" t="s">
        <v>22</v>
      </c>
      <c r="W187" s="1762" t="s">
        <v>22</v>
      </c>
      <c r="X187" s="842" t="s">
        <v>22</v>
      </c>
      <c r="Y187" s="1762" t="s">
        <v>22</v>
      </c>
      <c r="Z187" s="842" t="s">
        <v>22</v>
      </c>
      <c r="AA187" s="2943" t="s">
        <v>22</v>
      </c>
      <c r="AB187" s="2940" t="s">
        <v>22</v>
      </c>
      <c r="AC187" s="1762">
        <v>46141</v>
      </c>
      <c r="AD187" s="842" t="s">
        <v>22</v>
      </c>
      <c r="AE187" s="1762">
        <v>46141</v>
      </c>
      <c r="AF187" s="842" t="s">
        <v>22</v>
      </c>
      <c r="AG187" s="2943" t="s">
        <v>22</v>
      </c>
      <c r="AH187" s="2940" t="s">
        <v>22</v>
      </c>
      <c r="AI187" s="1762">
        <v>46135</v>
      </c>
      <c r="AJ187" s="842" t="s">
        <v>22</v>
      </c>
      <c r="AK187" s="1762" t="s">
        <v>22</v>
      </c>
      <c r="AL187" s="842" t="s">
        <v>22</v>
      </c>
      <c r="AM187" s="1549" t="s">
        <v>1041</v>
      </c>
      <c r="AN187" s="1659"/>
      <c r="AO187" s="1659"/>
      <c r="AP187" s="1659"/>
      <c r="AQ187" s="1659"/>
      <c r="AR187" s="1659"/>
      <c r="AS187" s="1659"/>
      <c r="AT187" s="1659"/>
      <c r="AU187" s="1659"/>
      <c r="AV187" s="1659"/>
      <c r="AW187" s="699"/>
      <c r="AX187" s="1659">
        <v>0</v>
      </c>
    </row>
    <row s="1874" customFormat="1" customHeight="1" ht="15">
      <c r="A188" s="1659"/>
      <c r="B188" s="2421"/>
      <c r="C188" s="2422"/>
      <c r="D188" s="713" t="str">
        <f>B186&amp;".3"</f>
        <v>3.50.3</v>
      </c>
      <c r="E188" s="1691" t="s">
        <v>1042</v>
      </c>
      <c r="F188" s="2287" t="s">
        <v>390</v>
      </c>
      <c r="G188" s="1762" t="s">
        <v>22</v>
      </c>
      <c r="H188" s="842" t="s">
        <v>22</v>
      </c>
      <c r="I188" s="1762" t="s">
        <v>22</v>
      </c>
      <c r="J188" s="842" t="s">
        <v>22</v>
      </c>
      <c r="K188" s="1762" t="s">
        <v>22</v>
      </c>
      <c r="L188" s="842" t="s">
        <v>22</v>
      </c>
      <c r="M188" s="2943" t="s">
        <v>22</v>
      </c>
      <c r="N188" s="2940" t="s">
        <v>22</v>
      </c>
      <c r="O188" s="1762" t="s">
        <v>22</v>
      </c>
      <c r="P188" s="842" t="s">
        <v>22</v>
      </c>
      <c r="Q188" s="1762" t="s">
        <v>22</v>
      </c>
      <c r="R188" s="842" t="s">
        <v>22</v>
      </c>
      <c r="S188" s="1762"/>
      <c r="T188" s="842" t="s">
        <v>22</v>
      </c>
      <c r="U188" s="1762" t="s">
        <v>22</v>
      </c>
      <c r="V188" s="842" t="s">
        <v>22</v>
      </c>
      <c r="W188" s="1762" t="s">
        <v>22</v>
      </c>
      <c r="X188" s="842" t="s">
        <v>22</v>
      </c>
      <c r="Y188" s="1762" t="s">
        <v>22</v>
      </c>
      <c r="Z188" s="842" t="s">
        <v>22</v>
      </c>
      <c r="AA188" s="2943" t="s">
        <v>22</v>
      </c>
      <c r="AB188" s="2940" t="s">
        <v>22</v>
      </c>
      <c r="AC188" s="1762" t="s">
        <v>22</v>
      </c>
      <c r="AD188" s="842" t="s">
        <v>22</v>
      </c>
      <c r="AE188" s="1762" t="s">
        <v>22</v>
      </c>
      <c r="AF188" s="842" t="s">
        <v>22</v>
      </c>
      <c r="AG188" s="2943" t="s">
        <v>22</v>
      </c>
      <c r="AH188" s="2940" t="s">
        <v>22</v>
      </c>
      <c r="AI188" s="1762" t="s">
        <v>22</v>
      </c>
      <c r="AJ188" s="842" t="s">
        <v>22</v>
      </c>
      <c r="AK188" s="1762" t="s">
        <v>22</v>
      </c>
      <c r="AL188" s="842" t="s">
        <v>22</v>
      </c>
      <c r="AM188" s="1549" t="s">
        <v>1043</v>
      </c>
      <c r="AN188" s="1659"/>
      <c r="AO188" s="1659"/>
      <c r="AP188" s="1659"/>
      <c r="AQ188" s="1659"/>
      <c r="AR188" s="1659"/>
      <c r="AS188" s="1659"/>
      <c r="AT188" s="1659"/>
      <c r="AU188" s="1659"/>
      <c r="AV188" s="1659"/>
      <c r="AW188" s="699"/>
      <c r="AX188" s="1659">
        <v>0</v>
      </c>
    </row>
    <row s="1874" customFormat="1" customHeight="1" ht="22.5">
      <c r="A189" s="1659"/>
      <c r="B189" s="2421" t="s">
        <v>1125</v>
      </c>
      <c r="C189" s="2422" t="s">
        <v>104</v>
      </c>
      <c r="D189" s="713" t="str">
        <f>B189&amp;".1"</f>
        <v>3.51.1</v>
      </c>
      <c r="E189" s="1691" t="s">
        <v>1039</v>
      </c>
      <c r="F189" s="2287" t="s">
        <v>390</v>
      </c>
      <c r="G189" s="2377" t="s">
        <v>22</v>
      </c>
      <c r="H189" s="842" t="s">
        <v>22</v>
      </c>
      <c r="I189" s="2377" t="s">
        <v>1059</v>
      </c>
      <c r="J189" s="842" t="s">
        <v>22</v>
      </c>
      <c r="K189" s="2377" t="s">
        <v>22</v>
      </c>
      <c r="L189" s="842" t="s">
        <v>22</v>
      </c>
      <c r="M189" s="2942" t="s">
        <v>22</v>
      </c>
      <c r="N189" s="2940" t="s">
        <v>22</v>
      </c>
      <c r="O189" s="2377" t="s">
        <v>1059</v>
      </c>
      <c r="P189" s="842" t="s">
        <v>22</v>
      </c>
      <c r="Q189" s="2377" t="s">
        <v>1059</v>
      </c>
      <c r="R189" s="842" t="s">
        <v>22</v>
      </c>
      <c r="S189" s="2377" t="s">
        <v>1059</v>
      </c>
      <c r="T189" s="842" t="s">
        <v>22</v>
      </c>
      <c r="U189" s="2377" t="s">
        <v>1059</v>
      </c>
      <c r="V189" s="842" t="s">
        <v>22</v>
      </c>
      <c r="W189" s="2377" t="s">
        <v>22</v>
      </c>
      <c r="X189" s="842" t="s">
        <v>22</v>
      </c>
      <c r="Y189" s="2377" t="s">
        <v>22</v>
      </c>
      <c r="Z189" s="842" t="s">
        <v>22</v>
      </c>
      <c r="AA189" s="2942" t="s">
        <v>22</v>
      </c>
      <c r="AB189" s="2940" t="s">
        <v>22</v>
      </c>
      <c r="AC189" s="2377" t="s">
        <v>1059</v>
      </c>
      <c r="AD189" s="842" t="s">
        <v>22</v>
      </c>
      <c r="AE189" s="2377" t="s">
        <v>1074</v>
      </c>
      <c r="AF189" s="842" t="s">
        <v>22</v>
      </c>
      <c r="AG189" s="2942" t="s">
        <v>22</v>
      </c>
      <c r="AH189" s="2940" t="s">
        <v>22</v>
      </c>
      <c r="AI189" s="2377" t="s">
        <v>1059</v>
      </c>
      <c r="AJ189" s="842" t="s">
        <v>22</v>
      </c>
      <c r="AK189" s="2377" t="s">
        <v>22</v>
      </c>
      <c r="AL189" s="842" t="s">
        <v>22</v>
      </c>
      <c r="AM189" s="1549"/>
      <c r="AN189" s="1659"/>
      <c r="AO189" s="1659"/>
      <c r="AP189" s="1659"/>
      <c r="AQ189" s="1659"/>
      <c r="AR189" s="1659"/>
      <c r="AS189" s="1659"/>
      <c r="AT189" s="1659"/>
      <c r="AU189" s="1659"/>
      <c r="AV189" s="1659"/>
      <c r="AW189" s="699"/>
      <c r="AX189" s="1659">
        <v>0</v>
      </c>
    </row>
    <row s="1874" customFormat="1" customHeight="1" ht="15">
      <c r="A190" s="1659"/>
      <c r="B190" s="2421"/>
      <c r="C190" s="2422"/>
      <c r="D190" s="713" t="str">
        <f>B189&amp;".2"</f>
        <v>3.51.2</v>
      </c>
      <c r="E190" s="1691" t="s">
        <v>1040</v>
      </c>
      <c r="F190" s="2287" t="s">
        <v>390</v>
      </c>
      <c r="G190" s="1762" t="s">
        <v>22</v>
      </c>
      <c r="H190" s="842" t="s">
        <v>22</v>
      </c>
      <c r="I190" s="1762">
        <v>46122</v>
      </c>
      <c r="J190" s="842" t="s">
        <v>22</v>
      </c>
      <c r="K190" s="1762" t="s">
        <v>22</v>
      </c>
      <c r="L190" s="842" t="s">
        <v>22</v>
      </c>
      <c r="M190" s="2943" t="s">
        <v>22</v>
      </c>
      <c r="N190" s="2940" t="s">
        <v>22</v>
      </c>
      <c r="O190" s="1762">
        <v>46132</v>
      </c>
      <c r="P190" s="842" t="s">
        <v>22</v>
      </c>
      <c r="Q190" s="1762">
        <v>46118</v>
      </c>
      <c r="R190" s="842" t="s">
        <v>22</v>
      </c>
      <c r="S190" s="1762">
        <v>46122</v>
      </c>
      <c r="T190" s="842" t="s">
        <v>22</v>
      </c>
      <c r="U190" s="1762">
        <v>46132</v>
      </c>
      <c r="V190" s="842" t="s">
        <v>22</v>
      </c>
      <c r="W190" s="1762" t="s">
        <v>22</v>
      </c>
      <c r="X190" s="842" t="s">
        <v>22</v>
      </c>
      <c r="Y190" s="1762" t="s">
        <v>22</v>
      </c>
      <c r="Z190" s="842" t="s">
        <v>22</v>
      </c>
      <c r="AA190" s="2943" t="s">
        <v>22</v>
      </c>
      <c r="AB190" s="2940" t="s">
        <v>22</v>
      </c>
      <c r="AC190" s="1762">
        <v>46141</v>
      </c>
      <c r="AD190" s="842" t="s">
        <v>22</v>
      </c>
      <c r="AE190" s="1762">
        <v>46141</v>
      </c>
      <c r="AF190" s="842" t="s">
        <v>22</v>
      </c>
      <c r="AG190" s="2943" t="s">
        <v>22</v>
      </c>
      <c r="AH190" s="2940" t="s">
        <v>22</v>
      </c>
      <c r="AI190" s="1762">
        <v>46135</v>
      </c>
      <c r="AJ190" s="842" t="s">
        <v>22</v>
      </c>
      <c r="AK190" s="1762" t="s">
        <v>22</v>
      </c>
      <c r="AL190" s="842" t="s">
        <v>22</v>
      </c>
      <c r="AM190" s="1549" t="s">
        <v>1041</v>
      </c>
      <c r="AN190" s="1659"/>
      <c r="AO190" s="1659"/>
      <c r="AP190" s="1659"/>
      <c r="AQ190" s="1659"/>
      <c r="AR190" s="1659"/>
      <c r="AS190" s="1659"/>
      <c r="AT190" s="1659"/>
      <c r="AU190" s="1659"/>
      <c r="AV190" s="1659"/>
      <c r="AW190" s="699"/>
      <c r="AX190" s="1659">
        <v>0</v>
      </c>
    </row>
    <row s="1874" customFormat="1" customHeight="1" ht="15">
      <c r="A191" s="1659"/>
      <c r="B191" s="2421"/>
      <c r="C191" s="2422"/>
      <c r="D191" s="713" t="str">
        <f>B189&amp;".3"</f>
        <v>3.51.3</v>
      </c>
      <c r="E191" s="1691" t="s">
        <v>1042</v>
      </c>
      <c r="F191" s="2287" t="s">
        <v>390</v>
      </c>
      <c r="G191" s="1762" t="s">
        <v>22</v>
      </c>
      <c r="H191" s="842" t="s">
        <v>22</v>
      </c>
      <c r="I191" s="1762" t="s">
        <v>22</v>
      </c>
      <c r="J191" s="842" t="s">
        <v>22</v>
      </c>
      <c r="K191" s="1762" t="s">
        <v>22</v>
      </c>
      <c r="L191" s="842" t="s">
        <v>22</v>
      </c>
      <c r="M191" s="2943" t="s">
        <v>22</v>
      </c>
      <c r="N191" s="2940" t="s">
        <v>22</v>
      </c>
      <c r="O191" s="1762" t="s">
        <v>22</v>
      </c>
      <c r="P191" s="842" t="s">
        <v>22</v>
      </c>
      <c r="Q191" s="1762" t="s">
        <v>22</v>
      </c>
      <c r="R191" s="842" t="s">
        <v>22</v>
      </c>
      <c r="S191" s="1762"/>
      <c r="T191" s="842" t="s">
        <v>22</v>
      </c>
      <c r="U191" s="1762" t="s">
        <v>22</v>
      </c>
      <c r="V191" s="842" t="s">
        <v>22</v>
      </c>
      <c r="W191" s="1762" t="s">
        <v>22</v>
      </c>
      <c r="X191" s="842" t="s">
        <v>22</v>
      </c>
      <c r="Y191" s="1762" t="s">
        <v>22</v>
      </c>
      <c r="Z191" s="842" t="s">
        <v>22</v>
      </c>
      <c r="AA191" s="2943" t="s">
        <v>22</v>
      </c>
      <c r="AB191" s="2940" t="s">
        <v>22</v>
      </c>
      <c r="AC191" s="1762" t="s">
        <v>22</v>
      </c>
      <c r="AD191" s="842" t="s">
        <v>22</v>
      </c>
      <c r="AE191" s="1762" t="s">
        <v>22</v>
      </c>
      <c r="AF191" s="842" t="s">
        <v>22</v>
      </c>
      <c r="AG191" s="2943" t="s">
        <v>22</v>
      </c>
      <c r="AH191" s="2940" t="s">
        <v>22</v>
      </c>
      <c r="AI191" s="1762" t="s">
        <v>22</v>
      </c>
      <c r="AJ191" s="842" t="s">
        <v>22</v>
      </c>
      <c r="AK191" s="1762" t="s">
        <v>22</v>
      </c>
      <c r="AL191" s="842" t="s">
        <v>22</v>
      </c>
      <c r="AM191" s="1549" t="s">
        <v>1043</v>
      </c>
      <c r="AN191" s="1659"/>
      <c r="AO191" s="1659"/>
      <c r="AP191" s="1659"/>
      <c r="AQ191" s="1659"/>
      <c r="AR191" s="1659"/>
      <c r="AS191" s="1659"/>
      <c r="AT191" s="1659"/>
      <c r="AU191" s="1659"/>
      <c r="AV191" s="1659"/>
      <c r="AW191" s="699"/>
      <c r="AX191" s="1659">
        <v>0</v>
      </c>
    </row>
    <row s="1874" customFormat="1" customHeight="1" ht="22.5">
      <c r="A192" s="1659"/>
      <c r="B192" s="2421" t="s">
        <v>1126</v>
      </c>
      <c r="C192" s="2422" t="s">
        <v>104</v>
      </c>
      <c r="D192" s="713" t="str">
        <f>B192&amp;".1"</f>
        <v>3.52.1</v>
      </c>
      <c r="E192" s="1691" t="s">
        <v>1039</v>
      </c>
      <c r="F192" s="2287" t="s">
        <v>390</v>
      </c>
      <c r="G192" s="2377" t="s">
        <v>22</v>
      </c>
      <c r="H192" s="842" t="s">
        <v>22</v>
      </c>
      <c r="I192" s="2377" t="s">
        <v>1059</v>
      </c>
      <c r="J192" s="842" t="s">
        <v>22</v>
      </c>
      <c r="K192" s="2377" t="s">
        <v>22</v>
      </c>
      <c r="L192" s="842" t="s">
        <v>22</v>
      </c>
      <c r="M192" s="2942" t="s">
        <v>22</v>
      </c>
      <c r="N192" s="2940" t="s">
        <v>22</v>
      </c>
      <c r="O192" s="2377" t="s">
        <v>1059</v>
      </c>
      <c r="P192" s="842" t="s">
        <v>22</v>
      </c>
      <c r="Q192" s="2377" t="s">
        <v>1059</v>
      </c>
      <c r="R192" s="842" t="s">
        <v>22</v>
      </c>
      <c r="S192" s="2377" t="s">
        <v>1059</v>
      </c>
      <c r="T192" s="842" t="s">
        <v>22</v>
      </c>
      <c r="U192" s="2377" t="s">
        <v>1059</v>
      </c>
      <c r="V192" s="842" t="s">
        <v>22</v>
      </c>
      <c r="W192" s="2377" t="s">
        <v>22</v>
      </c>
      <c r="X192" s="842" t="s">
        <v>22</v>
      </c>
      <c r="Y192" s="2377" t="s">
        <v>22</v>
      </c>
      <c r="Z192" s="842" t="s">
        <v>22</v>
      </c>
      <c r="AA192" s="2942" t="s">
        <v>22</v>
      </c>
      <c r="AB192" s="2940" t="s">
        <v>22</v>
      </c>
      <c r="AC192" s="2377" t="s">
        <v>1064</v>
      </c>
      <c r="AD192" s="842" t="s">
        <v>22</v>
      </c>
      <c r="AE192" s="2377" t="s">
        <v>1059</v>
      </c>
      <c r="AF192" s="842" t="s">
        <v>22</v>
      </c>
      <c r="AG192" s="2942" t="s">
        <v>22</v>
      </c>
      <c r="AH192" s="2940" t="s">
        <v>22</v>
      </c>
      <c r="AI192" s="2377" t="s">
        <v>1059</v>
      </c>
      <c r="AJ192" s="842" t="s">
        <v>22</v>
      </c>
      <c r="AK192" s="2377" t="s">
        <v>22</v>
      </c>
      <c r="AL192" s="842" t="s">
        <v>22</v>
      </c>
      <c r="AM192" s="1549"/>
      <c r="AN192" s="1659"/>
      <c r="AO192" s="1659"/>
      <c r="AP192" s="1659"/>
      <c r="AQ192" s="1659"/>
      <c r="AR192" s="1659"/>
      <c r="AS192" s="1659"/>
      <c r="AT192" s="1659"/>
      <c r="AU192" s="1659"/>
      <c r="AV192" s="1659"/>
      <c r="AW192" s="699"/>
      <c r="AX192" s="1659">
        <v>0</v>
      </c>
    </row>
    <row s="1874" customFormat="1" customHeight="1" ht="15">
      <c r="A193" s="1659"/>
      <c r="B193" s="2421"/>
      <c r="C193" s="2422"/>
      <c r="D193" s="713" t="str">
        <f>B192&amp;".2"</f>
        <v>3.52.2</v>
      </c>
      <c r="E193" s="1691" t="s">
        <v>1040</v>
      </c>
      <c r="F193" s="2287" t="s">
        <v>390</v>
      </c>
      <c r="G193" s="1762" t="s">
        <v>22</v>
      </c>
      <c r="H193" s="842" t="s">
        <v>22</v>
      </c>
      <c r="I193" s="1762">
        <v>46122</v>
      </c>
      <c r="J193" s="842" t="s">
        <v>22</v>
      </c>
      <c r="K193" s="1762" t="s">
        <v>22</v>
      </c>
      <c r="L193" s="842" t="s">
        <v>22</v>
      </c>
      <c r="M193" s="2943" t="s">
        <v>22</v>
      </c>
      <c r="N193" s="2940" t="s">
        <v>22</v>
      </c>
      <c r="O193" s="1762">
        <v>46132</v>
      </c>
      <c r="P193" s="842" t="s">
        <v>22</v>
      </c>
      <c r="Q193" s="1762">
        <v>46118</v>
      </c>
      <c r="R193" s="842" t="s">
        <v>22</v>
      </c>
      <c r="S193" s="1762">
        <v>46122</v>
      </c>
      <c r="T193" s="842" t="s">
        <v>22</v>
      </c>
      <c r="U193" s="1762">
        <v>46132</v>
      </c>
      <c r="V193" s="842" t="s">
        <v>22</v>
      </c>
      <c r="W193" s="1762" t="s">
        <v>22</v>
      </c>
      <c r="X193" s="842" t="s">
        <v>22</v>
      </c>
      <c r="Y193" s="1762" t="s">
        <v>22</v>
      </c>
      <c r="Z193" s="842" t="s">
        <v>22</v>
      </c>
      <c r="AA193" s="2943" t="s">
        <v>22</v>
      </c>
      <c r="AB193" s="2940" t="s">
        <v>22</v>
      </c>
      <c r="AC193" s="1762">
        <v>46141</v>
      </c>
      <c r="AD193" s="842" t="s">
        <v>22</v>
      </c>
      <c r="AE193" s="1762">
        <v>46141</v>
      </c>
      <c r="AF193" s="842" t="s">
        <v>22</v>
      </c>
      <c r="AG193" s="2943" t="s">
        <v>22</v>
      </c>
      <c r="AH193" s="2940" t="s">
        <v>22</v>
      </c>
      <c r="AI193" s="1762">
        <v>46136</v>
      </c>
      <c r="AJ193" s="842" t="s">
        <v>22</v>
      </c>
      <c r="AK193" s="1762" t="s">
        <v>22</v>
      </c>
      <c r="AL193" s="842" t="s">
        <v>22</v>
      </c>
      <c r="AM193" s="1549" t="s">
        <v>1041</v>
      </c>
      <c r="AN193" s="1659"/>
      <c r="AO193" s="1659"/>
      <c r="AP193" s="1659"/>
      <c r="AQ193" s="1659"/>
      <c r="AR193" s="1659"/>
      <c r="AS193" s="1659"/>
      <c r="AT193" s="1659"/>
      <c r="AU193" s="1659"/>
      <c r="AV193" s="1659"/>
      <c r="AW193" s="699"/>
      <c r="AX193" s="1659">
        <v>0</v>
      </c>
    </row>
    <row s="1874" customFormat="1" customHeight="1" ht="15">
      <c r="A194" s="1659"/>
      <c r="B194" s="2421"/>
      <c r="C194" s="2422"/>
      <c r="D194" s="713" t="str">
        <f>B192&amp;".3"</f>
        <v>3.52.3</v>
      </c>
      <c r="E194" s="1691" t="s">
        <v>1042</v>
      </c>
      <c r="F194" s="2287" t="s">
        <v>390</v>
      </c>
      <c r="G194" s="1762" t="s">
        <v>22</v>
      </c>
      <c r="H194" s="842" t="s">
        <v>22</v>
      </c>
      <c r="I194" s="1762" t="s">
        <v>22</v>
      </c>
      <c r="J194" s="842" t="s">
        <v>22</v>
      </c>
      <c r="K194" s="1762" t="s">
        <v>22</v>
      </c>
      <c r="L194" s="842" t="s">
        <v>22</v>
      </c>
      <c r="M194" s="2943" t="s">
        <v>22</v>
      </c>
      <c r="N194" s="2940" t="s">
        <v>22</v>
      </c>
      <c r="O194" s="1762" t="s">
        <v>22</v>
      </c>
      <c r="P194" s="842" t="s">
        <v>22</v>
      </c>
      <c r="Q194" s="1762" t="s">
        <v>22</v>
      </c>
      <c r="R194" s="842" t="s">
        <v>22</v>
      </c>
      <c r="S194" s="1762"/>
      <c r="T194" s="842" t="s">
        <v>22</v>
      </c>
      <c r="U194" s="1762" t="s">
        <v>22</v>
      </c>
      <c r="V194" s="842" t="s">
        <v>22</v>
      </c>
      <c r="W194" s="1762" t="s">
        <v>22</v>
      </c>
      <c r="X194" s="842" t="s">
        <v>22</v>
      </c>
      <c r="Y194" s="1762" t="s">
        <v>22</v>
      </c>
      <c r="Z194" s="842" t="s">
        <v>22</v>
      </c>
      <c r="AA194" s="2943" t="s">
        <v>22</v>
      </c>
      <c r="AB194" s="2940" t="s">
        <v>22</v>
      </c>
      <c r="AC194" s="1762" t="s">
        <v>22</v>
      </c>
      <c r="AD194" s="842" t="s">
        <v>22</v>
      </c>
      <c r="AE194" s="1762" t="s">
        <v>22</v>
      </c>
      <c r="AF194" s="842" t="s">
        <v>22</v>
      </c>
      <c r="AG194" s="2943" t="s">
        <v>22</v>
      </c>
      <c r="AH194" s="2940" t="s">
        <v>22</v>
      </c>
      <c r="AI194" s="1762" t="s">
        <v>22</v>
      </c>
      <c r="AJ194" s="842" t="s">
        <v>22</v>
      </c>
      <c r="AK194" s="1762" t="s">
        <v>22</v>
      </c>
      <c r="AL194" s="842" t="s">
        <v>22</v>
      </c>
      <c r="AM194" s="1549" t="s">
        <v>1043</v>
      </c>
      <c r="AN194" s="1659"/>
      <c r="AO194" s="1659"/>
      <c r="AP194" s="1659"/>
      <c r="AQ194" s="1659"/>
      <c r="AR194" s="1659"/>
      <c r="AS194" s="1659"/>
      <c r="AT194" s="1659"/>
      <c r="AU194" s="1659"/>
      <c r="AV194" s="1659"/>
      <c r="AW194" s="699"/>
      <c r="AX194" s="1659">
        <v>0</v>
      </c>
    </row>
    <row s="1874" customFormat="1" customHeight="1" ht="22.5">
      <c r="A195" s="1659"/>
      <c r="B195" s="2421" t="s">
        <v>1127</v>
      </c>
      <c r="C195" s="2422" t="s">
        <v>104</v>
      </c>
      <c r="D195" s="713" t="str">
        <f>B195&amp;".1"</f>
        <v>3.53.1</v>
      </c>
      <c r="E195" s="1691" t="s">
        <v>1039</v>
      </c>
      <c r="F195" s="2287" t="s">
        <v>390</v>
      </c>
      <c r="G195" s="2377" t="s">
        <v>22</v>
      </c>
      <c r="H195" s="842" t="s">
        <v>22</v>
      </c>
      <c r="I195" s="2377" t="s">
        <v>1059</v>
      </c>
      <c r="J195" s="842" t="s">
        <v>22</v>
      </c>
      <c r="K195" s="2377" t="s">
        <v>22</v>
      </c>
      <c r="L195" s="842" t="s">
        <v>22</v>
      </c>
      <c r="M195" s="2942" t="s">
        <v>22</v>
      </c>
      <c r="N195" s="2940" t="s">
        <v>22</v>
      </c>
      <c r="O195" s="2377" t="s">
        <v>1059</v>
      </c>
      <c r="P195" s="842" t="s">
        <v>22</v>
      </c>
      <c r="Q195" s="2377" t="s">
        <v>1059</v>
      </c>
      <c r="R195" s="842" t="s">
        <v>22</v>
      </c>
      <c r="S195" s="2377" t="s">
        <v>1059</v>
      </c>
      <c r="T195" s="842" t="s">
        <v>22</v>
      </c>
      <c r="U195" s="2377" t="s">
        <v>1059</v>
      </c>
      <c r="V195" s="842" t="s">
        <v>22</v>
      </c>
      <c r="W195" s="2377" t="s">
        <v>22</v>
      </c>
      <c r="X195" s="842" t="s">
        <v>22</v>
      </c>
      <c r="Y195" s="2377" t="s">
        <v>22</v>
      </c>
      <c r="Z195" s="842" t="s">
        <v>22</v>
      </c>
      <c r="AA195" s="2942" t="s">
        <v>22</v>
      </c>
      <c r="AB195" s="2940" t="s">
        <v>22</v>
      </c>
      <c r="AC195" s="2377" t="s">
        <v>1059</v>
      </c>
      <c r="AD195" s="842" t="s">
        <v>22</v>
      </c>
      <c r="AE195" s="2377" t="s">
        <v>1059</v>
      </c>
      <c r="AF195" s="842" t="s">
        <v>22</v>
      </c>
      <c r="AG195" s="2942" t="s">
        <v>22</v>
      </c>
      <c r="AH195" s="2940" t="s">
        <v>22</v>
      </c>
      <c r="AI195" s="2377" t="s">
        <v>1059</v>
      </c>
      <c r="AJ195" s="842" t="s">
        <v>22</v>
      </c>
      <c r="AK195" s="2377" t="s">
        <v>22</v>
      </c>
      <c r="AL195" s="842" t="s">
        <v>22</v>
      </c>
      <c r="AM195" s="1549"/>
      <c r="AN195" s="1659"/>
      <c r="AO195" s="1659"/>
      <c r="AP195" s="1659"/>
      <c r="AQ195" s="1659"/>
      <c r="AR195" s="1659"/>
      <c r="AS195" s="1659"/>
      <c r="AT195" s="1659"/>
      <c r="AU195" s="1659"/>
      <c r="AV195" s="1659"/>
      <c r="AW195" s="699"/>
      <c r="AX195" s="1659">
        <v>0</v>
      </c>
    </row>
    <row s="1874" customFormat="1" customHeight="1" ht="15">
      <c r="A196" s="1659"/>
      <c r="B196" s="2421"/>
      <c r="C196" s="2422"/>
      <c r="D196" s="713" t="str">
        <f>B195&amp;".2"</f>
        <v>3.53.2</v>
      </c>
      <c r="E196" s="1691" t="s">
        <v>1040</v>
      </c>
      <c r="F196" s="2287" t="s">
        <v>390</v>
      </c>
      <c r="G196" s="1762" t="s">
        <v>22</v>
      </c>
      <c r="H196" s="842" t="s">
        <v>22</v>
      </c>
      <c r="I196" s="1762">
        <v>46122</v>
      </c>
      <c r="J196" s="842" t="s">
        <v>22</v>
      </c>
      <c r="K196" s="1762" t="s">
        <v>22</v>
      </c>
      <c r="L196" s="842" t="s">
        <v>22</v>
      </c>
      <c r="M196" s="2943" t="s">
        <v>22</v>
      </c>
      <c r="N196" s="2940" t="s">
        <v>22</v>
      </c>
      <c r="O196" s="1762">
        <v>46132</v>
      </c>
      <c r="P196" s="842" t="s">
        <v>22</v>
      </c>
      <c r="Q196" s="1762">
        <v>46118</v>
      </c>
      <c r="R196" s="842" t="s">
        <v>22</v>
      </c>
      <c r="S196" s="1762">
        <v>46122</v>
      </c>
      <c r="T196" s="842" t="s">
        <v>22</v>
      </c>
      <c r="U196" s="1762">
        <v>46132</v>
      </c>
      <c r="V196" s="842" t="s">
        <v>22</v>
      </c>
      <c r="W196" s="1762" t="s">
        <v>22</v>
      </c>
      <c r="X196" s="842" t="s">
        <v>22</v>
      </c>
      <c r="Y196" s="1762" t="s">
        <v>22</v>
      </c>
      <c r="Z196" s="842" t="s">
        <v>22</v>
      </c>
      <c r="AA196" s="2943" t="s">
        <v>22</v>
      </c>
      <c r="AB196" s="2940" t="s">
        <v>22</v>
      </c>
      <c r="AC196" s="1762">
        <v>46141</v>
      </c>
      <c r="AD196" s="842" t="s">
        <v>22</v>
      </c>
      <c r="AE196" s="1762">
        <v>46141</v>
      </c>
      <c r="AF196" s="842" t="s">
        <v>22</v>
      </c>
      <c r="AG196" s="2943" t="s">
        <v>22</v>
      </c>
      <c r="AH196" s="2940" t="s">
        <v>22</v>
      </c>
      <c r="AI196" s="1762">
        <v>46136</v>
      </c>
      <c r="AJ196" s="842" t="s">
        <v>22</v>
      </c>
      <c r="AK196" s="1762" t="s">
        <v>22</v>
      </c>
      <c r="AL196" s="842" t="s">
        <v>22</v>
      </c>
      <c r="AM196" s="1549" t="s">
        <v>1041</v>
      </c>
      <c r="AN196" s="1659"/>
      <c r="AO196" s="1659"/>
      <c r="AP196" s="1659"/>
      <c r="AQ196" s="1659"/>
      <c r="AR196" s="1659"/>
      <c r="AS196" s="1659"/>
      <c r="AT196" s="1659"/>
      <c r="AU196" s="1659"/>
      <c r="AV196" s="1659"/>
      <c r="AW196" s="699"/>
      <c r="AX196" s="1659">
        <v>0</v>
      </c>
    </row>
    <row s="1874" customFormat="1" customHeight="1" ht="15">
      <c r="A197" s="1659"/>
      <c r="B197" s="2421"/>
      <c r="C197" s="2422"/>
      <c r="D197" s="713" t="str">
        <f>B195&amp;".3"</f>
        <v>3.53.3</v>
      </c>
      <c r="E197" s="1691" t="s">
        <v>1042</v>
      </c>
      <c r="F197" s="2287" t="s">
        <v>390</v>
      </c>
      <c r="G197" s="1762" t="s">
        <v>22</v>
      </c>
      <c r="H197" s="842" t="s">
        <v>22</v>
      </c>
      <c r="I197" s="1762" t="s">
        <v>22</v>
      </c>
      <c r="J197" s="842" t="s">
        <v>22</v>
      </c>
      <c r="K197" s="1762" t="s">
        <v>22</v>
      </c>
      <c r="L197" s="842" t="s">
        <v>22</v>
      </c>
      <c r="M197" s="2943" t="s">
        <v>22</v>
      </c>
      <c r="N197" s="2940" t="s">
        <v>22</v>
      </c>
      <c r="O197" s="1762" t="s">
        <v>22</v>
      </c>
      <c r="P197" s="842" t="s">
        <v>22</v>
      </c>
      <c r="Q197" s="1762" t="s">
        <v>22</v>
      </c>
      <c r="R197" s="842" t="s">
        <v>22</v>
      </c>
      <c r="S197" s="1762"/>
      <c r="T197" s="842" t="s">
        <v>22</v>
      </c>
      <c r="U197" s="1762" t="s">
        <v>22</v>
      </c>
      <c r="V197" s="842" t="s">
        <v>22</v>
      </c>
      <c r="W197" s="1762" t="s">
        <v>22</v>
      </c>
      <c r="X197" s="842" t="s">
        <v>22</v>
      </c>
      <c r="Y197" s="1762" t="s">
        <v>22</v>
      </c>
      <c r="Z197" s="842" t="s">
        <v>22</v>
      </c>
      <c r="AA197" s="2943" t="s">
        <v>22</v>
      </c>
      <c r="AB197" s="2940" t="s">
        <v>22</v>
      </c>
      <c r="AC197" s="1762" t="s">
        <v>22</v>
      </c>
      <c r="AD197" s="842" t="s">
        <v>22</v>
      </c>
      <c r="AE197" s="1762" t="s">
        <v>22</v>
      </c>
      <c r="AF197" s="842" t="s">
        <v>22</v>
      </c>
      <c r="AG197" s="2943" t="s">
        <v>22</v>
      </c>
      <c r="AH197" s="2940" t="s">
        <v>22</v>
      </c>
      <c r="AI197" s="1762" t="s">
        <v>22</v>
      </c>
      <c r="AJ197" s="842" t="s">
        <v>22</v>
      </c>
      <c r="AK197" s="1762" t="s">
        <v>22</v>
      </c>
      <c r="AL197" s="842" t="s">
        <v>22</v>
      </c>
      <c r="AM197" s="1549" t="s">
        <v>1043</v>
      </c>
      <c r="AN197" s="1659"/>
      <c r="AO197" s="1659"/>
      <c r="AP197" s="1659"/>
      <c r="AQ197" s="1659"/>
      <c r="AR197" s="1659"/>
      <c r="AS197" s="1659"/>
      <c r="AT197" s="1659"/>
      <c r="AU197" s="1659"/>
      <c r="AV197" s="1659"/>
      <c r="AW197" s="699"/>
      <c r="AX197" s="1659">
        <v>0</v>
      </c>
    </row>
    <row s="1874" customFormat="1" customHeight="1" ht="22.5">
      <c r="A198" s="1659"/>
      <c r="B198" s="2421" t="s">
        <v>1128</v>
      </c>
      <c r="C198" s="2422" t="s">
        <v>104</v>
      </c>
      <c r="D198" s="713" t="str">
        <f>B198&amp;".1"</f>
        <v>3.54.1</v>
      </c>
      <c r="E198" s="1691" t="s">
        <v>1039</v>
      </c>
      <c r="F198" s="2287" t="s">
        <v>390</v>
      </c>
      <c r="G198" s="2377" t="s">
        <v>22</v>
      </c>
      <c r="H198" s="842" t="s">
        <v>22</v>
      </c>
      <c r="I198" s="2377" t="s">
        <v>1059</v>
      </c>
      <c r="J198" s="842" t="s">
        <v>22</v>
      </c>
      <c r="K198" s="2377" t="s">
        <v>22</v>
      </c>
      <c r="L198" s="842" t="s">
        <v>22</v>
      </c>
      <c r="M198" s="2942" t="s">
        <v>22</v>
      </c>
      <c r="N198" s="2940" t="s">
        <v>22</v>
      </c>
      <c r="O198" s="2377" t="s">
        <v>1059</v>
      </c>
      <c r="P198" s="842" t="s">
        <v>22</v>
      </c>
      <c r="Q198" s="2377" t="s">
        <v>1059</v>
      </c>
      <c r="R198" s="842" t="s">
        <v>22</v>
      </c>
      <c r="S198" s="2377" t="s">
        <v>1059</v>
      </c>
      <c r="T198" s="842" t="s">
        <v>22</v>
      </c>
      <c r="U198" s="2377" t="s">
        <v>1059</v>
      </c>
      <c r="V198" s="842" t="s">
        <v>22</v>
      </c>
      <c r="W198" s="2377" t="s">
        <v>22</v>
      </c>
      <c r="X198" s="842" t="s">
        <v>22</v>
      </c>
      <c r="Y198" s="2377" t="s">
        <v>22</v>
      </c>
      <c r="Z198" s="842" t="s">
        <v>22</v>
      </c>
      <c r="AA198" s="2942" t="s">
        <v>22</v>
      </c>
      <c r="AB198" s="2940" t="s">
        <v>22</v>
      </c>
      <c r="AC198" s="2377" t="s">
        <v>1059</v>
      </c>
      <c r="AD198" s="842" t="s">
        <v>22</v>
      </c>
      <c r="AE198" s="2377" t="s">
        <v>1064</v>
      </c>
      <c r="AF198" s="842" t="s">
        <v>22</v>
      </c>
      <c r="AG198" s="2942" t="s">
        <v>22</v>
      </c>
      <c r="AH198" s="2940" t="s">
        <v>22</v>
      </c>
      <c r="AI198" s="2377" t="s">
        <v>1059</v>
      </c>
      <c r="AJ198" s="842" t="s">
        <v>22</v>
      </c>
      <c r="AK198" s="2377" t="s">
        <v>22</v>
      </c>
      <c r="AL198" s="842" t="s">
        <v>22</v>
      </c>
      <c r="AM198" s="1549"/>
      <c r="AN198" s="1659"/>
      <c r="AO198" s="1659"/>
      <c r="AP198" s="1659"/>
      <c r="AQ198" s="1659"/>
      <c r="AR198" s="1659"/>
      <c r="AS198" s="1659"/>
      <c r="AT198" s="1659"/>
      <c r="AU198" s="1659"/>
      <c r="AV198" s="1659"/>
      <c r="AW198" s="699"/>
      <c r="AX198" s="1659">
        <v>0</v>
      </c>
    </row>
    <row s="1874" customFormat="1" customHeight="1" ht="15">
      <c r="A199" s="1659"/>
      <c r="B199" s="2421"/>
      <c r="C199" s="2422"/>
      <c r="D199" s="713" t="str">
        <f>B198&amp;".2"</f>
        <v>3.54.2</v>
      </c>
      <c r="E199" s="1691" t="s">
        <v>1040</v>
      </c>
      <c r="F199" s="2287" t="s">
        <v>390</v>
      </c>
      <c r="G199" s="1762" t="s">
        <v>22</v>
      </c>
      <c r="H199" s="842" t="s">
        <v>22</v>
      </c>
      <c r="I199" s="1762">
        <v>46122</v>
      </c>
      <c r="J199" s="842" t="s">
        <v>22</v>
      </c>
      <c r="K199" s="1762" t="s">
        <v>22</v>
      </c>
      <c r="L199" s="842" t="s">
        <v>22</v>
      </c>
      <c r="M199" s="2943" t="s">
        <v>22</v>
      </c>
      <c r="N199" s="2940" t="s">
        <v>22</v>
      </c>
      <c r="O199" s="1762">
        <v>46132</v>
      </c>
      <c r="P199" s="842" t="s">
        <v>22</v>
      </c>
      <c r="Q199" s="1762">
        <v>46118</v>
      </c>
      <c r="R199" s="842" t="s">
        <v>22</v>
      </c>
      <c r="S199" s="1762">
        <v>46122</v>
      </c>
      <c r="T199" s="842" t="s">
        <v>22</v>
      </c>
      <c r="U199" s="1762">
        <v>46132</v>
      </c>
      <c r="V199" s="842" t="s">
        <v>22</v>
      </c>
      <c r="W199" s="1762" t="s">
        <v>22</v>
      </c>
      <c r="X199" s="842" t="s">
        <v>22</v>
      </c>
      <c r="Y199" s="1762" t="s">
        <v>22</v>
      </c>
      <c r="Z199" s="842" t="s">
        <v>22</v>
      </c>
      <c r="AA199" s="2943" t="s">
        <v>22</v>
      </c>
      <c r="AB199" s="2940" t="s">
        <v>22</v>
      </c>
      <c r="AC199" s="1762">
        <v>46141</v>
      </c>
      <c r="AD199" s="842" t="s">
        <v>22</v>
      </c>
      <c r="AE199" s="1762">
        <v>46142</v>
      </c>
      <c r="AF199" s="842" t="s">
        <v>22</v>
      </c>
      <c r="AG199" s="2943" t="s">
        <v>22</v>
      </c>
      <c r="AH199" s="2940" t="s">
        <v>22</v>
      </c>
      <c r="AI199" s="1762">
        <v>46136</v>
      </c>
      <c r="AJ199" s="842" t="s">
        <v>22</v>
      </c>
      <c r="AK199" s="1762" t="s">
        <v>22</v>
      </c>
      <c r="AL199" s="842" t="s">
        <v>22</v>
      </c>
      <c r="AM199" s="1549" t="s">
        <v>1041</v>
      </c>
      <c r="AN199" s="1659"/>
      <c r="AO199" s="1659"/>
      <c r="AP199" s="1659"/>
      <c r="AQ199" s="1659"/>
      <c r="AR199" s="1659"/>
      <c r="AS199" s="1659"/>
      <c r="AT199" s="1659"/>
      <c r="AU199" s="1659"/>
      <c r="AV199" s="1659"/>
      <c r="AW199" s="699"/>
      <c r="AX199" s="1659">
        <v>0</v>
      </c>
    </row>
    <row s="1874" customFormat="1" customHeight="1" ht="15">
      <c r="A200" s="1659"/>
      <c r="B200" s="2421"/>
      <c r="C200" s="2422"/>
      <c r="D200" s="713" t="str">
        <f>B198&amp;".3"</f>
        <v>3.54.3</v>
      </c>
      <c r="E200" s="1691" t="s">
        <v>1042</v>
      </c>
      <c r="F200" s="2287" t="s">
        <v>390</v>
      </c>
      <c r="G200" s="1762" t="s">
        <v>22</v>
      </c>
      <c r="H200" s="842" t="s">
        <v>22</v>
      </c>
      <c r="I200" s="1762" t="s">
        <v>22</v>
      </c>
      <c r="J200" s="842" t="s">
        <v>22</v>
      </c>
      <c r="K200" s="1762" t="s">
        <v>22</v>
      </c>
      <c r="L200" s="842" t="s">
        <v>22</v>
      </c>
      <c r="M200" s="2943" t="s">
        <v>22</v>
      </c>
      <c r="N200" s="2940" t="s">
        <v>22</v>
      </c>
      <c r="O200" s="1762" t="s">
        <v>22</v>
      </c>
      <c r="P200" s="842" t="s">
        <v>22</v>
      </c>
      <c r="Q200" s="1762" t="s">
        <v>22</v>
      </c>
      <c r="R200" s="842" t="s">
        <v>22</v>
      </c>
      <c r="S200" s="1762"/>
      <c r="T200" s="842" t="s">
        <v>22</v>
      </c>
      <c r="U200" s="1762" t="s">
        <v>22</v>
      </c>
      <c r="V200" s="842" t="s">
        <v>22</v>
      </c>
      <c r="W200" s="1762" t="s">
        <v>22</v>
      </c>
      <c r="X200" s="842" t="s">
        <v>22</v>
      </c>
      <c r="Y200" s="1762" t="s">
        <v>22</v>
      </c>
      <c r="Z200" s="842" t="s">
        <v>22</v>
      </c>
      <c r="AA200" s="2943" t="s">
        <v>22</v>
      </c>
      <c r="AB200" s="2940" t="s">
        <v>22</v>
      </c>
      <c r="AC200" s="1762" t="s">
        <v>22</v>
      </c>
      <c r="AD200" s="842" t="s">
        <v>22</v>
      </c>
      <c r="AE200" s="1762" t="s">
        <v>22</v>
      </c>
      <c r="AF200" s="842" t="s">
        <v>22</v>
      </c>
      <c r="AG200" s="2943" t="s">
        <v>22</v>
      </c>
      <c r="AH200" s="2940" t="s">
        <v>22</v>
      </c>
      <c r="AI200" s="1762" t="s">
        <v>22</v>
      </c>
      <c r="AJ200" s="842" t="s">
        <v>22</v>
      </c>
      <c r="AK200" s="1762" t="s">
        <v>22</v>
      </c>
      <c r="AL200" s="842" t="s">
        <v>22</v>
      </c>
      <c r="AM200" s="1549" t="s">
        <v>1043</v>
      </c>
      <c r="AN200" s="1659"/>
      <c r="AO200" s="1659"/>
      <c r="AP200" s="1659"/>
      <c r="AQ200" s="1659"/>
      <c r="AR200" s="1659"/>
      <c r="AS200" s="1659"/>
      <c r="AT200" s="1659"/>
      <c r="AU200" s="1659"/>
      <c r="AV200" s="1659"/>
      <c r="AW200" s="699"/>
      <c r="AX200" s="1659">
        <v>0</v>
      </c>
    </row>
    <row s="1874" customFormat="1" customHeight="1" ht="22.5">
      <c r="A201" s="1659"/>
      <c r="B201" s="2421" t="s">
        <v>1129</v>
      </c>
      <c r="C201" s="2422" t="s">
        <v>104</v>
      </c>
      <c r="D201" s="713" t="str">
        <f>B201&amp;".1"</f>
        <v>3.55.1</v>
      </c>
      <c r="E201" s="1691" t="s">
        <v>1039</v>
      </c>
      <c r="F201" s="2287" t="s">
        <v>390</v>
      </c>
      <c r="G201" s="2377" t="s">
        <v>22</v>
      </c>
      <c r="H201" s="842" t="s">
        <v>22</v>
      </c>
      <c r="I201" s="2377" t="s">
        <v>1059</v>
      </c>
      <c r="J201" s="842" t="s">
        <v>22</v>
      </c>
      <c r="K201" s="2377" t="s">
        <v>22</v>
      </c>
      <c r="L201" s="842" t="s">
        <v>22</v>
      </c>
      <c r="M201" s="2942" t="s">
        <v>22</v>
      </c>
      <c r="N201" s="2940" t="s">
        <v>22</v>
      </c>
      <c r="O201" s="2377" t="s">
        <v>1059</v>
      </c>
      <c r="P201" s="842" t="s">
        <v>22</v>
      </c>
      <c r="Q201" s="2377" t="s">
        <v>1059</v>
      </c>
      <c r="R201" s="842" t="s">
        <v>22</v>
      </c>
      <c r="S201" s="2377" t="s">
        <v>1059</v>
      </c>
      <c r="T201" s="842" t="s">
        <v>22</v>
      </c>
      <c r="U201" s="2377" t="s">
        <v>1059</v>
      </c>
      <c r="V201" s="842" t="s">
        <v>22</v>
      </c>
      <c r="W201" s="2377" t="s">
        <v>22</v>
      </c>
      <c r="X201" s="842" t="s">
        <v>22</v>
      </c>
      <c r="Y201" s="2377" t="s">
        <v>22</v>
      </c>
      <c r="Z201" s="842" t="s">
        <v>22</v>
      </c>
      <c r="AA201" s="2942" t="s">
        <v>22</v>
      </c>
      <c r="AB201" s="2940" t="s">
        <v>22</v>
      </c>
      <c r="AC201" s="2377" t="s">
        <v>1059</v>
      </c>
      <c r="AD201" s="842" t="s">
        <v>22</v>
      </c>
      <c r="AE201" s="2377" t="s">
        <v>1059</v>
      </c>
      <c r="AF201" s="842" t="s">
        <v>22</v>
      </c>
      <c r="AG201" s="2942" t="s">
        <v>22</v>
      </c>
      <c r="AH201" s="2940" t="s">
        <v>22</v>
      </c>
      <c r="AI201" s="2377" t="s">
        <v>1130</v>
      </c>
      <c r="AJ201" s="842" t="s">
        <v>22</v>
      </c>
      <c r="AK201" s="2377" t="s">
        <v>22</v>
      </c>
      <c r="AL201" s="842" t="s">
        <v>22</v>
      </c>
      <c r="AM201" s="1549"/>
      <c r="AN201" s="1659"/>
      <c r="AO201" s="1659"/>
      <c r="AP201" s="1659"/>
      <c r="AQ201" s="1659"/>
      <c r="AR201" s="1659"/>
      <c r="AS201" s="1659"/>
      <c r="AT201" s="1659"/>
      <c r="AU201" s="1659"/>
      <c r="AV201" s="1659"/>
      <c r="AW201" s="699"/>
      <c r="AX201" s="1659">
        <v>0</v>
      </c>
    </row>
    <row s="1874" customFormat="1" customHeight="1" ht="15">
      <c r="A202" s="1659"/>
      <c r="B202" s="2421"/>
      <c r="C202" s="2422"/>
      <c r="D202" s="713" t="str">
        <f>B201&amp;".2"</f>
        <v>3.55.2</v>
      </c>
      <c r="E202" s="1691" t="s">
        <v>1040</v>
      </c>
      <c r="F202" s="2287" t="s">
        <v>390</v>
      </c>
      <c r="G202" s="1762" t="s">
        <v>22</v>
      </c>
      <c r="H202" s="842" t="s">
        <v>22</v>
      </c>
      <c r="I202" s="1762">
        <v>46122</v>
      </c>
      <c r="J202" s="842" t="s">
        <v>22</v>
      </c>
      <c r="K202" s="1762" t="s">
        <v>22</v>
      </c>
      <c r="L202" s="842" t="s">
        <v>22</v>
      </c>
      <c r="M202" s="2943" t="s">
        <v>22</v>
      </c>
      <c r="N202" s="2940" t="s">
        <v>22</v>
      </c>
      <c r="O202" s="1762">
        <v>46132</v>
      </c>
      <c r="P202" s="842" t="s">
        <v>22</v>
      </c>
      <c r="Q202" s="1762">
        <v>46118</v>
      </c>
      <c r="R202" s="842" t="s">
        <v>22</v>
      </c>
      <c r="S202" s="1762">
        <v>46122</v>
      </c>
      <c r="T202" s="842" t="s">
        <v>22</v>
      </c>
      <c r="U202" s="1762">
        <v>46132</v>
      </c>
      <c r="V202" s="842" t="s">
        <v>22</v>
      </c>
      <c r="W202" s="1762" t="s">
        <v>22</v>
      </c>
      <c r="X202" s="842" t="s">
        <v>22</v>
      </c>
      <c r="Y202" s="1762" t="s">
        <v>22</v>
      </c>
      <c r="Z202" s="842" t="s">
        <v>22</v>
      </c>
      <c r="AA202" s="2943" t="s">
        <v>22</v>
      </c>
      <c r="AB202" s="2940" t="s">
        <v>22</v>
      </c>
      <c r="AC202" s="1762">
        <v>46141</v>
      </c>
      <c r="AD202" s="842" t="s">
        <v>22</v>
      </c>
      <c r="AE202" s="1762">
        <v>46142</v>
      </c>
      <c r="AF202" s="842" t="s">
        <v>22</v>
      </c>
      <c r="AG202" s="2943" t="s">
        <v>22</v>
      </c>
      <c r="AH202" s="2940" t="s">
        <v>22</v>
      </c>
      <c r="AI202" s="1762">
        <v>46136</v>
      </c>
      <c r="AJ202" s="842" t="s">
        <v>22</v>
      </c>
      <c r="AK202" s="1762" t="s">
        <v>22</v>
      </c>
      <c r="AL202" s="842" t="s">
        <v>22</v>
      </c>
      <c r="AM202" s="1549" t="s">
        <v>1041</v>
      </c>
      <c r="AN202" s="1659"/>
      <c r="AO202" s="1659"/>
      <c r="AP202" s="1659"/>
      <c r="AQ202" s="1659"/>
      <c r="AR202" s="1659"/>
      <c r="AS202" s="1659"/>
      <c r="AT202" s="1659"/>
      <c r="AU202" s="1659"/>
      <c r="AV202" s="1659"/>
      <c r="AW202" s="699"/>
      <c r="AX202" s="1659">
        <v>0</v>
      </c>
    </row>
    <row s="1874" customFormat="1" customHeight="1" ht="15">
      <c r="A203" s="1659"/>
      <c r="B203" s="2421"/>
      <c r="C203" s="2422"/>
      <c r="D203" s="713" t="str">
        <f>B201&amp;".3"</f>
        <v>3.55.3</v>
      </c>
      <c r="E203" s="1691" t="s">
        <v>1042</v>
      </c>
      <c r="F203" s="2287" t="s">
        <v>390</v>
      </c>
      <c r="G203" s="1762" t="s">
        <v>22</v>
      </c>
      <c r="H203" s="842" t="s">
        <v>22</v>
      </c>
      <c r="I203" s="1762" t="s">
        <v>22</v>
      </c>
      <c r="J203" s="842" t="s">
        <v>22</v>
      </c>
      <c r="K203" s="1762" t="s">
        <v>22</v>
      </c>
      <c r="L203" s="842" t="s">
        <v>22</v>
      </c>
      <c r="M203" s="2943" t="s">
        <v>22</v>
      </c>
      <c r="N203" s="2940" t="s">
        <v>22</v>
      </c>
      <c r="O203" s="1762" t="s">
        <v>22</v>
      </c>
      <c r="P203" s="842" t="s">
        <v>22</v>
      </c>
      <c r="Q203" s="1762" t="s">
        <v>22</v>
      </c>
      <c r="R203" s="842" t="s">
        <v>22</v>
      </c>
      <c r="S203" s="1762"/>
      <c r="T203" s="842" t="s">
        <v>22</v>
      </c>
      <c r="U203" s="1762" t="s">
        <v>22</v>
      </c>
      <c r="V203" s="842" t="s">
        <v>22</v>
      </c>
      <c r="W203" s="1762" t="s">
        <v>22</v>
      </c>
      <c r="X203" s="842" t="s">
        <v>22</v>
      </c>
      <c r="Y203" s="1762" t="s">
        <v>22</v>
      </c>
      <c r="Z203" s="842" t="s">
        <v>22</v>
      </c>
      <c r="AA203" s="2943" t="s">
        <v>22</v>
      </c>
      <c r="AB203" s="2940" t="s">
        <v>22</v>
      </c>
      <c r="AC203" s="1762" t="s">
        <v>22</v>
      </c>
      <c r="AD203" s="842" t="s">
        <v>22</v>
      </c>
      <c r="AE203" s="1762" t="s">
        <v>22</v>
      </c>
      <c r="AF203" s="842" t="s">
        <v>22</v>
      </c>
      <c r="AG203" s="2943" t="s">
        <v>22</v>
      </c>
      <c r="AH203" s="2940" t="s">
        <v>22</v>
      </c>
      <c r="AI203" s="1762" t="s">
        <v>22</v>
      </c>
      <c r="AJ203" s="842" t="s">
        <v>22</v>
      </c>
      <c r="AK203" s="1762" t="s">
        <v>22</v>
      </c>
      <c r="AL203" s="842" t="s">
        <v>22</v>
      </c>
      <c r="AM203" s="1549" t="s">
        <v>1043</v>
      </c>
      <c r="AN203" s="1659"/>
      <c r="AO203" s="1659"/>
      <c r="AP203" s="1659"/>
      <c r="AQ203" s="1659"/>
      <c r="AR203" s="1659"/>
      <c r="AS203" s="1659"/>
      <c r="AT203" s="1659"/>
      <c r="AU203" s="1659"/>
      <c r="AV203" s="1659"/>
      <c r="AW203" s="699"/>
      <c r="AX203" s="1659">
        <v>0</v>
      </c>
    </row>
    <row s="1874" customFormat="1" customHeight="1" ht="22.5">
      <c r="A204" s="1659"/>
      <c r="B204" s="2421" t="s">
        <v>1131</v>
      </c>
      <c r="C204" s="2422" t="s">
        <v>104</v>
      </c>
      <c r="D204" s="713" t="str">
        <f>B204&amp;".1"</f>
        <v>3.56.1</v>
      </c>
      <c r="E204" s="1691" t="s">
        <v>1039</v>
      </c>
      <c r="F204" s="2287" t="s">
        <v>390</v>
      </c>
      <c r="G204" s="2377" t="s">
        <v>22</v>
      </c>
      <c r="H204" s="842" t="s">
        <v>22</v>
      </c>
      <c r="I204" s="2377" t="s">
        <v>1059</v>
      </c>
      <c r="J204" s="842" t="s">
        <v>22</v>
      </c>
      <c r="K204" s="2377" t="s">
        <v>22</v>
      </c>
      <c r="L204" s="842" t="s">
        <v>22</v>
      </c>
      <c r="M204" s="2942" t="s">
        <v>22</v>
      </c>
      <c r="N204" s="2940" t="s">
        <v>22</v>
      </c>
      <c r="O204" s="2377" t="s">
        <v>1059</v>
      </c>
      <c r="P204" s="842" t="s">
        <v>22</v>
      </c>
      <c r="Q204" s="2377" t="s">
        <v>1059</v>
      </c>
      <c r="R204" s="842" t="s">
        <v>22</v>
      </c>
      <c r="S204" s="2377" t="s">
        <v>1059</v>
      </c>
      <c r="T204" s="842" t="s">
        <v>22</v>
      </c>
      <c r="U204" s="2377" t="s">
        <v>1059</v>
      </c>
      <c r="V204" s="842" t="s">
        <v>22</v>
      </c>
      <c r="W204" s="2377" t="s">
        <v>22</v>
      </c>
      <c r="X204" s="842" t="s">
        <v>22</v>
      </c>
      <c r="Y204" s="2377" t="s">
        <v>22</v>
      </c>
      <c r="Z204" s="842" t="s">
        <v>22</v>
      </c>
      <c r="AA204" s="2942" t="s">
        <v>22</v>
      </c>
      <c r="AB204" s="2940" t="s">
        <v>22</v>
      </c>
      <c r="AC204" s="2377" t="s">
        <v>1132</v>
      </c>
      <c r="AD204" s="842" t="s">
        <v>22</v>
      </c>
      <c r="AE204" s="2377" t="s">
        <v>1059</v>
      </c>
      <c r="AF204" s="842" t="s">
        <v>22</v>
      </c>
      <c r="AG204" s="2942" t="s">
        <v>22</v>
      </c>
      <c r="AH204" s="2940" t="s">
        <v>22</v>
      </c>
      <c r="AI204" s="2377" t="s">
        <v>1059</v>
      </c>
      <c r="AJ204" s="842" t="s">
        <v>22</v>
      </c>
      <c r="AK204" s="2377" t="s">
        <v>22</v>
      </c>
      <c r="AL204" s="842" t="s">
        <v>22</v>
      </c>
      <c r="AM204" s="1549"/>
      <c r="AN204" s="1659"/>
      <c r="AO204" s="1659"/>
      <c r="AP204" s="1659"/>
      <c r="AQ204" s="1659"/>
      <c r="AR204" s="1659"/>
      <c r="AS204" s="1659"/>
      <c r="AT204" s="1659"/>
      <c r="AU204" s="1659"/>
      <c r="AV204" s="1659"/>
      <c r="AW204" s="699"/>
      <c r="AX204" s="1659">
        <v>0</v>
      </c>
    </row>
    <row s="1874" customFormat="1" customHeight="1" ht="15">
      <c r="A205" s="1659"/>
      <c r="B205" s="2421"/>
      <c r="C205" s="2422"/>
      <c r="D205" s="713" t="str">
        <f>B204&amp;".2"</f>
        <v>3.56.2</v>
      </c>
      <c r="E205" s="1691" t="s">
        <v>1040</v>
      </c>
      <c r="F205" s="2287" t="s">
        <v>390</v>
      </c>
      <c r="G205" s="1762" t="s">
        <v>22</v>
      </c>
      <c r="H205" s="842" t="s">
        <v>22</v>
      </c>
      <c r="I205" s="1762">
        <v>46122</v>
      </c>
      <c r="J205" s="842" t="s">
        <v>22</v>
      </c>
      <c r="K205" s="1762" t="s">
        <v>22</v>
      </c>
      <c r="L205" s="842" t="s">
        <v>22</v>
      </c>
      <c r="M205" s="2943" t="s">
        <v>22</v>
      </c>
      <c r="N205" s="2940" t="s">
        <v>22</v>
      </c>
      <c r="O205" s="1762">
        <v>46132</v>
      </c>
      <c r="P205" s="842" t="s">
        <v>22</v>
      </c>
      <c r="Q205" s="1762">
        <v>46118</v>
      </c>
      <c r="R205" s="842" t="s">
        <v>22</v>
      </c>
      <c r="S205" s="1762">
        <v>46122</v>
      </c>
      <c r="T205" s="842" t="s">
        <v>22</v>
      </c>
      <c r="U205" s="1762">
        <v>46132</v>
      </c>
      <c r="V205" s="842" t="s">
        <v>22</v>
      </c>
      <c r="W205" s="1762" t="s">
        <v>22</v>
      </c>
      <c r="X205" s="842" t="s">
        <v>22</v>
      </c>
      <c r="Y205" s="1762" t="s">
        <v>22</v>
      </c>
      <c r="Z205" s="842" t="s">
        <v>22</v>
      </c>
      <c r="AA205" s="2943" t="s">
        <v>22</v>
      </c>
      <c r="AB205" s="2940" t="s">
        <v>22</v>
      </c>
      <c r="AC205" s="1762">
        <v>46141</v>
      </c>
      <c r="AD205" s="842" t="s">
        <v>22</v>
      </c>
      <c r="AE205" s="1762">
        <v>46142</v>
      </c>
      <c r="AF205" s="842" t="s">
        <v>22</v>
      </c>
      <c r="AG205" s="2943" t="s">
        <v>22</v>
      </c>
      <c r="AH205" s="2940" t="s">
        <v>22</v>
      </c>
      <c r="AI205" s="1762">
        <v>46136</v>
      </c>
      <c r="AJ205" s="842" t="s">
        <v>22</v>
      </c>
      <c r="AK205" s="1762" t="s">
        <v>22</v>
      </c>
      <c r="AL205" s="842" t="s">
        <v>22</v>
      </c>
      <c r="AM205" s="1549" t="s">
        <v>1041</v>
      </c>
      <c r="AN205" s="1659"/>
      <c r="AO205" s="1659"/>
      <c r="AP205" s="1659"/>
      <c r="AQ205" s="1659"/>
      <c r="AR205" s="1659"/>
      <c r="AS205" s="1659"/>
      <c r="AT205" s="1659"/>
      <c r="AU205" s="1659"/>
      <c r="AV205" s="1659"/>
      <c r="AW205" s="699"/>
      <c r="AX205" s="1659">
        <v>0</v>
      </c>
    </row>
    <row s="1874" customFormat="1" customHeight="1" ht="15">
      <c r="A206" s="1659"/>
      <c r="B206" s="2421"/>
      <c r="C206" s="2422"/>
      <c r="D206" s="713" t="str">
        <f>B204&amp;".3"</f>
        <v>3.56.3</v>
      </c>
      <c r="E206" s="1691" t="s">
        <v>1042</v>
      </c>
      <c r="F206" s="2287" t="s">
        <v>390</v>
      </c>
      <c r="G206" s="1762" t="s">
        <v>22</v>
      </c>
      <c r="H206" s="842" t="s">
        <v>22</v>
      </c>
      <c r="I206" s="1762" t="s">
        <v>22</v>
      </c>
      <c r="J206" s="842" t="s">
        <v>22</v>
      </c>
      <c r="K206" s="1762" t="s">
        <v>22</v>
      </c>
      <c r="L206" s="842" t="s">
        <v>22</v>
      </c>
      <c r="M206" s="2943" t="s">
        <v>22</v>
      </c>
      <c r="N206" s="2940" t="s">
        <v>22</v>
      </c>
      <c r="O206" s="1762" t="s">
        <v>22</v>
      </c>
      <c r="P206" s="842" t="s">
        <v>22</v>
      </c>
      <c r="Q206" s="1762" t="s">
        <v>22</v>
      </c>
      <c r="R206" s="842" t="s">
        <v>22</v>
      </c>
      <c r="S206" s="1762"/>
      <c r="T206" s="842" t="s">
        <v>22</v>
      </c>
      <c r="U206" s="1762" t="s">
        <v>22</v>
      </c>
      <c r="V206" s="842" t="s">
        <v>22</v>
      </c>
      <c r="W206" s="1762" t="s">
        <v>22</v>
      </c>
      <c r="X206" s="842" t="s">
        <v>22</v>
      </c>
      <c r="Y206" s="1762" t="s">
        <v>22</v>
      </c>
      <c r="Z206" s="842" t="s">
        <v>22</v>
      </c>
      <c r="AA206" s="2943" t="s">
        <v>22</v>
      </c>
      <c r="AB206" s="2940" t="s">
        <v>22</v>
      </c>
      <c r="AC206" s="1762" t="s">
        <v>22</v>
      </c>
      <c r="AD206" s="842" t="s">
        <v>22</v>
      </c>
      <c r="AE206" s="1762" t="s">
        <v>22</v>
      </c>
      <c r="AF206" s="842" t="s">
        <v>22</v>
      </c>
      <c r="AG206" s="2943" t="s">
        <v>22</v>
      </c>
      <c r="AH206" s="2940" t="s">
        <v>22</v>
      </c>
      <c r="AI206" s="1762" t="s">
        <v>22</v>
      </c>
      <c r="AJ206" s="842" t="s">
        <v>22</v>
      </c>
      <c r="AK206" s="1762" t="s">
        <v>22</v>
      </c>
      <c r="AL206" s="842" t="s">
        <v>22</v>
      </c>
      <c r="AM206" s="1549" t="s">
        <v>1043</v>
      </c>
      <c r="AN206" s="1659"/>
      <c r="AO206" s="1659"/>
      <c r="AP206" s="1659"/>
      <c r="AQ206" s="1659"/>
      <c r="AR206" s="1659"/>
      <c r="AS206" s="1659"/>
      <c r="AT206" s="1659"/>
      <c r="AU206" s="1659"/>
      <c r="AV206" s="1659"/>
      <c r="AW206" s="699"/>
      <c r="AX206" s="1659">
        <v>0</v>
      </c>
    </row>
    <row s="1874" customFormat="1" customHeight="1" ht="22.5">
      <c r="A207" s="1659"/>
      <c r="B207" s="2421" t="s">
        <v>1133</v>
      </c>
      <c r="C207" s="2422" t="s">
        <v>104</v>
      </c>
      <c r="D207" s="713" t="str">
        <f>B207&amp;".1"</f>
        <v>3.57.1</v>
      </c>
      <c r="E207" s="1691" t="s">
        <v>1039</v>
      </c>
      <c r="F207" s="2287" t="s">
        <v>390</v>
      </c>
      <c r="G207" s="2377" t="s">
        <v>22</v>
      </c>
      <c r="H207" s="842" t="s">
        <v>22</v>
      </c>
      <c r="I207" s="2377" t="s">
        <v>1059</v>
      </c>
      <c r="J207" s="842" t="s">
        <v>22</v>
      </c>
      <c r="K207" s="2377" t="s">
        <v>22</v>
      </c>
      <c r="L207" s="842" t="s">
        <v>22</v>
      </c>
      <c r="M207" s="2942" t="s">
        <v>22</v>
      </c>
      <c r="N207" s="2940" t="s">
        <v>22</v>
      </c>
      <c r="O207" s="2377" t="s">
        <v>1059</v>
      </c>
      <c r="P207" s="842" t="s">
        <v>22</v>
      </c>
      <c r="Q207" s="2377" t="s">
        <v>1059</v>
      </c>
      <c r="R207" s="842" t="s">
        <v>22</v>
      </c>
      <c r="S207" s="2377" t="s">
        <v>1059</v>
      </c>
      <c r="T207" s="842" t="s">
        <v>22</v>
      </c>
      <c r="U207" s="2377" t="s">
        <v>1059</v>
      </c>
      <c r="V207" s="842" t="s">
        <v>22</v>
      </c>
      <c r="W207" s="2377" t="s">
        <v>22</v>
      </c>
      <c r="X207" s="842" t="s">
        <v>22</v>
      </c>
      <c r="Y207" s="2377" t="s">
        <v>22</v>
      </c>
      <c r="Z207" s="842" t="s">
        <v>22</v>
      </c>
      <c r="AA207" s="2942" t="s">
        <v>22</v>
      </c>
      <c r="AB207" s="2940" t="s">
        <v>22</v>
      </c>
      <c r="AC207" s="2377" t="s">
        <v>1059</v>
      </c>
      <c r="AD207" s="842" t="s">
        <v>22</v>
      </c>
      <c r="AE207" s="2377" t="s">
        <v>1059</v>
      </c>
      <c r="AF207" s="842" t="s">
        <v>22</v>
      </c>
      <c r="AG207" s="2942" t="s">
        <v>22</v>
      </c>
      <c r="AH207" s="2940" t="s">
        <v>22</v>
      </c>
      <c r="AI207" s="2377" t="s">
        <v>1059</v>
      </c>
      <c r="AJ207" s="842" t="s">
        <v>22</v>
      </c>
      <c r="AK207" s="2377" t="s">
        <v>22</v>
      </c>
      <c r="AL207" s="842" t="s">
        <v>22</v>
      </c>
      <c r="AM207" s="1549"/>
      <c r="AN207" s="1659"/>
      <c r="AO207" s="1659"/>
      <c r="AP207" s="1659"/>
      <c r="AQ207" s="1659"/>
      <c r="AR207" s="1659"/>
      <c r="AS207" s="1659"/>
      <c r="AT207" s="1659"/>
      <c r="AU207" s="1659"/>
      <c r="AV207" s="1659"/>
      <c r="AW207" s="699"/>
      <c r="AX207" s="1659">
        <v>0</v>
      </c>
    </row>
    <row s="1874" customFormat="1" customHeight="1" ht="15">
      <c r="A208" s="1659"/>
      <c r="B208" s="2421"/>
      <c r="C208" s="2422"/>
      <c r="D208" s="713" t="str">
        <f>B207&amp;".2"</f>
        <v>3.57.2</v>
      </c>
      <c r="E208" s="1691" t="s">
        <v>1040</v>
      </c>
      <c r="F208" s="2287" t="s">
        <v>390</v>
      </c>
      <c r="G208" s="1762" t="s">
        <v>22</v>
      </c>
      <c r="H208" s="842" t="s">
        <v>22</v>
      </c>
      <c r="I208" s="1762">
        <v>46122</v>
      </c>
      <c r="J208" s="842" t="s">
        <v>22</v>
      </c>
      <c r="K208" s="1762" t="s">
        <v>22</v>
      </c>
      <c r="L208" s="842" t="s">
        <v>22</v>
      </c>
      <c r="M208" s="2943" t="s">
        <v>22</v>
      </c>
      <c r="N208" s="2940" t="s">
        <v>22</v>
      </c>
      <c r="O208" s="1762">
        <v>46132</v>
      </c>
      <c r="P208" s="842" t="s">
        <v>22</v>
      </c>
      <c r="Q208" s="1762">
        <v>46119</v>
      </c>
      <c r="R208" s="842" t="s">
        <v>22</v>
      </c>
      <c r="S208" s="1762">
        <v>46122</v>
      </c>
      <c r="T208" s="842" t="s">
        <v>22</v>
      </c>
      <c r="U208" s="1762">
        <v>46132</v>
      </c>
      <c r="V208" s="842" t="s">
        <v>22</v>
      </c>
      <c r="W208" s="1762" t="s">
        <v>22</v>
      </c>
      <c r="X208" s="842" t="s">
        <v>22</v>
      </c>
      <c r="Y208" s="1762" t="s">
        <v>22</v>
      </c>
      <c r="Z208" s="842" t="s">
        <v>22</v>
      </c>
      <c r="AA208" s="2943" t="s">
        <v>22</v>
      </c>
      <c r="AB208" s="2940" t="s">
        <v>22</v>
      </c>
      <c r="AC208" s="1762">
        <v>46141</v>
      </c>
      <c r="AD208" s="842" t="s">
        <v>22</v>
      </c>
      <c r="AE208" s="1762">
        <v>46142</v>
      </c>
      <c r="AF208" s="842" t="s">
        <v>22</v>
      </c>
      <c r="AG208" s="2943" t="s">
        <v>22</v>
      </c>
      <c r="AH208" s="2940" t="s">
        <v>22</v>
      </c>
      <c r="AI208" s="1762">
        <v>46139</v>
      </c>
      <c r="AJ208" s="842" t="s">
        <v>22</v>
      </c>
      <c r="AK208" s="1762" t="s">
        <v>22</v>
      </c>
      <c r="AL208" s="842" t="s">
        <v>22</v>
      </c>
      <c r="AM208" s="1549" t="s">
        <v>1041</v>
      </c>
      <c r="AN208" s="1659"/>
      <c r="AO208" s="1659"/>
      <c r="AP208" s="1659"/>
      <c r="AQ208" s="1659"/>
      <c r="AR208" s="1659"/>
      <c r="AS208" s="1659"/>
      <c r="AT208" s="1659"/>
      <c r="AU208" s="1659"/>
      <c r="AV208" s="1659"/>
      <c r="AW208" s="699"/>
      <c r="AX208" s="1659">
        <v>0</v>
      </c>
    </row>
    <row s="1874" customFormat="1" customHeight="1" ht="15">
      <c r="A209" s="1659"/>
      <c r="B209" s="2421"/>
      <c r="C209" s="2422"/>
      <c r="D209" s="713" t="str">
        <f>B207&amp;".3"</f>
        <v>3.57.3</v>
      </c>
      <c r="E209" s="1691" t="s">
        <v>1042</v>
      </c>
      <c r="F209" s="2287" t="s">
        <v>390</v>
      </c>
      <c r="G209" s="1762" t="s">
        <v>22</v>
      </c>
      <c r="H209" s="842" t="s">
        <v>22</v>
      </c>
      <c r="I209" s="1762" t="s">
        <v>22</v>
      </c>
      <c r="J209" s="842" t="s">
        <v>22</v>
      </c>
      <c r="K209" s="1762" t="s">
        <v>22</v>
      </c>
      <c r="L209" s="842" t="s">
        <v>22</v>
      </c>
      <c r="M209" s="2943" t="s">
        <v>22</v>
      </c>
      <c r="N209" s="2940" t="s">
        <v>22</v>
      </c>
      <c r="O209" s="1762" t="s">
        <v>22</v>
      </c>
      <c r="P209" s="842" t="s">
        <v>22</v>
      </c>
      <c r="Q209" s="1762" t="s">
        <v>22</v>
      </c>
      <c r="R209" s="842" t="s">
        <v>22</v>
      </c>
      <c r="S209" s="1762"/>
      <c r="T209" s="842" t="s">
        <v>22</v>
      </c>
      <c r="U209" s="1762" t="s">
        <v>22</v>
      </c>
      <c r="V209" s="842" t="s">
        <v>22</v>
      </c>
      <c r="W209" s="1762" t="s">
        <v>22</v>
      </c>
      <c r="X209" s="842" t="s">
        <v>22</v>
      </c>
      <c r="Y209" s="1762" t="s">
        <v>22</v>
      </c>
      <c r="Z209" s="842" t="s">
        <v>22</v>
      </c>
      <c r="AA209" s="2943" t="s">
        <v>22</v>
      </c>
      <c r="AB209" s="2940" t="s">
        <v>22</v>
      </c>
      <c r="AC209" s="1762" t="s">
        <v>22</v>
      </c>
      <c r="AD209" s="842" t="s">
        <v>22</v>
      </c>
      <c r="AE209" s="1762" t="s">
        <v>22</v>
      </c>
      <c r="AF209" s="842" t="s">
        <v>22</v>
      </c>
      <c r="AG209" s="2943" t="s">
        <v>22</v>
      </c>
      <c r="AH209" s="2940" t="s">
        <v>22</v>
      </c>
      <c r="AI209" s="1762" t="s">
        <v>22</v>
      </c>
      <c r="AJ209" s="842" t="s">
        <v>22</v>
      </c>
      <c r="AK209" s="1762" t="s">
        <v>22</v>
      </c>
      <c r="AL209" s="842" t="s">
        <v>22</v>
      </c>
      <c r="AM209" s="1549" t="s">
        <v>1043</v>
      </c>
      <c r="AN209" s="1659"/>
      <c r="AO209" s="1659"/>
      <c r="AP209" s="1659"/>
      <c r="AQ209" s="1659"/>
      <c r="AR209" s="1659"/>
      <c r="AS209" s="1659"/>
      <c r="AT209" s="1659"/>
      <c r="AU209" s="1659"/>
      <c r="AV209" s="1659"/>
      <c r="AW209" s="699"/>
      <c r="AX209" s="1659">
        <v>0</v>
      </c>
    </row>
    <row s="1874" customFormat="1" customHeight="1" ht="22.5">
      <c r="A210" s="1659"/>
      <c r="B210" s="2421" t="s">
        <v>1134</v>
      </c>
      <c r="C210" s="2422" t="s">
        <v>104</v>
      </c>
      <c r="D210" s="713" t="str">
        <f>B210&amp;".1"</f>
        <v>3.58.1</v>
      </c>
      <c r="E210" s="1691" t="s">
        <v>1039</v>
      </c>
      <c r="F210" s="2287" t="s">
        <v>390</v>
      </c>
      <c r="G210" s="2377" t="s">
        <v>22</v>
      </c>
      <c r="H210" s="842" t="s">
        <v>22</v>
      </c>
      <c r="I210" s="2377" t="s">
        <v>1059</v>
      </c>
      <c r="J210" s="842" t="s">
        <v>22</v>
      </c>
      <c r="K210" s="2377" t="s">
        <v>22</v>
      </c>
      <c r="L210" s="842" t="s">
        <v>22</v>
      </c>
      <c r="M210" s="2942" t="s">
        <v>22</v>
      </c>
      <c r="N210" s="2940" t="s">
        <v>22</v>
      </c>
      <c r="O210" s="2377" t="s">
        <v>1059</v>
      </c>
      <c r="P210" s="842" t="s">
        <v>22</v>
      </c>
      <c r="Q210" s="2377" t="s">
        <v>1059</v>
      </c>
      <c r="R210" s="842" t="s">
        <v>22</v>
      </c>
      <c r="S210" s="2377" t="s">
        <v>1059</v>
      </c>
      <c r="T210" s="842" t="s">
        <v>22</v>
      </c>
      <c r="U210" s="2377" t="s">
        <v>1059</v>
      </c>
      <c r="V210" s="842" t="s">
        <v>22</v>
      </c>
      <c r="W210" s="2377" t="s">
        <v>22</v>
      </c>
      <c r="X210" s="842" t="s">
        <v>22</v>
      </c>
      <c r="Y210" s="2377" t="s">
        <v>22</v>
      </c>
      <c r="Z210" s="842" t="s">
        <v>22</v>
      </c>
      <c r="AA210" s="2942" t="s">
        <v>22</v>
      </c>
      <c r="AB210" s="2940" t="s">
        <v>22</v>
      </c>
      <c r="AC210" s="2377" t="s">
        <v>1059</v>
      </c>
      <c r="AD210" s="842" t="s">
        <v>22</v>
      </c>
      <c r="AE210" s="2377" t="s">
        <v>1064</v>
      </c>
      <c r="AF210" s="842" t="s">
        <v>22</v>
      </c>
      <c r="AG210" s="2942" t="s">
        <v>22</v>
      </c>
      <c r="AH210" s="2940" t="s">
        <v>22</v>
      </c>
      <c r="AI210" s="2377" t="s">
        <v>1064</v>
      </c>
      <c r="AJ210" s="842" t="s">
        <v>22</v>
      </c>
      <c r="AK210" s="2377" t="s">
        <v>22</v>
      </c>
      <c r="AL210" s="842" t="s">
        <v>22</v>
      </c>
      <c r="AM210" s="1549"/>
      <c r="AN210" s="1659"/>
      <c r="AO210" s="1659"/>
      <c r="AP210" s="1659"/>
      <c r="AQ210" s="1659"/>
      <c r="AR210" s="1659"/>
      <c r="AS210" s="1659"/>
      <c r="AT210" s="1659"/>
      <c r="AU210" s="1659"/>
      <c r="AV210" s="1659"/>
      <c r="AW210" s="699"/>
      <c r="AX210" s="1659">
        <v>0</v>
      </c>
    </row>
    <row s="1874" customFormat="1" customHeight="1" ht="15">
      <c r="A211" s="1659"/>
      <c r="B211" s="2421"/>
      <c r="C211" s="2422"/>
      <c r="D211" s="713" t="str">
        <f>B210&amp;".2"</f>
        <v>3.58.2</v>
      </c>
      <c r="E211" s="1691" t="s">
        <v>1040</v>
      </c>
      <c r="F211" s="2287" t="s">
        <v>390</v>
      </c>
      <c r="G211" s="1762" t="s">
        <v>22</v>
      </c>
      <c r="H211" s="842" t="s">
        <v>22</v>
      </c>
      <c r="I211" s="1762">
        <v>46122</v>
      </c>
      <c r="J211" s="842" t="s">
        <v>22</v>
      </c>
      <c r="K211" s="1762" t="s">
        <v>22</v>
      </c>
      <c r="L211" s="842" t="s">
        <v>22</v>
      </c>
      <c r="M211" s="2943" t="s">
        <v>22</v>
      </c>
      <c r="N211" s="2940" t="s">
        <v>22</v>
      </c>
      <c r="O211" s="1762">
        <v>46132</v>
      </c>
      <c r="P211" s="842" t="s">
        <v>22</v>
      </c>
      <c r="Q211" s="1762">
        <v>46119</v>
      </c>
      <c r="R211" s="842" t="s">
        <v>22</v>
      </c>
      <c r="S211" s="1762">
        <v>46122</v>
      </c>
      <c r="T211" s="842" t="s">
        <v>22</v>
      </c>
      <c r="U211" s="1762">
        <v>46132</v>
      </c>
      <c r="V211" s="842" t="s">
        <v>22</v>
      </c>
      <c r="W211" s="1762" t="s">
        <v>22</v>
      </c>
      <c r="X211" s="842" t="s">
        <v>22</v>
      </c>
      <c r="Y211" s="1762" t="s">
        <v>22</v>
      </c>
      <c r="Z211" s="842" t="s">
        <v>22</v>
      </c>
      <c r="AA211" s="2943" t="s">
        <v>22</v>
      </c>
      <c r="AB211" s="2940" t="s">
        <v>22</v>
      </c>
      <c r="AC211" s="1762">
        <v>46142</v>
      </c>
      <c r="AD211" s="842" t="s">
        <v>22</v>
      </c>
      <c r="AE211" s="1762">
        <v>46142</v>
      </c>
      <c r="AF211" s="842" t="s">
        <v>22</v>
      </c>
      <c r="AG211" s="2943" t="s">
        <v>22</v>
      </c>
      <c r="AH211" s="2940" t="s">
        <v>22</v>
      </c>
      <c r="AI211" s="1762">
        <v>46139</v>
      </c>
      <c r="AJ211" s="842" t="s">
        <v>22</v>
      </c>
      <c r="AK211" s="1762" t="s">
        <v>22</v>
      </c>
      <c r="AL211" s="842" t="s">
        <v>22</v>
      </c>
      <c r="AM211" s="1549" t="s">
        <v>1041</v>
      </c>
      <c r="AN211" s="1659"/>
      <c r="AO211" s="1659"/>
      <c r="AP211" s="1659"/>
      <c r="AQ211" s="1659"/>
      <c r="AR211" s="1659"/>
      <c r="AS211" s="1659"/>
      <c r="AT211" s="1659"/>
      <c r="AU211" s="1659"/>
      <c r="AV211" s="1659"/>
      <c r="AW211" s="699"/>
      <c r="AX211" s="1659">
        <v>0</v>
      </c>
    </row>
    <row s="1874" customFormat="1" customHeight="1" ht="15">
      <c r="A212" s="1659"/>
      <c r="B212" s="2421"/>
      <c r="C212" s="2422"/>
      <c r="D212" s="713" t="str">
        <f>B210&amp;".3"</f>
        <v>3.58.3</v>
      </c>
      <c r="E212" s="1691" t="s">
        <v>1042</v>
      </c>
      <c r="F212" s="2287" t="s">
        <v>390</v>
      </c>
      <c r="G212" s="1762" t="s">
        <v>22</v>
      </c>
      <c r="H212" s="842" t="s">
        <v>22</v>
      </c>
      <c r="I212" s="1762" t="s">
        <v>22</v>
      </c>
      <c r="J212" s="842" t="s">
        <v>22</v>
      </c>
      <c r="K212" s="1762" t="s">
        <v>22</v>
      </c>
      <c r="L212" s="842" t="s">
        <v>22</v>
      </c>
      <c r="M212" s="2943" t="s">
        <v>22</v>
      </c>
      <c r="N212" s="2940" t="s">
        <v>22</v>
      </c>
      <c r="O212" s="1762" t="s">
        <v>22</v>
      </c>
      <c r="P212" s="842" t="s">
        <v>22</v>
      </c>
      <c r="Q212" s="1762" t="s">
        <v>22</v>
      </c>
      <c r="R212" s="842" t="s">
        <v>22</v>
      </c>
      <c r="S212" s="1762"/>
      <c r="T212" s="842" t="s">
        <v>22</v>
      </c>
      <c r="U212" s="1762" t="s">
        <v>22</v>
      </c>
      <c r="V212" s="842" t="s">
        <v>22</v>
      </c>
      <c r="W212" s="1762" t="s">
        <v>22</v>
      </c>
      <c r="X212" s="842" t="s">
        <v>22</v>
      </c>
      <c r="Y212" s="1762" t="s">
        <v>22</v>
      </c>
      <c r="Z212" s="842" t="s">
        <v>22</v>
      </c>
      <c r="AA212" s="2943" t="s">
        <v>22</v>
      </c>
      <c r="AB212" s="2940" t="s">
        <v>22</v>
      </c>
      <c r="AC212" s="1762" t="s">
        <v>22</v>
      </c>
      <c r="AD212" s="842" t="s">
        <v>22</v>
      </c>
      <c r="AE212" s="1762" t="s">
        <v>22</v>
      </c>
      <c r="AF212" s="842" t="s">
        <v>22</v>
      </c>
      <c r="AG212" s="2943" t="s">
        <v>22</v>
      </c>
      <c r="AH212" s="2940" t="s">
        <v>22</v>
      </c>
      <c r="AI212" s="1762" t="s">
        <v>22</v>
      </c>
      <c r="AJ212" s="842" t="s">
        <v>22</v>
      </c>
      <c r="AK212" s="1762" t="s">
        <v>22</v>
      </c>
      <c r="AL212" s="842" t="s">
        <v>22</v>
      </c>
      <c r="AM212" s="1549" t="s">
        <v>1043</v>
      </c>
      <c r="AN212" s="1659"/>
      <c r="AO212" s="1659"/>
      <c r="AP212" s="1659"/>
      <c r="AQ212" s="1659"/>
      <c r="AR212" s="1659"/>
      <c r="AS212" s="1659"/>
      <c r="AT212" s="1659"/>
      <c r="AU212" s="1659"/>
      <c r="AV212" s="1659"/>
      <c r="AW212" s="699"/>
      <c r="AX212" s="1659">
        <v>0</v>
      </c>
    </row>
    <row s="1874" customFormat="1" customHeight="1" ht="22.5">
      <c r="A213" s="1659"/>
      <c r="B213" s="2421" t="s">
        <v>1135</v>
      </c>
      <c r="C213" s="2422" t="s">
        <v>104</v>
      </c>
      <c r="D213" s="713" t="str">
        <f>B213&amp;".1"</f>
        <v>3.59.1</v>
      </c>
      <c r="E213" s="1691" t="s">
        <v>1039</v>
      </c>
      <c r="F213" s="2287" t="s">
        <v>390</v>
      </c>
      <c r="G213" s="2377" t="s">
        <v>22</v>
      </c>
      <c r="H213" s="842" t="s">
        <v>22</v>
      </c>
      <c r="I213" s="2377" t="s">
        <v>1059</v>
      </c>
      <c r="J213" s="842" t="s">
        <v>22</v>
      </c>
      <c r="K213" s="2377" t="s">
        <v>22</v>
      </c>
      <c r="L213" s="842" t="s">
        <v>22</v>
      </c>
      <c r="M213" s="2942" t="s">
        <v>22</v>
      </c>
      <c r="N213" s="2940" t="s">
        <v>22</v>
      </c>
      <c r="O213" s="2377" t="s">
        <v>1059</v>
      </c>
      <c r="P213" s="842" t="s">
        <v>22</v>
      </c>
      <c r="Q213" s="2377" t="s">
        <v>1059</v>
      </c>
      <c r="R213" s="842" t="s">
        <v>22</v>
      </c>
      <c r="S213" s="2377" t="s">
        <v>1059</v>
      </c>
      <c r="T213" s="842" t="s">
        <v>22</v>
      </c>
      <c r="U213" s="2377" t="s">
        <v>1059</v>
      </c>
      <c r="V213" s="842" t="s">
        <v>22</v>
      </c>
      <c r="W213" s="2377" t="s">
        <v>22</v>
      </c>
      <c r="X213" s="842" t="s">
        <v>22</v>
      </c>
      <c r="Y213" s="2377" t="s">
        <v>22</v>
      </c>
      <c r="Z213" s="842" t="s">
        <v>22</v>
      </c>
      <c r="AA213" s="2942" t="s">
        <v>22</v>
      </c>
      <c r="AB213" s="2940" t="s">
        <v>22</v>
      </c>
      <c r="AC213" s="2377" t="s">
        <v>1059</v>
      </c>
      <c r="AD213" s="842" t="s">
        <v>22</v>
      </c>
      <c r="AE213" s="2377" t="s">
        <v>1059</v>
      </c>
      <c r="AF213" s="842" t="s">
        <v>22</v>
      </c>
      <c r="AG213" s="2942" t="s">
        <v>22</v>
      </c>
      <c r="AH213" s="2940" t="s">
        <v>22</v>
      </c>
      <c r="AI213" s="2377" t="s">
        <v>1059</v>
      </c>
      <c r="AJ213" s="842" t="s">
        <v>22</v>
      </c>
      <c r="AK213" s="2377" t="s">
        <v>22</v>
      </c>
      <c r="AL213" s="842" t="s">
        <v>22</v>
      </c>
      <c r="AM213" s="1549"/>
      <c r="AN213" s="1659"/>
      <c r="AO213" s="1659"/>
      <c r="AP213" s="1659"/>
      <c r="AQ213" s="1659"/>
      <c r="AR213" s="1659"/>
      <c r="AS213" s="1659"/>
      <c r="AT213" s="1659"/>
      <c r="AU213" s="1659"/>
      <c r="AV213" s="1659"/>
      <c r="AW213" s="699"/>
      <c r="AX213" s="1659">
        <v>0</v>
      </c>
    </row>
    <row s="1874" customFormat="1" customHeight="1" ht="15">
      <c r="A214" s="1659"/>
      <c r="B214" s="2421"/>
      <c r="C214" s="2422"/>
      <c r="D214" s="713" t="str">
        <f>B213&amp;".2"</f>
        <v>3.59.2</v>
      </c>
      <c r="E214" s="1691" t="s">
        <v>1040</v>
      </c>
      <c r="F214" s="2287" t="s">
        <v>390</v>
      </c>
      <c r="G214" s="1762" t="s">
        <v>22</v>
      </c>
      <c r="H214" s="842" t="s">
        <v>22</v>
      </c>
      <c r="I214" s="1762">
        <v>46122</v>
      </c>
      <c r="J214" s="842" t="s">
        <v>22</v>
      </c>
      <c r="K214" s="1762" t="s">
        <v>22</v>
      </c>
      <c r="L214" s="842" t="s">
        <v>22</v>
      </c>
      <c r="M214" s="2943" t="s">
        <v>22</v>
      </c>
      <c r="N214" s="2940" t="s">
        <v>22</v>
      </c>
      <c r="O214" s="1762">
        <v>46132</v>
      </c>
      <c r="P214" s="842" t="s">
        <v>22</v>
      </c>
      <c r="Q214" s="1762">
        <v>46119</v>
      </c>
      <c r="R214" s="842" t="s">
        <v>22</v>
      </c>
      <c r="S214" s="1762">
        <v>46122</v>
      </c>
      <c r="T214" s="842" t="s">
        <v>22</v>
      </c>
      <c r="U214" s="1762">
        <v>46133</v>
      </c>
      <c r="V214" s="842" t="s">
        <v>22</v>
      </c>
      <c r="W214" s="1762" t="s">
        <v>22</v>
      </c>
      <c r="X214" s="842" t="s">
        <v>22</v>
      </c>
      <c r="Y214" s="1762" t="s">
        <v>22</v>
      </c>
      <c r="Z214" s="842" t="s">
        <v>22</v>
      </c>
      <c r="AA214" s="2943" t="s">
        <v>22</v>
      </c>
      <c r="AB214" s="2940" t="s">
        <v>22</v>
      </c>
      <c r="AC214" s="1762">
        <v>46142</v>
      </c>
      <c r="AD214" s="842" t="s">
        <v>22</v>
      </c>
      <c r="AE214" s="1762">
        <v>46142</v>
      </c>
      <c r="AF214" s="842" t="s">
        <v>22</v>
      </c>
      <c r="AG214" s="2943" t="s">
        <v>22</v>
      </c>
      <c r="AH214" s="2940" t="s">
        <v>22</v>
      </c>
      <c r="AI214" s="1762">
        <v>46139</v>
      </c>
      <c r="AJ214" s="842" t="s">
        <v>22</v>
      </c>
      <c r="AK214" s="1762" t="s">
        <v>22</v>
      </c>
      <c r="AL214" s="842" t="s">
        <v>22</v>
      </c>
      <c r="AM214" s="1549" t="s">
        <v>1041</v>
      </c>
      <c r="AN214" s="1659"/>
      <c r="AO214" s="1659"/>
      <c r="AP214" s="1659"/>
      <c r="AQ214" s="1659"/>
      <c r="AR214" s="1659"/>
      <c r="AS214" s="1659"/>
      <c r="AT214" s="1659"/>
      <c r="AU214" s="1659"/>
      <c r="AV214" s="1659"/>
      <c r="AW214" s="699"/>
      <c r="AX214" s="1659">
        <v>0</v>
      </c>
    </row>
    <row s="1874" customFormat="1" customHeight="1" ht="15">
      <c r="A215" s="1659"/>
      <c r="B215" s="2421"/>
      <c r="C215" s="2422"/>
      <c r="D215" s="713" t="str">
        <f>B213&amp;".3"</f>
        <v>3.59.3</v>
      </c>
      <c r="E215" s="1691" t="s">
        <v>1042</v>
      </c>
      <c r="F215" s="2287" t="s">
        <v>390</v>
      </c>
      <c r="G215" s="1762" t="s">
        <v>22</v>
      </c>
      <c r="H215" s="842" t="s">
        <v>22</v>
      </c>
      <c r="I215" s="1762" t="s">
        <v>22</v>
      </c>
      <c r="J215" s="842" t="s">
        <v>22</v>
      </c>
      <c r="K215" s="1762" t="s">
        <v>22</v>
      </c>
      <c r="L215" s="842" t="s">
        <v>22</v>
      </c>
      <c r="M215" s="2943" t="s">
        <v>22</v>
      </c>
      <c r="N215" s="2940" t="s">
        <v>22</v>
      </c>
      <c r="O215" s="1762" t="s">
        <v>22</v>
      </c>
      <c r="P215" s="842" t="s">
        <v>22</v>
      </c>
      <c r="Q215" s="1762" t="s">
        <v>22</v>
      </c>
      <c r="R215" s="842" t="s">
        <v>22</v>
      </c>
      <c r="S215" s="1762"/>
      <c r="T215" s="842" t="s">
        <v>22</v>
      </c>
      <c r="U215" s="1762" t="s">
        <v>22</v>
      </c>
      <c r="V215" s="842" t="s">
        <v>22</v>
      </c>
      <c r="W215" s="1762" t="s">
        <v>22</v>
      </c>
      <c r="X215" s="842" t="s">
        <v>22</v>
      </c>
      <c r="Y215" s="1762" t="s">
        <v>22</v>
      </c>
      <c r="Z215" s="842" t="s">
        <v>22</v>
      </c>
      <c r="AA215" s="2943" t="s">
        <v>22</v>
      </c>
      <c r="AB215" s="2940" t="s">
        <v>22</v>
      </c>
      <c r="AC215" s="1762" t="s">
        <v>22</v>
      </c>
      <c r="AD215" s="842" t="s">
        <v>22</v>
      </c>
      <c r="AE215" s="1762" t="s">
        <v>22</v>
      </c>
      <c r="AF215" s="842" t="s">
        <v>22</v>
      </c>
      <c r="AG215" s="2943" t="s">
        <v>22</v>
      </c>
      <c r="AH215" s="2940" t="s">
        <v>22</v>
      </c>
      <c r="AI215" s="1762" t="s">
        <v>22</v>
      </c>
      <c r="AJ215" s="842" t="s">
        <v>22</v>
      </c>
      <c r="AK215" s="1762" t="s">
        <v>22</v>
      </c>
      <c r="AL215" s="842" t="s">
        <v>22</v>
      </c>
      <c r="AM215" s="1549" t="s">
        <v>1043</v>
      </c>
      <c r="AN215" s="1659"/>
      <c r="AO215" s="1659"/>
      <c r="AP215" s="1659"/>
      <c r="AQ215" s="1659"/>
      <c r="AR215" s="1659"/>
      <c r="AS215" s="1659"/>
      <c r="AT215" s="1659"/>
      <c r="AU215" s="1659"/>
      <c r="AV215" s="1659"/>
      <c r="AW215" s="699"/>
      <c r="AX215" s="1659">
        <v>0</v>
      </c>
    </row>
    <row s="1874" customFormat="1" customHeight="1" ht="22.5">
      <c r="A216" s="1659"/>
      <c r="B216" s="2421" t="s">
        <v>1136</v>
      </c>
      <c r="C216" s="2422" t="s">
        <v>104</v>
      </c>
      <c r="D216" s="713" t="str">
        <f>B216&amp;".1"</f>
        <v>3.60.1</v>
      </c>
      <c r="E216" s="1691" t="s">
        <v>1039</v>
      </c>
      <c r="F216" s="2287" t="s">
        <v>390</v>
      </c>
      <c r="G216" s="2377" t="s">
        <v>22</v>
      </c>
      <c r="H216" s="842" t="s">
        <v>22</v>
      </c>
      <c r="I216" s="2377" t="s">
        <v>1059</v>
      </c>
      <c r="J216" s="842" t="s">
        <v>22</v>
      </c>
      <c r="K216" s="2377" t="s">
        <v>22</v>
      </c>
      <c r="L216" s="842" t="s">
        <v>22</v>
      </c>
      <c r="M216" s="2942" t="s">
        <v>22</v>
      </c>
      <c r="N216" s="2940" t="s">
        <v>22</v>
      </c>
      <c r="O216" s="2377" t="s">
        <v>1059</v>
      </c>
      <c r="P216" s="842" t="s">
        <v>22</v>
      </c>
      <c r="Q216" s="2377" t="s">
        <v>1059</v>
      </c>
      <c r="R216" s="842" t="s">
        <v>22</v>
      </c>
      <c r="S216" s="2377" t="s">
        <v>1059</v>
      </c>
      <c r="T216" s="842" t="s">
        <v>22</v>
      </c>
      <c r="U216" s="2377" t="s">
        <v>1059</v>
      </c>
      <c r="V216" s="842" t="s">
        <v>22</v>
      </c>
      <c r="W216" s="2377" t="s">
        <v>22</v>
      </c>
      <c r="X216" s="842" t="s">
        <v>22</v>
      </c>
      <c r="Y216" s="2377" t="s">
        <v>22</v>
      </c>
      <c r="Z216" s="842" t="s">
        <v>22</v>
      </c>
      <c r="AA216" s="2942" t="s">
        <v>22</v>
      </c>
      <c r="AB216" s="2940" t="s">
        <v>22</v>
      </c>
      <c r="AC216" s="2377" t="s">
        <v>1059</v>
      </c>
      <c r="AD216" s="842" t="s">
        <v>22</v>
      </c>
      <c r="AE216" s="2377" t="s">
        <v>1059</v>
      </c>
      <c r="AF216" s="842" t="s">
        <v>22</v>
      </c>
      <c r="AG216" s="2942" t="s">
        <v>22</v>
      </c>
      <c r="AH216" s="2940" t="s">
        <v>22</v>
      </c>
      <c r="AI216" s="2377" t="s">
        <v>1059</v>
      </c>
      <c r="AJ216" s="842" t="s">
        <v>22</v>
      </c>
      <c r="AK216" s="2377" t="s">
        <v>22</v>
      </c>
      <c r="AL216" s="842" t="s">
        <v>22</v>
      </c>
      <c r="AM216" s="1549"/>
      <c r="AN216" s="1659"/>
      <c r="AO216" s="1659"/>
      <c r="AP216" s="1659"/>
      <c r="AQ216" s="1659"/>
      <c r="AR216" s="1659"/>
      <c r="AS216" s="1659"/>
      <c r="AT216" s="1659"/>
      <c r="AU216" s="1659"/>
      <c r="AV216" s="1659"/>
      <c r="AW216" s="699"/>
      <c r="AX216" s="1659">
        <v>0</v>
      </c>
    </row>
    <row s="1874" customFormat="1" customHeight="1" ht="15">
      <c r="A217" s="1659"/>
      <c r="B217" s="2421"/>
      <c r="C217" s="2422"/>
      <c r="D217" s="713" t="str">
        <f>B216&amp;".2"</f>
        <v>3.60.2</v>
      </c>
      <c r="E217" s="1691" t="s">
        <v>1040</v>
      </c>
      <c r="F217" s="2287" t="s">
        <v>390</v>
      </c>
      <c r="G217" s="1762" t="s">
        <v>22</v>
      </c>
      <c r="H217" s="842" t="s">
        <v>22</v>
      </c>
      <c r="I217" s="1762">
        <v>46125</v>
      </c>
      <c r="J217" s="842" t="s">
        <v>22</v>
      </c>
      <c r="K217" s="1762" t="s">
        <v>22</v>
      </c>
      <c r="L217" s="842" t="s">
        <v>22</v>
      </c>
      <c r="M217" s="2943" t="s">
        <v>22</v>
      </c>
      <c r="N217" s="2940" t="s">
        <v>22</v>
      </c>
      <c r="O217" s="1762">
        <v>46135</v>
      </c>
      <c r="P217" s="842" t="s">
        <v>22</v>
      </c>
      <c r="Q217" s="1762">
        <v>46119</v>
      </c>
      <c r="R217" s="842" t="s">
        <v>22</v>
      </c>
      <c r="S217" s="1762">
        <v>46122</v>
      </c>
      <c r="T217" s="842" t="s">
        <v>22</v>
      </c>
      <c r="U217" s="1762">
        <v>46136</v>
      </c>
      <c r="V217" s="842" t="s">
        <v>22</v>
      </c>
      <c r="W217" s="1762" t="s">
        <v>22</v>
      </c>
      <c r="X217" s="842" t="s">
        <v>22</v>
      </c>
      <c r="Y217" s="1762" t="s">
        <v>22</v>
      </c>
      <c r="Z217" s="842" t="s">
        <v>22</v>
      </c>
      <c r="AA217" s="2943" t="s">
        <v>22</v>
      </c>
      <c r="AB217" s="2940" t="s">
        <v>22</v>
      </c>
      <c r="AC217" s="1762">
        <v>46142</v>
      </c>
      <c r="AD217" s="842" t="s">
        <v>22</v>
      </c>
      <c r="AE217" s="1762">
        <v>46142</v>
      </c>
      <c r="AF217" s="842" t="s">
        <v>22</v>
      </c>
      <c r="AG217" s="2943" t="s">
        <v>22</v>
      </c>
      <c r="AH217" s="2940" t="s">
        <v>22</v>
      </c>
      <c r="AI217" s="1762">
        <v>46139</v>
      </c>
      <c r="AJ217" s="842" t="s">
        <v>22</v>
      </c>
      <c r="AK217" s="1762" t="s">
        <v>22</v>
      </c>
      <c r="AL217" s="842" t="s">
        <v>22</v>
      </c>
      <c r="AM217" s="1549" t="s">
        <v>1041</v>
      </c>
      <c r="AN217" s="1659"/>
      <c r="AO217" s="1659"/>
      <c r="AP217" s="1659"/>
      <c r="AQ217" s="1659"/>
      <c r="AR217" s="1659"/>
      <c r="AS217" s="1659"/>
      <c r="AT217" s="1659"/>
      <c r="AU217" s="1659"/>
      <c r="AV217" s="1659"/>
      <c r="AW217" s="699"/>
      <c r="AX217" s="1659">
        <v>0</v>
      </c>
    </row>
    <row s="1874" customFormat="1" customHeight="1" ht="15">
      <c r="A218" s="1659"/>
      <c r="B218" s="2421"/>
      <c r="C218" s="2422"/>
      <c r="D218" s="713" t="str">
        <f>B216&amp;".3"</f>
        <v>3.60.3</v>
      </c>
      <c r="E218" s="1691" t="s">
        <v>1042</v>
      </c>
      <c r="F218" s="2287" t="s">
        <v>390</v>
      </c>
      <c r="G218" s="1762" t="s">
        <v>22</v>
      </c>
      <c r="H218" s="842" t="s">
        <v>22</v>
      </c>
      <c r="I218" s="1762" t="s">
        <v>22</v>
      </c>
      <c r="J218" s="842" t="s">
        <v>22</v>
      </c>
      <c r="K218" s="1762" t="s">
        <v>22</v>
      </c>
      <c r="L218" s="842" t="s">
        <v>22</v>
      </c>
      <c r="M218" s="2943" t="s">
        <v>22</v>
      </c>
      <c r="N218" s="2940" t="s">
        <v>22</v>
      </c>
      <c r="O218" s="1762" t="s">
        <v>22</v>
      </c>
      <c r="P218" s="842" t="s">
        <v>22</v>
      </c>
      <c r="Q218" s="1762" t="s">
        <v>22</v>
      </c>
      <c r="R218" s="842" t="s">
        <v>22</v>
      </c>
      <c r="S218" s="1762"/>
      <c r="T218" s="842" t="s">
        <v>22</v>
      </c>
      <c r="U218" s="1762" t="s">
        <v>22</v>
      </c>
      <c r="V218" s="842" t="s">
        <v>22</v>
      </c>
      <c r="W218" s="1762" t="s">
        <v>22</v>
      </c>
      <c r="X218" s="842" t="s">
        <v>22</v>
      </c>
      <c r="Y218" s="1762" t="s">
        <v>22</v>
      </c>
      <c r="Z218" s="842" t="s">
        <v>22</v>
      </c>
      <c r="AA218" s="2943" t="s">
        <v>22</v>
      </c>
      <c r="AB218" s="2940" t="s">
        <v>22</v>
      </c>
      <c r="AC218" s="1762" t="s">
        <v>22</v>
      </c>
      <c r="AD218" s="842" t="s">
        <v>22</v>
      </c>
      <c r="AE218" s="1762" t="s">
        <v>22</v>
      </c>
      <c r="AF218" s="842" t="s">
        <v>22</v>
      </c>
      <c r="AG218" s="2943" t="s">
        <v>22</v>
      </c>
      <c r="AH218" s="2940" t="s">
        <v>22</v>
      </c>
      <c r="AI218" s="1762" t="s">
        <v>22</v>
      </c>
      <c r="AJ218" s="842" t="s">
        <v>22</v>
      </c>
      <c r="AK218" s="1762" t="s">
        <v>22</v>
      </c>
      <c r="AL218" s="842" t="s">
        <v>22</v>
      </c>
      <c r="AM218" s="1549" t="s">
        <v>1043</v>
      </c>
      <c r="AN218" s="1659"/>
      <c r="AO218" s="1659"/>
      <c r="AP218" s="1659"/>
      <c r="AQ218" s="1659"/>
      <c r="AR218" s="1659"/>
      <c r="AS218" s="1659"/>
      <c r="AT218" s="1659"/>
      <c r="AU218" s="1659"/>
      <c r="AV218" s="1659"/>
      <c r="AW218" s="699"/>
      <c r="AX218" s="1659">
        <v>0</v>
      </c>
    </row>
    <row s="1874" customFormat="1" customHeight="1" ht="22.5">
      <c r="A219" s="1659"/>
      <c r="B219" s="2421" t="s">
        <v>1137</v>
      </c>
      <c r="C219" s="2422" t="s">
        <v>104</v>
      </c>
      <c r="D219" s="713" t="str">
        <f>B219&amp;".1"</f>
        <v>3.61.1</v>
      </c>
      <c r="E219" s="1691" t="s">
        <v>1039</v>
      </c>
      <c r="F219" s="2287" t="s">
        <v>390</v>
      </c>
      <c r="G219" s="2377" t="s">
        <v>22</v>
      </c>
      <c r="H219" s="842" t="s">
        <v>22</v>
      </c>
      <c r="I219" s="2377" t="s">
        <v>1059</v>
      </c>
      <c r="J219" s="842" t="s">
        <v>22</v>
      </c>
      <c r="K219" s="2377" t="s">
        <v>22</v>
      </c>
      <c r="L219" s="842" t="s">
        <v>22</v>
      </c>
      <c r="M219" s="2942" t="s">
        <v>22</v>
      </c>
      <c r="N219" s="2940" t="s">
        <v>22</v>
      </c>
      <c r="O219" s="2377" t="s">
        <v>1061</v>
      </c>
      <c r="P219" s="842" t="s">
        <v>22</v>
      </c>
      <c r="Q219" s="2377" t="s">
        <v>1059</v>
      </c>
      <c r="R219" s="842" t="s">
        <v>22</v>
      </c>
      <c r="S219" s="2377" t="s">
        <v>1059</v>
      </c>
      <c r="T219" s="842" t="s">
        <v>22</v>
      </c>
      <c r="U219" s="2377" t="s">
        <v>1059</v>
      </c>
      <c r="V219" s="842" t="s">
        <v>22</v>
      </c>
      <c r="W219" s="2377" t="s">
        <v>22</v>
      </c>
      <c r="X219" s="842" t="s">
        <v>22</v>
      </c>
      <c r="Y219" s="2377" t="s">
        <v>22</v>
      </c>
      <c r="Z219" s="842" t="s">
        <v>22</v>
      </c>
      <c r="AA219" s="2942" t="s">
        <v>22</v>
      </c>
      <c r="AB219" s="2940" t="s">
        <v>22</v>
      </c>
      <c r="AC219" s="2377" t="s">
        <v>1059</v>
      </c>
      <c r="AD219" s="842" t="s">
        <v>22</v>
      </c>
      <c r="AE219" s="2377" t="s">
        <v>1059</v>
      </c>
      <c r="AF219" s="842" t="s">
        <v>22</v>
      </c>
      <c r="AG219" s="2942" t="s">
        <v>22</v>
      </c>
      <c r="AH219" s="2940" t="s">
        <v>22</v>
      </c>
      <c r="AI219" s="2377" t="s">
        <v>1059</v>
      </c>
      <c r="AJ219" s="842" t="s">
        <v>22</v>
      </c>
      <c r="AK219" s="2377" t="s">
        <v>22</v>
      </c>
      <c r="AL219" s="842" t="s">
        <v>22</v>
      </c>
      <c r="AM219" s="1549"/>
      <c r="AN219" s="1659"/>
      <c r="AO219" s="1659"/>
      <c r="AP219" s="1659"/>
      <c r="AQ219" s="1659"/>
      <c r="AR219" s="1659"/>
      <c r="AS219" s="1659"/>
      <c r="AT219" s="1659"/>
      <c r="AU219" s="1659"/>
      <c r="AV219" s="1659"/>
      <c r="AW219" s="699"/>
      <c r="AX219" s="1659">
        <v>0</v>
      </c>
    </row>
    <row s="1874" customFormat="1" customHeight="1" ht="15">
      <c r="A220" s="1659"/>
      <c r="B220" s="2421"/>
      <c r="C220" s="2422"/>
      <c r="D220" s="713" t="str">
        <f>B219&amp;".2"</f>
        <v>3.61.2</v>
      </c>
      <c r="E220" s="1691" t="s">
        <v>1040</v>
      </c>
      <c r="F220" s="2287" t="s">
        <v>390</v>
      </c>
      <c r="G220" s="1762" t="s">
        <v>22</v>
      </c>
      <c r="H220" s="842" t="s">
        <v>22</v>
      </c>
      <c r="I220" s="1762">
        <v>46127</v>
      </c>
      <c r="J220" s="842" t="s">
        <v>22</v>
      </c>
      <c r="K220" s="1762" t="s">
        <v>22</v>
      </c>
      <c r="L220" s="842" t="s">
        <v>22</v>
      </c>
      <c r="M220" s="2943" t="s">
        <v>22</v>
      </c>
      <c r="N220" s="2940" t="s">
        <v>22</v>
      </c>
      <c r="O220" s="1762">
        <v>46136</v>
      </c>
      <c r="P220" s="842" t="s">
        <v>22</v>
      </c>
      <c r="Q220" s="1762">
        <v>46119</v>
      </c>
      <c r="R220" s="842" t="s">
        <v>22</v>
      </c>
      <c r="S220" s="1762">
        <v>46122</v>
      </c>
      <c r="T220" s="842" t="s">
        <v>22</v>
      </c>
      <c r="U220" s="1762">
        <v>46136</v>
      </c>
      <c r="V220" s="842" t="s">
        <v>22</v>
      </c>
      <c r="W220" s="1762" t="s">
        <v>22</v>
      </c>
      <c r="X220" s="842" t="s">
        <v>22</v>
      </c>
      <c r="Y220" s="1762" t="s">
        <v>22</v>
      </c>
      <c r="Z220" s="842" t="s">
        <v>22</v>
      </c>
      <c r="AA220" s="2943" t="s">
        <v>22</v>
      </c>
      <c r="AB220" s="2940" t="s">
        <v>22</v>
      </c>
      <c r="AC220" s="1762">
        <v>46142</v>
      </c>
      <c r="AD220" s="842" t="s">
        <v>22</v>
      </c>
      <c r="AE220" s="1762">
        <v>46142</v>
      </c>
      <c r="AF220" s="842" t="s">
        <v>22</v>
      </c>
      <c r="AG220" s="2943" t="s">
        <v>22</v>
      </c>
      <c r="AH220" s="2940" t="s">
        <v>22</v>
      </c>
      <c r="AI220" s="1762">
        <v>46139</v>
      </c>
      <c r="AJ220" s="842" t="s">
        <v>22</v>
      </c>
      <c r="AK220" s="1762" t="s">
        <v>22</v>
      </c>
      <c r="AL220" s="842" t="s">
        <v>22</v>
      </c>
      <c r="AM220" s="1549" t="s">
        <v>1041</v>
      </c>
      <c r="AN220" s="1659"/>
      <c r="AO220" s="1659"/>
      <c r="AP220" s="1659"/>
      <c r="AQ220" s="1659"/>
      <c r="AR220" s="1659"/>
      <c r="AS220" s="1659"/>
      <c r="AT220" s="1659"/>
      <c r="AU220" s="1659"/>
      <c r="AV220" s="1659"/>
      <c r="AW220" s="699"/>
      <c r="AX220" s="1659">
        <v>0</v>
      </c>
    </row>
    <row s="1874" customFormat="1" customHeight="1" ht="15">
      <c r="A221" s="1659"/>
      <c r="B221" s="2421"/>
      <c r="C221" s="2422"/>
      <c r="D221" s="713" t="str">
        <f>B219&amp;".3"</f>
        <v>3.61.3</v>
      </c>
      <c r="E221" s="1691" t="s">
        <v>1042</v>
      </c>
      <c r="F221" s="2287" t="s">
        <v>390</v>
      </c>
      <c r="G221" s="1762" t="s">
        <v>22</v>
      </c>
      <c r="H221" s="842" t="s">
        <v>22</v>
      </c>
      <c r="I221" s="1762" t="s">
        <v>22</v>
      </c>
      <c r="J221" s="842" t="s">
        <v>22</v>
      </c>
      <c r="K221" s="1762" t="s">
        <v>22</v>
      </c>
      <c r="L221" s="842" t="s">
        <v>22</v>
      </c>
      <c r="M221" s="2943" t="s">
        <v>22</v>
      </c>
      <c r="N221" s="2940" t="s">
        <v>22</v>
      </c>
      <c r="O221" s="1762" t="s">
        <v>22</v>
      </c>
      <c r="P221" s="842" t="s">
        <v>22</v>
      </c>
      <c r="Q221" s="1762" t="s">
        <v>22</v>
      </c>
      <c r="R221" s="842" t="s">
        <v>22</v>
      </c>
      <c r="S221" s="1762"/>
      <c r="T221" s="842" t="s">
        <v>22</v>
      </c>
      <c r="U221" s="1762" t="s">
        <v>22</v>
      </c>
      <c r="V221" s="842" t="s">
        <v>22</v>
      </c>
      <c r="W221" s="1762" t="s">
        <v>22</v>
      </c>
      <c r="X221" s="842" t="s">
        <v>22</v>
      </c>
      <c r="Y221" s="1762" t="s">
        <v>22</v>
      </c>
      <c r="Z221" s="842" t="s">
        <v>22</v>
      </c>
      <c r="AA221" s="2943" t="s">
        <v>22</v>
      </c>
      <c r="AB221" s="2940" t="s">
        <v>22</v>
      </c>
      <c r="AC221" s="1762" t="s">
        <v>22</v>
      </c>
      <c r="AD221" s="842" t="s">
        <v>22</v>
      </c>
      <c r="AE221" s="1762" t="s">
        <v>22</v>
      </c>
      <c r="AF221" s="842" t="s">
        <v>22</v>
      </c>
      <c r="AG221" s="2943" t="s">
        <v>22</v>
      </c>
      <c r="AH221" s="2940" t="s">
        <v>22</v>
      </c>
      <c r="AI221" s="1762" t="s">
        <v>22</v>
      </c>
      <c r="AJ221" s="842" t="s">
        <v>22</v>
      </c>
      <c r="AK221" s="1762" t="s">
        <v>22</v>
      </c>
      <c r="AL221" s="842" t="s">
        <v>22</v>
      </c>
      <c r="AM221" s="1549" t="s">
        <v>1043</v>
      </c>
      <c r="AN221" s="1659"/>
      <c r="AO221" s="1659"/>
      <c r="AP221" s="1659"/>
      <c r="AQ221" s="1659"/>
      <c r="AR221" s="1659"/>
      <c r="AS221" s="1659"/>
      <c r="AT221" s="1659"/>
      <c r="AU221" s="1659"/>
      <c r="AV221" s="1659"/>
      <c r="AW221" s="699"/>
      <c r="AX221" s="1659">
        <v>0</v>
      </c>
    </row>
    <row s="1874" customFormat="1" customHeight="1" ht="22.5">
      <c r="A222" s="1659"/>
      <c r="B222" s="2421" t="s">
        <v>1138</v>
      </c>
      <c r="C222" s="2422" t="s">
        <v>104</v>
      </c>
      <c r="D222" s="713" t="str">
        <f>B222&amp;".1"</f>
        <v>3.62.1</v>
      </c>
      <c r="E222" s="1691" t="s">
        <v>1039</v>
      </c>
      <c r="F222" s="2287" t="s">
        <v>390</v>
      </c>
      <c r="G222" s="2377" t="s">
        <v>22</v>
      </c>
      <c r="H222" s="842" t="s">
        <v>22</v>
      </c>
      <c r="I222" s="2377" t="s">
        <v>1059</v>
      </c>
      <c r="J222" s="842" t="s">
        <v>22</v>
      </c>
      <c r="K222" s="2377" t="s">
        <v>22</v>
      </c>
      <c r="L222" s="842" t="s">
        <v>22</v>
      </c>
      <c r="M222" s="2942" t="s">
        <v>22</v>
      </c>
      <c r="N222" s="2940" t="s">
        <v>22</v>
      </c>
      <c r="O222" s="2377" t="s">
        <v>1059</v>
      </c>
      <c r="P222" s="842" t="s">
        <v>22</v>
      </c>
      <c r="Q222" s="2377" t="s">
        <v>1059</v>
      </c>
      <c r="R222" s="842" t="s">
        <v>22</v>
      </c>
      <c r="S222" s="2377" t="s">
        <v>1059</v>
      </c>
      <c r="T222" s="842" t="s">
        <v>22</v>
      </c>
      <c r="U222" s="2377" t="s">
        <v>1059</v>
      </c>
      <c r="V222" s="842" t="s">
        <v>22</v>
      </c>
      <c r="W222" s="2377" t="s">
        <v>22</v>
      </c>
      <c r="X222" s="842" t="s">
        <v>22</v>
      </c>
      <c r="Y222" s="2377" t="s">
        <v>22</v>
      </c>
      <c r="Z222" s="842" t="s">
        <v>22</v>
      </c>
      <c r="AA222" s="2942" t="s">
        <v>22</v>
      </c>
      <c r="AB222" s="2940" t="s">
        <v>22</v>
      </c>
      <c r="AC222" s="2377" t="s">
        <v>1059</v>
      </c>
      <c r="AD222" s="842" t="s">
        <v>22</v>
      </c>
      <c r="AE222" s="2377" t="s">
        <v>1059</v>
      </c>
      <c r="AF222" s="842" t="s">
        <v>22</v>
      </c>
      <c r="AG222" s="2942" t="s">
        <v>22</v>
      </c>
      <c r="AH222" s="2940" t="s">
        <v>22</v>
      </c>
      <c r="AI222" s="2377" t="s">
        <v>1059</v>
      </c>
      <c r="AJ222" s="842" t="s">
        <v>22</v>
      </c>
      <c r="AK222" s="2377" t="s">
        <v>22</v>
      </c>
      <c r="AL222" s="842" t="s">
        <v>22</v>
      </c>
      <c r="AM222" s="1549"/>
      <c r="AN222" s="1659"/>
      <c r="AO222" s="1659"/>
      <c r="AP222" s="1659"/>
      <c r="AQ222" s="1659"/>
      <c r="AR222" s="1659"/>
      <c r="AS222" s="1659"/>
      <c r="AT222" s="1659"/>
      <c r="AU222" s="1659"/>
      <c r="AV222" s="1659"/>
      <c r="AW222" s="699"/>
      <c r="AX222" s="1659">
        <v>0</v>
      </c>
    </row>
    <row s="1874" customFormat="1" customHeight="1" ht="15">
      <c r="A223" s="1659"/>
      <c r="B223" s="2421"/>
      <c r="C223" s="2422"/>
      <c r="D223" s="713" t="str">
        <f>B222&amp;".2"</f>
        <v>3.62.2</v>
      </c>
      <c r="E223" s="1691" t="s">
        <v>1040</v>
      </c>
      <c r="F223" s="2287" t="s">
        <v>390</v>
      </c>
      <c r="G223" s="1762" t="s">
        <v>22</v>
      </c>
      <c r="H223" s="842" t="s">
        <v>22</v>
      </c>
      <c r="I223" s="1762">
        <v>46127</v>
      </c>
      <c r="J223" s="842" t="s">
        <v>22</v>
      </c>
      <c r="K223" s="1762" t="s">
        <v>22</v>
      </c>
      <c r="L223" s="842" t="s">
        <v>22</v>
      </c>
      <c r="M223" s="2943" t="s">
        <v>22</v>
      </c>
      <c r="N223" s="2940" t="s">
        <v>22</v>
      </c>
      <c r="O223" s="1762">
        <v>46136</v>
      </c>
      <c r="P223" s="842" t="s">
        <v>22</v>
      </c>
      <c r="Q223" s="1762">
        <v>46120</v>
      </c>
      <c r="R223" s="842" t="s">
        <v>22</v>
      </c>
      <c r="S223" s="1762">
        <v>46122</v>
      </c>
      <c r="T223" s="842" t="s">
        <v>22</v>
      </c>
      <c r="U223" s="1762">
        <v>46136</v>
      </c>
      <c r="V223" s="842" t="s">
        <v>22</v>
      </c>
      <c r="W223" s="1762" t="s">
        <v>22</v>
      </c>
      <c r="X223" s="842" t="s">
        <v>22</v>
      </c>
      <c r="Y223" s="1762" t="s">
        <v>22</v>
      </c>
      <c r="Z223" s="842" t="s">
        <v>22</v>
      </c>
      <c r="AA223" s="2943" t="s">
        <v>22</v>
      </c>
      <c r="AB223" s="2940" t="s">
        <v>22</v>
      </c>
      <c r="AC223" s="1762">
        <v>46142</v>
      </c>
      <c r="AD223" s="842" t="s">
        <v>22</v>
      </c>
      <c r="AE223" s="1762">
        <v>46142</v>
      </c>
      <c r="AF223" s="842" t="s">
        <v>22</v>
      </c>
      <c r="AG223" s="2943" t="s">
        <v>22</v>
      </c>
      <c r="AH223" s="2940" t="s">
        <v>22</v>
      </c>
      <c r="AI223" s="1762">
        <v>46139</v>
      </c>
      <c r="AJ223" s="842" t="s">
        <v>22</v>
      </c>
      <c r="AK223" s="1762" t="s">
        <v>22</v>
      </c>
      <c r="AL223" s="842" t="s">
        <v>22</v>
      </c>
      <c r="AM223" s="1549" t="s">
        <v>1041</v>
      </c>
      <c r="AN223" s="1659"/>
      <c r="AO223" s="1659"/>
      <c r="AP223" s="1659"/>
      <c r="AQ223" s="1659"/>
      <c r="AR223" s="1659"/>
      <c r="AS223" s="1659"/>
      <c r="AT223" s="1659"/>
      <c r="AU223" s="1659"/>
      <c r="AV223" s="1659"/>
      <c r="AW223" s="699"/>
      <c r="AX223" s="1659">
        <v>0</v>
      </c>
    </row>
    <row s="1874" customFormat="1" customHeight="1" ht="15">
      <c r="A224" s="1659"/>
      <c r="B224" s="2421"/>
      <c r="C224" s="2422"/>
      <c r="D224" s="713" t="str">
        <f>B222&amp;".3"</f>
        <v>3.62.3</v>
      </c>
      <c r="E224" s="1691" t="s">
        <v>1042</v>
      </c>
      <c r="F224" s="2287" t="s">
        <v>390</v>
      </c>
      <c r="G224" s="1762" t="s">
        <v>22</v>
      </c>
      <c r="H224" s="842" t="s">
        <v>22</v>
      </c>
      <c r="I224" s="1762" t="s">
        <v>22</v>
      </c>
      <c r="J224" s="842" t="s">
        <v>22</v>
      </c>
      <c r="K224" s="1762" t="s">
        <v>22</v>
      </c>
      <c r="L224" s="842" t="s">
        <v>22</v>
      </c>
      <c r="M224" s="2943" t="s">
        <v>22</v>
      </c>
      <c r="N224" s="2940" t="s">
        <v>22</v>
      </c>
      <c r="O224" s="1762" t="s">
        <v>22</v>
      </c>
      <c r="P224" s="842" t="s">
        <v>22</v>
      </c>
      <c r="Q224" s="1762" t="s">
        <v>22</v>
      </c>
      <c r="R224" s="842" t="s">
        <v>22</v>
      </c>
      <c r="S224" s="1762"/>
      <c r="T224" s="842" t="s">
        <v>22</v>
      </c>
      <c r="U224" s="1762" t="s">
        <v>22</v>
      </c>
      <c r="V224" s="842" t="s">
        <v>22</v>
      </c>
      <c r="W224" s="1762" t="s">
        <v>22</v>
      </c>
      <c r="X224" s="842" t="s">
        <v>22</v>
      </c>
      <c r="Y224" s="1762" t="s">
        <v>22</v>
      </c>
      <c r="Z224" s="842" t="s">
        <v>22</v>
      </c>
      <c r="AA224" s="2943" t="s">
        <v>22</v>
      </c>
      <c r="AB224" s="2940" t="s">
        <v>22</v>
      </c>
      <c r="AC224" s="1762" t="s">
        <v>22</v>
      </c>
      <c r="AD224" s="842" t="s">
        <v>22</v>
      </c>
      <c r="AE224" s="1762" t="s">
        <v>22</v>
      </c>
      <c r="AF224" s="842" t="s">
        <v>22</v>
      </c>
      <c r="AG224" s="2943" t="s">
        <v>22</v>
      </c>
      <c r="AH224" s="2940" t="s">
        <v>22</v>
      </c>
      <c r="AI224" s="1762" t="s">
        <v>22</v>
      </c>
      <c r="AJ224" s="842" t="s">
        <v>22</v>
      </c>
      <c r="AK224" s="1762" t="s">
        <v>22</v>
      </c>
      <c r="AL224" s="842" t="s">
        <v>22</v>
      </c>
      <c r="AM224" s="1549" t="s">
        <v>1043</v>
      </c>
      <c r="AN224" s="1659"/>
      <c r="AO224" s="1659"/>
      <c r="AP224" s="1659"/>
      <c r="AQ224" s="1659"/>
      <c r="AR224" s="1659"/>
      <c r="AS224" s="1659"/>
      <c r="AT224" s="1659"/>
      <c r="AU224" s="1659"/>
      <c r="AV224" s="1659"/>
      <c r="AW224" s="699"/>
      <c r="AX224" s="1659">
        <v>0</v>
      </c>
    </row>
    <row s="1874" customFormat="1" customHeight="1" ht="22.5">
      <c r="A225" s="1659"/>
      <c r="B225" s="2421" t="s">
        <v>1139</v>
      </c>
      <c r="C225" s="2422" t="s">
        <v>104</v>
      </c>
      <c r="D225" s="713" t="str">
        <f>B225&amp;".1"</f>
        <v>3.63.1</v>
      </c>
      <c r="E225" s="1691" t="s">
        <v>1039</v>
      </c>
      <c r="F225" s="2287" t="s">
        <v>390</v>
      </c>
      <c r="G225" s="2377" t="s">
        <v>22</v>
      </c>
      <c r="H225" s="842" t="s">
        <v>22</v>
      </c>
      <c r="I225" s="2377" t="s">
        <v>1059</v>
      </c>
      <c r="J225" s="842" t="s">
        <v>22</v>
      </c>
      <c r="K225" s="2377" t="s">
        <v>22</v>
      </c>
      <c r="L225" s="842" t="s">
        <v>22</v>
      </c>
      <c r="M225" s="2942" t="s">
        <v>22</v>
      </c>
      <c r="N225" s="2940" t="s">
        <v>22</v>
      </c>
      <c r="O225" s="2377" t="s">
        <v>1059</v>
      </c>
      <c r="P225" s="842" t="s">
        <v>22</v>
      </c>
      <c r="Q225" s="2377" t="s">
        <v>1059</v>
      </c>
      <c r="R225" s="842" t="s">
        <v>22</v>
      </c>
      <c r="S225" s="2377" t="s">
        <v>1059</v>
      </c>
      <c r="T225" s="842" t="s">
        <v>22</v>
      </c>
      <c r="U225" s="2377" t="s">
        <v>1059</v>
      </c>
      <c r="V225" s="842" t="s">
        <v>22</v>
      </c>
      <c r="W225" s="2377" t="s">
        <v>22</v>
      </c>
      <c r="X225" s="842" t="s">
        <v>22</v>
      </c>
      <c r="Y225" s="2377" t="s">
        <v>22</v>
      </c>
      <c r="Z225" s="842" t="s">
        <v>22</v>
      </c>
      <c r="AA225" s="2942" t="s">
        <v>22</v>
      </c>
      <c r="AB225" s="2940" t="s">
        <v>22</v>
      </c>
      <c r="AC225" s="2377" t="s">
        <v>1079</v>
      </c>
      <c r="AD225" s="842" t="s">
        <v>22</v>
      </c>
      <c r="AE225" s="2377" t="s">
        <v>1059</v>
      </c>
      <c r="AF225" s="842" t="s">
        <v>22</v>
      </c>
      <c r="AG225" s="2942" t="s">
        <v>22</v>
      </c>
      <c r="AH225" s="2940" t="s">
        <v>22</v>
      </c>
      <c r="AI225" s="2377" t="s">
        <v>1059</v>
      </c>
      <c r="AJ225" s="842" t="s">
        <v>22</v>
      </c>
      <c r="AK225" s="2377" t="s">
        <v>22</v>
      </c>
      <c r="AL225" s="842" t="s">
        <v>22</v>
      </c>
      <c r="AM225" s="1549"/>
      <c r="AN225" s="1659"/>
      <c r="AO225" s="1659"/>
      <c r="AP225" s="1659"/>
      <c r="AQ225" s="1659"/>
      <c r="AR225" s="1659"/>
      <c r="AS225" s="1659"/>
      <c r="AT225" s="1659"/>
      <c r="AU225" s="1659"/>
      <c r="AV225" s="1659"/>
      <c r="AW225" s="699"/>
      <c r="AX225" s="1659">
        <v>0</v>
      </c>
    </row>
    <row s="1874" customFormat="1" customHeight="1" ht="15">
      <c r="A226" s="1659"/>
      <c r="B226" s="2421"/>
      <c r="C226" s="2422"/>
      <c r="D226" s="713" t="str">
        <f>B225&amp;".2"</f>
        <v>3.63.2</v>
      </c>
      <c r="E226" s="1691" t="s">
        <v>1040</v>
      </c>
      <c r="F226" s="2287" t="s">
        <v>390</v>
      </c>
      <c r="G226" s="1762" t="s">
        <v>22</v>
      </c>
      <c r="H226" s="842" t="s">
        <v>22</v>
      </c>
      <c r="I226" s="1762">
        <v>46127</v>
      </c>
      <c r="J226" s="842" t="s">
        <v>22</v>
      </c>
      <c r="K226" s="1762" t="s">
        <v>22</v>
      </c>
      <c r="L226" s="842" t="s">
        <v>22</v>
      </c>
      <c r="M226" s="2943" t="s">
        <v>22</v>
      </c>
      <c r="N226" s="2940" t="s">
        <v>22</v>
      </c>
      <c r="O226" s="1762">
        <v>46136</v>
      </c>
      <c r="P226" s="842" t="s">
        <v>22</v>
      </c>
      <c r="Q226" s="1762">
        <v>46120</v>
      </c>
      <c r="R226" s="842" t="s">
        <v>22</v>
      </c>
      <c r="S226" s="1762">
        <v>46125</v>
      </c>
      <c r="T226" s="842" t="s">
        <v>22</v>
      </c>
      <c r="U226" s="1762">
        <v>46139</v>
      </c>
      <c r="V226" s="842" t="s">
        <v>22</v>
      </c>
      <c r="W226" s="1762" t="s">
        <v>22</v>
      </c>
      <c r="X226" s="842" t="s">
        <v>22</v>
      </c>
      <c r="Y226" s="1762" t="s">
        <v>22</v>
      </c>
      <c r="Z226" s="842" t="s">
        <v>22</v>
      </c>
      <c r="AA226" s="2943" t="s">
        <v>22</v>
      </c>
      <c r="AB226" s="2940" t="s">
        <v>22</v>
      </c>
      <c r="AC226" s="1762">
        <v>46142</v>
      </c>
      <c r="AD226" s="842" t="s">
        <v>22</v>
      </c>
      <c r="AE226" s="1762">
        <v>46142</v>
      </c>
      <c r="AF226" s="842" t="s">
        <v>22</v>
      </c>
      <c r="AG226" s="2943" t="s">
        <v>22</v>
      </c>
      <c r="AH226" s="2940" t="s">
        <v>22</v>
      </c>
      <c r="AI226" s="1762">
        <v>46139</v>
      </c>
      <c r="AJ226" s="842" t="s">
        <v>22</v>
      </c>
      <c r="AK226" s="1762" t="s">
        <v>22</v>
      </c>
      <c r="AL226" s="842" t="s">
        <v>22</v>
      </c>
      <c r="AM226" s="1549" t="s">
        <v>1041</v>
      </c>
      <c r="AN226" s="1659"/>
      <c r="AO226" s="1659"/>
      <c r="AP226" s="1659"/>
      <c r="AQ226" s="1659"/>
      <c r="AR226" s="1659"/>
      <c r="AS226" s="1659"/>
      <c r="AT226" s="1659"/>
      <c r="AU226" s="1659"/>
      <c r="AV226" s="1659"/>
      <c r="AW226" s="699"/>
      <c r="AX226" s="1659">
        <v>0</v>
      </c>
    </row>
    <row s="1874" customFormat="1" customHeight="1" ht="15">
      <c r="A227" s="1659"/>
      <c r="B227" s="2421"/>
      <c r="C227" s="2422"/>
      <c r="D227" s="713" t="str">
        <f>B225&amp;".3"</f>
        <v>3.63.3</v>
      </c>
      <c r="E227" s="1691" t="s">
        <v>1042</v>
      </c>
      <c r="F227" s="2287" t="s">
        <v>390</v>
      </c>
      <c r="G227" s="1762" t="s">
        <v>22</v>
      </c>
      <c r="H227" s="842" t="s">
        <v>22</v>
      </c>
      <c r="I227" s="1762" t="s">
        <v>22</v>
      </c>
      <c r="J227" s="842" t="s">
        <v>22</v>
      </c>
      <c r="K227" s="1762" t="s">
        <v>22</v>
      </c>
      <c r="L227" s="842" t="s">
        <v>22</v>
      </c>
      <c r="M227" s="2943" t="s">
        <v>22</v>
      </c>
      <c r="N227" s="2940" t="s">
        <v>22</v>
      </c>
      <c r="O227" s="1762" t="s">
        <v>22</v>
      </c>
      <c r="P227" s="842" t="s">
        <v>22</v>
      </c>
      <c r="Q227" s="1762" t="s">
        <v>22</v>
      </c>
      <c r="R227" s="842" t="s">
        <v>22</v>
      </c>
      <c r="S227" s="1762"/>
      <c r="T227" s="842" t="s">
        <v>22</v>
      </c>
      <c r="U227" s="1762" t="s">
        <v>22</v>
      </c>
      <c r="V227" s="842" t="s">
        <v>22</v>
      </c>
      <c r="W227" s="1762" t="s">
        <v>22</v>
      </c>
      <c r="X227" s="842" t="s">
        <v>22</v>
      </c>
      <c r="Y227" s="1762" t="s">
        <v>22</v>
      </c>
      <c r="Z227" s="842" t="s">
        <v>22</v>
      </c>
      <c r="AA227" s="2943" t="s">
        <v>22</v>
      </c>
      <c r="AB227" s="2940" t="s">
        <v>22</v>
      </c>
      <c r="AC227" s="1762" t="s">
        <v>22</v>
      </c>
      <c r="AD227" s="842" t="s">
        <v>22</v>
      </c>
      <c r="AE227" s="1762" t="s">
        <v>22</v>
      </c>
      <c r="AF227" s="842" t="s">
        <v>22</v>
      </c>
      <c r="AG227" s="2943" t="s">
        <v>22</v>
      </c>
      <c r="AH227" s="2940" t="s">
        <v>22</v>
      </c>
      <c r="AI227" s="1762" t="s">
        <v>22</v>
      </c>
      <c r="AJ227" s="842" t="s">
        <v>22</v>
      </c>
      <c r="AK227" s="1762" t="s">
        <v>22</v>
      </c>
      <c r="AL227" s="842" t="s">
        <v>22</v>
      </c>
      <c r="AM227" s="1549" t="s">
        <v>1043</v>
      </c>
      <c r="AN227" s="1659"/>
      <c r="AO227" s="1659"/>
      <c r="AP227" s="1659"/>
      <c r="AQ227" s="1659"/>
      <c r="AR227" s="1659"/>
      <c r="AS227" s="1659"/>
      <c r="AT227" s="1659"/>
      <c r="AU227" s="1659"/>
      <c r="AV227" s="1659"/>
      <c r="AW227" s="699"/>
      <c r="AX227" s="1659">
        <v>0</v>
      </c>
    </row>
    <row s="1874" customFormat="1" customHeight="1" ht="22.5">
      <c r="A228" s="1659"/>
      <c r="B228" s="2421" t="s">
        <v>1140</v>
      </c>
      <c r="C228" s="2422" t="s">
        <v>104</v>
      </c>
      <c r="D228" s="713" t="str">
        <f>B228&amp;".1"</f>
        <v>3.64.1</v>
      </c>
      <c r="E228" s="1691" t="s">
        <v>1039</v>
      </c>
      <c r="F228" s="2287" t="s">
        <v>390</v>
      </c>
      <c r="G228" s="2377" t="s">
        <v>22</v>
      </c>
      <c r="H228" s="842" t="s">
        <v>22</v>
      </c>
      <c r="I228" s="2377" t="s">
        <v>1059</v>
      </c>
      <c r="J228" s="842" t="s">
        <v>22</v>
      </c>
      <c r="K228" s="2377" t="s">
        <v>22</v>
      </c>
      <c r="L228" s="842" t="s">
        <v>22</v>
      </c>
      <c r="M228" s="2942" t="s">
        <v>22</v>
      </c>
      <c r="N228" s="2940" t="s">
        <v>22</v>
      </c>
      <c r="O228" s="2377" t="s">
        <v>1059</v>
      </c>
      <c r="P228" s="842" t="s">
        <v>22</v>
      </c>
      <c r="Q228" s="2377" t="s">
        <v>1059</v>
      </c>
      <c r="R228" s="842" t="s">
        <v>22</v>
      </c>
      <c r="S228" s="2377" t="s">
        <v>1059</v>
      </c>
      <c r="T228" s="842" t="s">
        <v>22</v>
      </c>
      <c r="U228" s="2377" t="s">
        <v>1059</v>
      </c>
      <c r="V228" s="842" t="s">
        <v>22</v>
      </c>
      <c r="W228" s="2377" t="s">
        <v>22</v>
      </c>
      <c r="X228" s="842" t="s">
        <v>22</v>
      </c>
      <c r="Y228" s="2377" t="s">
        <v>22</v>
      </c>
      <c r="Z228" s="842" t="s">
        <v>22</v>
      </c>
      <c r="AA228" s="2942" t="s">
        <v>22</v>
      </c>
      <c r="AB228" s="2940" t="s">
        <v>22</v>
      </c>
      <c r="AC228" s="2377" t="s">
        <v>1059</v>
      </c>
      <c r="AD228" s="842" t="s">
        <v>22</v>
      </c>
      <c r="AE228" s="2377" t="s">
        <v>1059</v>
      </c>
      <c r="AF228" s="842" t="s">
        <v>22</v>
      </c>
      <c r="AG228" s="2942" t="s">
        <v>22</v>
      </c>
      <c r="AH228" s="2940" t="s">
        <v>22</v>
      </c>
      <c r="AI228" s="2377" t="s">
        <v>1141</v>
      </c>
      <c r="AJ228" s="842" t="s">
        <v>22</v>
      </c>
      <c r="AK228" s="2377" t="s">
        <v>22</v>
      </c>
      <c r="AL228" s="842" t="s">
        <v>22</v>
      </c>
      <c r="AM228" s="1549"/>
      <c r="AN228" s="1659"/>
      <c r="AO228" s="1659"/>
      <c r="AP228" s="1659"/>
      <c r="AQ228" s="1659"/>
      <c r="AR228" s="1659"/>
      <c r="AS228" s="1659"/>
      <c r="AT228" s="1659"/>
      <c r="AU228" s="1659"/>
      <c r="AV228" s="1659"/>
      <c r="AW228" s="699"/>
      <c r="AX228" s="1659">
        <v>0</v>
      </c>
    </row>
    <row s="1874" customFormat="1" customHeight="1" ht="15">
      <c r="A229" s="1659"/>
      <c r="B229" s="2421"/>
      <c r="C229" s="2422"/>
      <c r="D229" s="713" t="str">
        <f>B228&amp;".2"</f>
        <v>3.64.2</v>
      </c>
      <c r="E229" s="1691" t="s">
        <v>1040</v>
      </c>
      <c r="F229" s="2287" t="s">
        <v>390</v>
      </c>
      <c r="G229" s="1762" t="s">
        <v>22</v>
      </c>
      <c r="H229" s="842" t="s">
        <v>22</v>
      </c>
      <c r="I229" s="1762">
        <v>46127</v>
      </c>
      <c r="J229" s="842" t="s">
        <v>22</v>
      </c>
      <c r="K229" s="1762" t="s">
        <v>22</v>
      </c>
      <c r="L229" s="842" t="s">
        <v>22</v>
      </c>
      <c r="M229" s="2943" t="s">
        <v>22</v>
      </c>
      <c r="N229" s="2940" t="s">
        <v>22</v>
      </c>
      <c r="O229" s="1762">
        <v>46137</v>
      </c>
      <c r="P229" s="842" t="s">
        <v>22</v>
      </c>
      <c r="Q229" s="1762">
        <v>46121</v>
      </c>
      <c r="R229" s="842" t="s">
        <v>22</v>
      </c>
      <c r="S229" s="1762">
        <v>46125</v>
      </c>
      <c r="T229" s="842" t="s">
        <v>22</v>
      </c>
      <c r="U229" s="1762">
        <v>46139</v>
      </c>
      <c r="V229" s="842" t="s">
        <v>22</v>
      </c>
      <c r="W229" s="1762" t="s">
        <v>22</v>
      </c>
      <c r="X229" s="842" t="s">
        <v>22</v>
      </c>
      <c r="Y229" s="1762" t="s">
        <v>22</v>
      </c>
      <c r="Z229" s="842" t="s">
        <v>22</v>
      </c>
      <c r="AA229" s="2943" t="s">
        <v>22</v>
      </c>
      <c r="AB229" s="2940" t="s">
        <v>22</v>
      </c>
      <c r="AC229" s="1762">
        <v>46142</v>
      </c>
      <c r="AD229" s="842" t="s">
        <v>22</v>
      </c>
      <c r="AE229" s="1762">
        <v>46142</v>
      </c>
      <c r="AF229" s="842" t="s">
        <v>22</v>
      </c>
      <c r="AG229" s="2943" t="s">
        <v>22</v>
      </c>
      <c r="AH229" s="2940" t="s">
        <v>22</v>
      </c>
      <c r="AI229" s="1762">
        <v>46140</v>
      </c>
      <c r="AJ229" s="842" t="s">
        <v>22</v>
      </c>
      <c r="AK229" s="1762" t="s">
        <v>22</v>
      </c>
      <c r="AL229" s="842" t="s">
        <v>22</v>
      </c>
      <c r="AM229" s="1549" t="s">
        <v>1041</v>
      </c>
      <c r="AN229" s="1659"/>
      <c r="AO229" s="1659"/>
      <c r="AP229" s="1659"/>
      <c r="AQ229" s="1659"/>
      <c r="AR229" s="1659"/>
      <c r="AS229" s="1659"/>
      <c r="AT229" s="1659"/>
      <c r="AU229" s="1659"/>
      <c r="AV229" s="1659"/>
      <c r="AW229" s="699"/>
      <c r="AX229" s="1659">
        <v>0</v>
      </c>
    </row>
    <row s="1874" customFormat="1" customHeight="1" ht="15">
      <c r="A230" s="1659"/>
      <c r="B230" s="2421"/>
      <c r="C230" s="2422"/>
      <c r="D230" s="713" t="str">
        <f>B228&amp;".3"</f>
        <v>3.64.3</v>
      </c>
      <c r="E230" s="1691" t="s">
        <v>1042</v>
      </c>
      <c r="F230" s="2287" t="s">
        <v>390</v>
      </c>
      <c r="G230" s="1762" t="s">
        <v>22</v>
      </c>
      <c r="H230" s="842" t="s">
        <v>22</v>
      </c>
      <c r="I230" s="1762" t="s">
        <v>22</v>
      </c>
      <c r="J230" s="842" t="s">
        <v>22</v>
      </c>
      <c r="K230" s="1762" t="s">
        <v>22</v>
      </c>
      <c r="L230" s="842" t="s">
        <v>22</v>
      </c>
      <c r="M230" s="2943" t="s">
        <v>22</v>
      </c>
      <c r="N230" s="2940" t="s">
        <v>22</v>
      </c>
      <c r="O230" s="1762" t="s">
        <v>22</v>
      </c>
      <c r="P230" s="842" t="s">
        <v>22</v>
      </c>
      <c r="Q230" s="1762" t="s">
        <v>22</v>
      </c>
      <c r="R230" s="842" t="s">
        <v>22</v>
      </c>
      <c r="S230" s="1762"/>
      <c r="T230" s="842" t="s">
        <v>22</v>
      </c>
      <c r="U230" s="1762" t="s">
        <v>22</v>
      </c>
      <c r="V230" s="842" t="s">
        <v>22</v>
      </c>
      <c r="W230" s="1762" t="s">
        <v>22</v>
      </c>
      <c r="X230" s="842" t="s">
        <v>22</v>
      </c>
      <c r="Y230" s="1762" t="s">
        <v>22</v>
      </c>
      <c r="Z230" s="842" t="s">
        <v>22</v>
      </c>
      <c r="AA230" s="2943" t="s">
        <v>22</v>
      </c>
      <c r="AB230" s="2940" t="s">
        <v>22</v>
      </c>
      <c r="AC230" s="1762" t="s">
        <v>22</v>
      </c>
      <c r="AD230" s="842" t="s">
        <v>22</v>
      </c>
      <c r="AE230" s="1762" t="s">
        <v>22</v>
      </c>
      <c r="AF230" s="842" t="s">
        <v>22</v>
      </c>
      <c r="AG230" s="2943" t="s">
        <v>22</v>
      </c>
      <c r="AH230" s="2940" t="s">
        <v>22</v>
      </c>
      <c r="AI230" s="1762" t="s">
        <v>22</v>
      </c>
      <c r="AJ230" s="842" t="s">
        <v>22</v>
      </c>
      <c r="AK230" s="1762" t="s">
        <v>22</v>
      </c>
      <c r="AL230" s="842" t="s">
        <v>22</v>
      </c>
      <c r="AM230" s="1549" t="s">
        <v>1043</v>
      </c>
      <c r="AN230" s="1659"/>
      <c r="AO230" s="1659"/>
      <c r="AP230" s="1659"/>
      <c r="AQ230" s="1659"/>
      <c r="AR230" s="1659"/>
      <c r="AS230" s="1659"/>
      <c r="AT230" s="1659"/>
      <c r="AU230" s="1659"/>
      <c r="AV230" s="1659"/>
      <c r="AW230" s="699"/>
      <c r="AX230" s="1659">
        <v>0</v>
      </c>
    </row>
    <row s="1874" customFormat="1" customHeight="1" ht="22.5">
      <c r="A231" s="1659"/>
      <c r="B231" s="2421" t="s">
        <v>1142</v>
      </c>
      <c r="C231" s="2422" t="s">
        <v>104</v>
      </c>
      <c r="D231" s="713" t="str">
        <f>B231&amp;".1"</f>
        <v>3.65.1</v>
      </c>
      <c r="E231" s="1691" t="s">
        <v>1039</v>
      </c>
      <c r="F231" s="2287" t="s">
        <v>390</v>
      </c>
      <c r="G231" s="2377" t="s">
        <v>22</v>
      </c>
      <c r="H231" s="842" t="s">
        <v>22</v>
      </c>
      <c r="I231" s="2377" t="s">
        <v>1059</v>
      </c>
      <c r="J231" s="842" t="s">
        <v>22</v>
      </c>
      <c r="K231" s="2377" t="s">
        <v>22</v>
      </c>
      <c r="L231" s="842" t="s">
        <v>22</v>
      </c>
      <c r="M231" s="2942" t="s">
        <v>22</v>
      </c>
      <c r="N231" s="2940" t="s">
        <v>22</v>
      </c>
      <c r="O231" s="2377" t="s">
        <v>1059</v>
      </c>
      <c r="P231" s="842" t="s">
        <v>22</v>
      </c>
      <c r="Q231" s="2377" t="s">
        <v>1059</v>
      </c>
      <c r="R231" s="842" t="s">
        <v>22</v>
      </c>
      <c r="S231" s="2377" t="s">
        <v>1059</v>
      </c>
      <c r="T231" s="842" t="s">
        <v>22</v>
      </c>
      <c r="U231" s="2377" t="s">
        <v>1059</v>
      </c>
      <c r="V231" s="842" t="s">
        <v>22</v>
      </c>
      <c r="W231" s="2377" t="s">
        <v>22</v>
      </c>
      <c r="X231" s="842" t="s">
        <v>22</v>
      </c>
      <c r="Y231" s="2377" t="s">
        <v>22</v>
      </c>
      <c r="Z231" s="842" t="s">
        <v>22</v>
      </c>
      <c r="AA231" s="2942" t="s">
        <v>22</v>
      </c>
      <c r="AB231" s="2940" t="s">
        <v>22</v>
      </c>
      <c r="AC231" s="2377" t="s">
        <v>1059</v>
      </c>
      <c r="AD231" s="842" t="s">
        <v>22</v>
      </c>
      <c r="AE231" s="2377" t="s">
        <v>1074</v>
      </c>
      <c r="AF231" s="842" t="s">
        <v>22</v>
      </c>
      <c r="AG231" s="2942" t="s">
        <v>22</v>
      </c>
      <c r="AH231" s="2940" t="s">
        <v>22</v>
      </c>
      <c r="AI231" s="2377" t="s">
        <v>1059</v>
      </c>
      <c r="AJ231" s="842" t="s">
        <v>22</v>
      </c>
      <c r="AK231" s="2377" t="s">
        <v>22</v>
      </c>
      <c r="AL231" s="842" t="s">
        <v>22</v>
      </c>
      <c r="AM231" s="1549"/>
      <c r="AN231" s="1659"/>
      <c r="AO231" s="1659"/>
      <c r="AP231" s="1659"/>
      <c r="AQ231" s="1659"/>
      <c r="AR231" s="1659"/>
      <c r="AS231" s="1659"/>
      <c r="AT231" s="1659"/>
      <c r="AU231" s="1659"/>
      <c r="AV231" s="1659"/>
      <c r="AW231" s="699"/>
      <c r="AX231" s="1659">
        <v>0</v>
      </c>
    </row>
    <row s="1874" customFormat="1" customHeight="1" ht="15">
      <c r="A232" s="1659"/>
      <c r="B232" s="2421"/>
      <c r="C232" s="2422"/>
      <c r="D232" s="713" t="str">
        <f>B231&amp;".2"</f>
        <v>3.65.2</v>
      </c>
      <c r="E232" s="1691" t="s">
        <v>1040</v>
      </c>
      <c r="F232" s="2287" t="s">
        <v>390</v>
      </c>
      <c r="G232" s="1762" t="s">
        <v>22</v>
      </c>
      <c r="H232" s="842" t="s">
        <v>22</v>
      </c>
      <c r="I232" s="1762">
        <v>46127</v>
      </c>
      <c r="J232" s="842" t="s">
        <v>22</v>
      </c>
      <c r="K232" s="1762" t="s">
        <v>22</v>
      </c>
      <c r="L232" s="842" t="s">
        <v>22</v>
      </c>
      <c r="M232" s="2943" t="s">
        <v>22</v>
      </c>
      <c r="N232" s="2940" t="s">
        <v>22</v>
      </c>
      <c r="O232" s="1762">
        <v>46139</v>
      </c>
      <c r="P232" s="842" t="s">
        <v>22</v>
      </c>
      <c r="Q232" s="1762">
        <v>46122</v>
      </c>
      <c r="R232" s="842" t="s">
        <v>22</v>
      </c>
      <c r="S232" s="1762">
        <v>46125</v>
      </c>
      <c r="T232" s="842" t="s">
        <v>22</v>
      </c>
      <c r="U232" s="1762">
        <v>46140</v>
      </c>
      <c r="V232" s="842" t="s">
        <v>22</v>
      </c>
      <c r="W232" s="1762" t="s">
        <v>22</v>
      </c>
      <c r="X232" s="842" t="s">
        <v>22</v>
      </c>
      <c r="Y232" s="1762" t="s">
        <v>22</v>
      </c>
      <c r="Z232" s="842" t="s">
        <v>22</v>
      </c>
      <c r="AA232" s="2943" t="s">
        <v>22</v>
      </c>
      <c r="AB232" s="2940" t="s">
        <v>22</v>
      </c>
      <c r="AC232" s="1762">
        <v>46142</v>
      </c>
      <c r="AD232" s="842" t="s">
        <v>22</v>
      </c>
      <c r="AE232" s="1762">
        <v>46146</v>
      </c>
      <c r="AF232" s="842" t="s">
        <v>22</v>
      </c>
      <c r="AG232" s="2943" t="s">
        <v>22</v>
      </c>
      <c r="AH232" s="2940" t="s">
        <v>22</v>
      </c>
      <c r="AI232" s="1762">
        <v>46141</v>
      </c>
      <c r="AJ232" s="842" t="s">
        <v>22</v>
      </c>
      <c r="AK232" s="1762" t="s">
        <v>22</v>
      </c>
      <c r="AL232" s="842" t="s">
        <v>22</v>
      </c>
      <c r="AM232" s="1549" t="s">
        <v>1041</v>
      </c>
      <c r="AN232" s="1659"/>
      <c r="AO232" s="1659"/>
      <c r="AP232" s="1659"/>
      <c r="AQ232" s="1659"/>
      <c r="AR232" s="1659"/>
      <c r="AS232" s="1659"/>
      <c r="AT232" s="1659"/>
      <c r="AU232" s="1659"/>
      <c r="AV232" s="1659"/>
      <c r="AW232" s="699"/>
      <c r="AX232" s="1659">
        <v>0</v>
      </c>
    </row>
    <row s="1874" customFormat="1" customHeight="1" ht="15">
      <c r="A233" s="1659"/>
      <c r="B233" s="2421"/>
      <c r="C233" s="2422"/>
      <c r="D233" s="713" t="str">
        <f>B231&amp;".3"</f>
        <v>3.65.3</v>
      </c>
      <c r="E233" s="1691" t="s">
        <v>1042</v>
      </c>
      <c r="F233" s="2287" t="s">
        <v>390</v>
      </c>
      <c r="G233" s="1762" t="s">
        <v>22</v>
      </c>
      <c r="H233" s="842" t="s">
        <v>22</v>
      </c>
      <c r="I233" s="1762" t="s">
        <v>22</v>
      </c>
      <c r="J233" s="842" t="s">
        <v>22</v>
      </c>
      <c r="K233" s="1762" t="s">
        <v>22</v>
      </c>
      <c r="L233" s="842" t="s">
        <v>22</v>
      </c>
      <c r="M233" s="2943" t="s">
        <v>22</v>
      </c>
      <c r="N233" s="2940" t="s">
        <v>22</v>
      </c>
      <c r="O233" s="1762" t="s">
        <v>22</v>
      </c>
      <c r="P233" s="842" t="s">
        <v>22</v>
      </c>
      <c r="Q233" s="1762" t="s">
        <v>22</v>
      </c>
      <c r="R233" s="842" t="s">
        <v>22</v>
      </c>
      <c r="S233" s="1762"/>
      <c r="T233" s="842" t="s">
        <v>22</v>
      </c>
      <c r="U233" s="1762" t="s">
        <v>22</v>
      </c>
      <c r="V233" s="842" t="s">
        <v>22</v>
      </c>
      <c r="W233" s="1762" t="s">
        <v>22</v>
      </c>
      <c r="X233" s="842" t="s">
        <v>22</v>
      </c>
      <c r="Y233" s="1762" t="s">
        <v>22</v>
      </c>
      <c r="Z233" s="842" t="s">
        <v>22</v>
      </c>
      <c r="AA233" s="2943" t="s">
        <v>22</v>
      </c>
      <c r="AB233" s="2940" t="s">
        <v>22</v>
      </c>
      <c r="AC233" s="1762" t="s">
        <v>22</v>
      </c>
      <c r="AD233" s="842" t="s">
        <v>22</v>
      </c>
      <c r="AE233" s="1762" t="s">
        <v>22</v>
      </c>
      <c r="AF233" s="842" t="s">
        <v>22</v>
      </c>
      <c r="AG233" s="2943" t="s">
        <v>22</v>
      </c>
      <c r="AH233" s="2940" t="s">
        <v>22</v>
      </c>
      <c r="AI233" s="1762" t="s">
        <v>22</v>
      </c>
      <c r="AJ233" s="842" t="s">
        <v>22</v>
      </c>
      <c r="AK233" s="1762" t="s">
        <v>22</v>
      </c>
      <c r="AL233" s="842" t="s">
        <v>22</v>
      </c>
      <c r="AM233" s="1549" t="s">
        <v>1043</v>
      </c>
      <c r="AN233" s="1659"/>
      <c r="AO233" s="1659"/>
      <c r="AP233" s="1659"/>
      <c r="AQ233" s="1659"/>
      <c r="AR233" s="1659"/>
      <c r="AS233" s="1659"/>
      <c r="AT233" s="1659"/>
      <c r="AU233" s="1659"/>
      <c r="AV233" s="1659"/>
      <c r="AW233" s="699"/>
      <c r="AX233" s="1659">
        <v>0</v>
      </c>
    </row>
    <row s="1874" customFormat="1" customHeight="1" ht="22.5">
      <c r="A234" s="1659"/>
      <c r="B234" s="2421" t="s">
        <v>1143</v>
      </c>
      <c r="C234" s="2422" t="s">
        <v>104</v>
      </c>
      <c r="D234" s="713" t="str">
        <f>B234&amp;".1"</f>
        <v>3.66.1</v>
      </c>
      <c r="E234" s="1691" t="s">
        <v>1039</v>
      </c>
      <c r="F234" s="2287" t="s">
        <v>390</v>
      </c>
      <c r="G234" s="2377" t="s">
        <v>22</v>
      </c>
      <c r="H234" s="842" t="s">
        <v>22</v>
      </c>
      <c r="I234" s="2377" t="s">
        <v>1059</v>
      </c>
      <c r="J234" s="842" t="s">
        <v>22</v>
      </c>
      <c r="K234" s="2377" t="s">
        <v>22</v>
      </c>
      <c r="L234" s="842" t="s">
        <v>22</v>
      </c>
      <c r="M234" s="2942" t="s">
        <v>22</v>
      </c>
      <c r="N234" s="2940" t="s">
        <v>22</v>
      </c>
      <c r="O234" s="2377" t="s">
        <v>1059</v>
      </c>
      <c r="P234" s="842" t="s">
        <v>22</v>
      </c>
      <c r="Q234" s="2377" t="s">
        <v>1059</v>
      </c>
      <c r="R234" s="842" t="s">
        <v>22</v>
      </c>
      <c r="S234" s="2377" t="s">
        <v>1059</v>
      </c>
      <c r="T234" s="842" t="s">
        <v>22</v>
      </c>
      <c r="U234" s="2377" t="s">
        <v>1059</v>
      </c>
      <c r="V234" s="842" t="s">
        <v>22</v>
      </c>
      <c r="W234" s="2377" t="s">
        <v>22</v>
      </c>
      <c r="X234" s="842" t="s">
        <v>22</v>
      </c>
      <c r="Y234" s="2377" t="s">
        <v>22</v>
      </c>
      <c r="Z234" s="842" t="s">
        <v>22</v>
      </c>
      <c r="AA234" s="2942" t="s">
        <v>22</v>
      </c>
      <c r="AB234" s="2940" t="s">
        <v>22</v>
      </c>
      <c r="AC234" s="2377" t="s">
        <v>1059</v>
      </c>
      <c r="AD234" s="842" t="s">
        <v>22</v>
      </c>
      <c r="AE234" s="2377" t="s">
        <v>1059</v>
      </c>
      <c r="AF234" s="842" t="s">
        <v>22</v>
      </c>
      <c r="AG234" s="2942" t="s">
        <v>22</v>
      </c>
      <c r="AH234" s="2940" t="s">
        <v>22</v>
      </c>
      <c r="AI234" s="2377" t="s">
        <v>1144</v>
      </c>
      <c r="AJ234" s="842" t="s">
        <v>22</v>
      </c>
      <c r="AK234" s="2377" t="s">
        <v>22</v>
      </c>
      <c r="AL234" s="842" t="s">
        <v>22</v>
      </c>
      <c r="AM234" s="1549"/>
      <c r="AN234" s="1659"/>
      <c r="AO234" s="1659"/>
      <c r="AP234" s="1659"/>
      <c r="AQ234" s="1659"/>
      <c r="AR234" s="1659"/>
      <c r="AS234" s="1659"/>
      <c r="AT234" s="1659"/>
      <c r="AU234" s="1659"/>
      <c r="AV234" s="1659"/>
      <c r="AW234" s="699"/>
      <c r="AX234" s="1659">
        <v>0</v>
      </c>
    </row>
    <row s="1874" customFormat="1" customHeight="1" ht="15">
      <c r="A235" s="1659"/>
      <c r="B235" s="2421"/>
      <c r="C235" s="2422"/>
      <c r="D235" s="713" t="str">
        <f>B234&amp;".2"</f>
        <v>3.66.2</v>
      </c>
      <c r="E235" s="1691" t="s">
        <v>1040</v>
      </c>
      <c r="F235" s="2287" t="s">
        <v>390</v>
      </c>
      <c r="G235" s="1762" t="s">
        <v>22</v>
      </c>
      <c r="H235" s="842" t="s">
        <v>22</v>
      </c>
      <c r="I235" s="1762">
        <v>46127</v>
      </c>
      <c r="J235" s="842" t="s">
        <v>22</v>
      </c>
      <c r="K235" s="1762" t="s">
        <v>22</v>
      </c>
      <c r="L235" s="842" t="s">
        <v>22</v>
      </c>
      <c r="M235" s="2943" t="s">
        <v>22</v>
      </c>
      <c r="N235" s="2940" t="s">
        <v>22</v>
      </c>
      <c r="O235" s="1762">
        <v>46139</v>
      </c>
      <c r="P235" s="842" t="s">
        <v>22</v>
      </c>
      <c r="Q235" s="1762">
        <v>46122</v>
      </c>
      <c r="R235" s="842" t="s">
        <v>22</v>
      </c>
      <c r="S235" s="1762">
        <v>46132</v>
      </c>
      <c r="T235" s="842" t="s">
        <v>22</v>
      </c>
      <c r="U235" s="1762">
        <v>46140</v>
      </c>
      <c r="V235" s="842" t="s">
        <v>22</v>
      </c>
      <c r="W235" s="1762" t="s">
        <v>22</v>
      </c>
      <c r="X235" s="842" t="s">
        <v>22</v>
      </c>
      <c r="Y235" s="1762" t="s">
        <v>22</v>
      </c>
      <c r="Z235" s="842" t="s">
        <v>22</v>
      </c>
      <c r="AA235" s="2943" t="s">
        <v>22</v>
      </c>
      <c r="AB235" s="2940" t="s">
        <v>22</v>
      </c>
      <c r="AC235" s="1762">
        <v>46142</v>
      </c>
      <c r="AD235" s="842" t="s">
        <v>22</v>
      </c>
      <c r="AE235" s="1762">
        <v>46146</v>
      </c>
      <c r="AF235" s="842" t="s">
        <v>22</v>
      </c>
      <c r="AG235" s="2943" t="s">
        <v>22</v>
      </c>
      <c r="AH235" s="2940" t="s">
        <v>22</v>
      </c>
      <c r="AI235" s="1762">
        <v>46141</v>
      </c>
      <c r="AJ235" s="842" t="s">
        <v>22</v>
      </c>
      <c r="AK235" s="1762" t="s">
        <v>22</v>
      </c>
      <c r="AL235" s="842" t="s">
        <v>22</v>
      </c>
      <c r="AM235" s="1549" t="s">
        <v>1041</v>
      </c>
      <c r="AN235" s="1659"/>
      <c r="AO235" s="1659"/>
      <c r="AP235" s="1659"/>
      <c r="AQ235" s="1659"/>
      <c r="AR235" s="1659"/>
      <c r="AS235" s="1659"/>
      <c r="AT235" s="1659"/>
      <c r="AU235" s="1659"/>
      <c r="AV235" s="1659"/>
      <c r="AW235" s="699"/>
      <c r="AX235" s="1659">
        <v>0</v>
      </c>
    </row>
    <row s="1874" customFormat="1" customHeight="1" ht="15">
      <c r="A236" s="1659"/>
      <c r="B236" s="2421"/>
      <c r="C236" s="2422"/>
      <c r="D236" s="713" t="str">
        <f>B234&amp;".3"</f>
        <v>3.66.3</v>
      </c>
      <c r="E236" s="1691" t="s">
        <v>1042</v>
      </c>
      <c r="F236" s="2287" t="s">
        <v>390</v>
      </c>
      <c r="G236" s="1762" t="s">
        <v>22</v>
      </c>
      <c r="H236" s="842" t="s">
        <v>22</v>
      </c>
      <c r="I236" s="1762" t="s">
        <v>22</v>
      </c>
      <c r="J236" s="842" t="s">
        <v>22</v>
      </c>
      <c r="K236" s="1762" t="s">
        <v>22</v>
      </c>
      <c r="L236" s="842" t="s">
        <v>22</v>
      </c>
      <c r="M236" s="2943" t="s">
        <v>22</v>
      </c>
      <c r="N236" s="2940" t="s">
        <v>22</v>
      </c>
      <c r="O236" s="1762" t="s">
        <v>22</v>
      </c>
      <c r="P236" s="842" t="s">
        <v>22</v>
      </c>
      <c r="Q236" s="1762" t="s">
        <v>22</v>
      </c>
      <c r="R236" s="842" t="s">
        <v>22</v>
      </c>
      <c r="S236" s="1762"/>
      <c r="T236" s="842" t="s">
        <v>22</v>
      </c>
      <c r="U236" s="1762" t="s">
        <v>22</v>
      </c>
      <c r="V236" s="842" t="s">
        <v>22</v>
      </c>
      <c r="W236" s="1762" t="s">
        <v>22</v>
      </c>
      <c r="X236" s="842" t="s">
        <v>22</v>
      </c>
      <c r="Y236" s="1762" t="s">
        <v>22</v>
      </c>
      <c r="Z236" s="842" t="s">
        <v>22</v>
      </c>
      <c r="AA236" s="2943" t="s">
        <v>22</v>
      </c>
      <c r="AB236" s="2940" t="s">
        <v>22</v>
      </c>
      <c r="AC236" s="1762" t="s">
        <v>22</v>
      </c>
      <c r="AD236" s="842" t="s">
        <v>22</v>
      </c>
      <c r="AE236" s="1762" t="s">
        <v>22</v>
      </c>
      <c r="AF236" s="842" t="s">
        <v>22</v>
      </c>
      <c r="AG236" s="2943" t="s">
        <v>22</v>
      </c>
      <c r="AH236" s="2940" t="s">
        <v>22</v>
      </c>
      <c r="AI236" s="1762" t="s">
        <v>22</v>
      </c>
      <c r="AJ236" s="842" t="s">
        <v>22</v>
      </c>
      <c r="AK236" s="1762" t="s">
        <v>22</v>
      </c>
      <c r="AL236" s="842" t="s">
        <v>22</v>
      </c>
      <c r="AM236" s="1549" t="s">
        <v>1043</v>
      </c>
      <c r="AN236" s="1659"/>
      <c r="AO236" s="1659"/>
      <c r="AP236" s="1659"/>
      <c r="AQ236" s="1659"/>
      <c r="AR236" s="1659"/>
      <c r="AS236" s="1659"/>
      <c r="AT236" s="1659"/>
      <c r="AU236" s="1659"/>
      <c r="AV236" s="1659"/>
      <c r="AW236" s="699"/>
      <c r="AX236" s="1659">
        <v>0</v>
      </c>
    </row>
    <row s="1874" customFormat="1" customHeight="1" ht="22.5">
      <c r="A237" s="1659"/>
      <c r="B237" s="2421" t="s">
        <v>1145</v>
      </c>
      <c r="C237" s="2422" t="s">
        <v>104</v>
      </c>
      <c r="D237" s="713" t="str">
        <f>B237&amp;".1"</f>
        <v>3.67.1</v>
      </c>
      <c r="E237" s="1691" t="s">
        <v>1039</v>
      </c>
      <c r="F237" s="2287" t="s">
        <v>390</v>
      </c>
      <c r="G237" s="2377" t="s">
        <v>22</v>
      </c>
      <c r="H237" s="842" t="s">
        <v>22</v>
      </c>
      <c r="I237" s="2377" t="s">
        <v>1059</v>
      </c>
      <c r="J237" s="842" t="s">
        <v>22</v>
      </c>
      <c r="K237" s="2377" t="s">
        <v>22</v>
      </c>
      <c r="L237" s="842" t="s">
        <v>22</v>
      </c>
      <c r="M237" s="2942" t="s">
        <v>22</v>
      </c>
      <c r="N237" s="2940" t="s">
        <v>22</v>
      </c>
      <c r="O237" s="2377" t="s">
        <v>1059</v>
      </c>
      <c r="P237" s="842" t="s">
        <v>22</v>
      </c>
      <c r="Q237" s="2377" t="s">
        <v>1059</v>
      </c>
      <c r="R237" s="842" t="s">
        <v>22</v>
      </c>
      <c r="S237" s="2377" t="s">
        <v>1059</v>
      </c>
      <c r="T237" s="842" t="s">
        <v>22</v>
      </c>
      <c r="U237" s="2377" t="s">
        <v>1059</v>
      </c>
      <c r="V237" s="842" t="s">
        <v>22</v>
      </c>
      <c r="W237" s="2377" t="s">
        <v>22</v>
      </c>
      <c r="X237" s="842" t="s">
        <v>22</v>
      </c>
      <c r="Y237" s="2377" t="s">
        <v>22</v>
      </c>
      <c r="Z237" s="842" t="s">
        <v>22</v>
      </c>
      <c r="AA237" s="2942" t="s">
        <v>22</v>
      </c>
      <c r="AB237" s="2940" t="s">
        <v>22</v>
      </c>
      <c r="AC237" s="2377" t="s">
        <v>1059</v>
      </c>
      <c r="AD237" s="842" t="s">
        <v>22</v>
      </c>
      <c r="AE237" s="2377" t="s">
        <v>1064</v>
      </c>
      <c r="AF237" s="842" t="s">
        <v>22</v>
      </c>
      <c r="AG237" s="2942" t="s">
        <v>22</v>
      </c>
      <c r="AH237" s="2940" t="s">
        <v>22</v>
      </c>
      <c r="AI237" s="2377" t="s">
        <v>1059</v>
      </c>
      <c r="AJ237" s="842" t="s">
        <v>22</v>
      </c>
      <c r="AK237" s="2377" t="s">
        <v>22</v>
      </c>
      <c r="AL237" s="842" t="s">
        <v>22</v>
      </c>
      <c r="AM237" s="1549"/>
      <c r="AN237" s="1659"/>
      <c r="AO237" s="1659"/>
      <c r="AP237" s="1659"/>
      <c r="AQ237" s="1659"/>
      <c r="AR237" s="1659"/>
      <c r="AS237" s="1659"/>
      <c r="AT237" s="1659"/>
      <c r="AU237" s="1659"/>
      <c r="AV237" s="1659"/>
      <c r="AW237" s="699"/>
      <c r="AX237" s="1659">
        <v>0</v>
      </c>
    </row>
    <row s="1874" customFormat="1" customHeight="1" ht="15">
      <c r="A238" s="1659"/>
      <c r="B238" s="2421"/>
      <c r="C238" s="2422"/>
      <c r="D238" s="713" t="str">
        <f>B237&amp;".2"</f>
        <v>3.67.2</v>
      </c>
      <c r="E238" s="1691" t="s">
        <v>1040</v>
      </c>
      <c r="F238" s="2287" t="s">
        <v>390</v>
      </c>
      <c r="G238" s="1762" t="s">
        <v>22</v>
      </c>
      <c r="H238" s="842" t="s">
        <v>22</v>
      </c>
      <c r="I238" s="1762">
        <v>46127</v>
      </c>
      <c r="J238" s="842" t="s">
        <v>22</v>
      </c>
      <c r="K238" s="1762" t="s">
        <v>22</v>
      </c>
      <c r="L238" s="842" t="s">
        <v>22</v>
      </c>
      <c r="M238" s="2943" t="s">
        <v>22</v>
      </c>
      <c r="N238" s="2940" t="s">
        <v>22</v>
      </c>
      <c r="O238" s="1762">
        <v>46139</v>
      </c>
      <c r="P238" s="842" t="s">
        <v>22</v>
      </c>
      <c r="Q238" s="1762">
        <v>46122</v>
      </c>
      <c r="R238" s="842" t="s">
        <v>22</v>
      </c>
      <c r="S238" s="1762">
        <v>46132</v>
      </c>
      <c r="T238" s="842" t="s">
        <v>22</v>
      </c>
      <c r="U238" s="1762">
        <v>46141</v>
      </c>
      <c r="V238" s="842" t="s">
        <v>22</v>
      </c>
      <c r="W238" s="1762" t="s">
        <v>22</v>
      </c>
      <c r="X238" s="842" t="s">
        <v>22</v>
      </c>
      <c r="Y238" s="1762" t="s">
        <v>22</v>
      </c>
      <c r="Z238" s="842" t="s">
        <v>22</v>
      </c>
      <c r="AA238" s="2943" t="s">
        <v>22</v>
      </c>
      <c r="AB238" s="2940" t="s">
        <v>22</v>
      </c>
      <c r="AC238" s="1762">
        <v>46142</v>
      </c>
      <c r="AD238" s="842" t="s">
        <v>22</v>
      </c>
      <c r="AE238" s="1762">
        <v>46146</v>
      </c>
      <c r="AF238" s="842" t="s">
        <v>22</v>
      </c>
      <c r="AG238" s="2943" t="s">
        <v>22</v>
      </c>
      <c r="AH238" s="2940" t="s">
        <v>22</v>
      </c>
      <c r="AI238" s="1762">
        <v>46141</v>
      </c>
      <c r="AJ238" s="842" t="s">
        <v>22</v>
      </c>
      <c r="AK238" s="1762" t="s">
        <v>22</v>
      </c>
      <c r="AL238" s="842" t="s">
        <v>22</v>
      </c>
      <c r="AM238" s="1549" t="s">
        <v>1041</v>
      </c>
      <c r="AN238" s="1659"/>
      <c r="AO238" s="1659"/>
      <c r="AP238" s="1659"/>
      <c r="AQ238" s="1659"/>
      <c r="AR238" s="1659"/>
      <c r="AS238" s="1659"/>
      <c r="AT238" s="1659"/>
      <c r="AU238" s="1659"/>
      <c r="AV238" s="1659"/>
      <c r="AW238" s="699"/>
      <c r="AX238" s="1659">
        <v>0</v>
      </c>
    </row>
    <row s="1874" customFormat="1" customHeight="1" ht="15">
      <c r="A239" s="1659"/>
      <c r="B239" s="2421"/>
      <c r="C239" s="2422"/>
      <c r="D239" s="713" t="str">
        <f>B237&amp;".3"</f>
        <v>3.67.3</v>
      </c>
      <c r="E239" s="1691" t="s">
        <v>1042</v>
      </c>
      <c r="F239" s="2287" t="s">
        <v>390</v>
      </c>
      <c r="G239" s="1762" t="s">
        <v>22</v>
      </c>
      <c r="H239" s="842" t="s">
        <v>22</v>
      </c>
      <c r="I239" s="1762" t="s">
        <v>22</v>
      </c>
      <c r="J239" s="842" t="s">
        <v>22</v>
      </c>
      <c r="K239" s="1762" t="s">
        <v>22</v>
      </c>
      <c r="L239" s="842" t="s">
        <v>22</v>
      </c>
      <c r="M239" s="2943" t="s">
        <v>22</v>
      </c>
      <c r="N239" s="2940" t="s">
        <v>22</v>
      </c>
      <c r="O239" s="1762" t="s">
        <v>22</v>
      </c>
      <c r="P239" s="842" t="s">
        <v>22</v>
      </c>
      <c r="Q239" s="1762" t="s">
        <v>22</v>
      </c>
      <c r="R239" s="842" t="s">
        <v>22</v>
      </c>
      <c r="S239" s="1762"/>
      <c r="T239" s="842" t="s">
        <v>22</v>
      </c>
      <c r="U239" s="1762" t="s">
        <v>22</v>
      </c>
      <c r="V239" s="842" t="s">
        <v>22</v>
      </c>
      <c r="W239" s="1762" t="s">
        <v>22</v>
      </c>
      <c r="X239" s="842" t="s">
        <v>22</v>
      </c>
      <c r="Y239" s="1762" t="s">
        <v>22</v>
      </c>
      <c r="Z239" s="842" t="s">
        <v>22</v>
      </c>
      <c r="AA239" s="2943" t="s">
        <v>22</v>
      </c>
      <c r="AB239" s="2940" t="s">
        <v>22</v>
      </c>
      <c r="AC239" s="1762" t="s">
        <v>22</v>
      </c>
      <c r="AD239" s="842" t="s">
        <v>22</v>
      </c>
      <c r="AE239" s="1762" t="s">
        <v>22</v>
      </c>
      <c r="AF239" s="842" t="s">
        <v>22</v>
      </c>
      <c r="AG239" s="2943" t="s">
        <v>22</v>
      </c>
      <c r="AH239" s="2940" t="s">
        <v>22</v>
      </c>
      <c r="AI239" s="1762" t="s">
        <v>22</v>
      </c>
      <c r="AJ239" s="842" t="s">
        <v>22</v>
      </c>
      <c r="AK239" s="1762" t="s">
        <v>22</v>
      </c>
      <c r="AL239" s="842" t="s">
        <v>22</v>
      </c>
      <c r="AM239" s="1549" t="s">
        <v>1043</v>
      </c>
      <c r="AN239" s="1659"/>
      <c r="AO239" s="1659"/>
      <c r="AP239" s="1659"/>
      <c r="AQ239" s="1659"/>
      <c r="AR239" s="1659"/>
      <c r="AS239" s="1659"/>
      <c r="AT239" s="1659"/>
      <c r="AU239" s="1659"/>
      <c r="AV239" s="1659"/>
      <c r="AW239" s="699"/>
      <c r="AX239" s="1659">
        <v>0</v>
      </c>
    </row>
    <row s="1874" customFormat="1" customHeight="1" ht="22.5">
      <c r="A240" s="1659"/>
      <c r="B240" s="2421" t="s">
        <v>1146</v>
      </c>
      <c r="C240" s="2422" t="s">
        <v>104</v>
      </c>
      <c r="D240" s="713" t="str">
        <f>B240&amp;".1"</f>
        <v>3.68.1</v>
      </c>
      <c r="E240" s="1691" t="s">
        <v>1039</v>
      </c>
      <c r="F240" s="2287" t="s">
        <v>390</v>
      </c>
      <c r="G240" s="2377" t="s">
        <v>22</v>
      </c>
      <c r="H240" s="842" t="s">
        <v>22</v>
      </c>
      <c r="I240" s="2377" t="s">
        <v>1059</v>
      </c>
      <c r="J240" s="842" t="s">
        <v>22</v>
      </c>
      <c r="K240" s="2377" t="s">
        <v>22</v>
      </c>
      <c r="L240" s="842" t="s">
        <v>22</v>
      </c>
      <c r="M240" s="2942" t="s">
        <v>22</v>
      </c>
      <c r="N240" s="2940" t="s">
        <v>22</v>
      </c>
      <c r="O240" s="2377" t="s">
        <v>1059</v>
      </c>
      <c r="P240" s="842" t="s">
        <v>22</v>
      </c>
      <c r="Q240" s="2377" t="s">
        <v>1059</v>
      </c>
      <c r="R240" s="842" t="s">
        <v>22</v>
      </c>
      <c r="S240" s="2377" t="s">
        <v>1059</v>
      </c>
      <c r="T240" s="842" t="s">
        <v>22</v>
      </c>
      <c r="U240" s="2377" t="s">
        <v>1059</v>
      </c>
      <c r="V240" s="842" t="s">
        <v>22</v>
      </c>
      <c r="W240" s="2377" t="s">
        <v>22</v>
      </c>
      <c r="X240" s="842" t="s">
        <v>22</v>
      </c>
      <c r="Y240" s="2377" t="s">
        <v>22</v>
      </c>
      <c r="Z240" s="842" t="s">
        <v>22</v>
      </c>
      <c r="AA240" s="2942" t="s">
        <v>22</v>
      </c>
      <c r="AB240" s="2940" t="s">
        <v>22</v>
      </c>
      <c r="AC240" s="2377" t="s">
        <v>1059</v>
      </c>
      <c r="AD240" s="842" t="s">
        <v>22</v>
      </c>
      <c r="AE240" s="2377" t="s">
        <v>1059</v>
      </c>
      <c r="AF240" s="842" t="s">
        <v>22</v>
      </c>
      <c r="AG240" s="2942" t="s">
        <v>22</v>
      </c>
      <c r="AH240" s="2940" t="s">
        <v>22</v>
      </c>
      <c r="AI240" s="2377" t="s">
        <v>1059</v>
      </c>
      <c r="AJ240" s="842" t="s">
        <v>22</v>
      </c>
      <c r="AK240" s="2377" t="s">
        <v>22</v>
      </c>
      <c r="AL240" s="842" t="s">
        <v>22</v>
      </c>
      <c r="AM240" s="1549"/>
      <c r="AN240" s="1659"/>
      <c r="AO240" s="1659"/>
      <c r="AP240" s="1659"/>
      <c r="AQ240" s="1659"/>
      <c r="AR240" s="1659"/>
      <c r="AS240" s="1659"/>
      <c r="AT240" s="1659"/>
      <c r="AU240" s="1659"/>
      <c r="AV240" s="1659"/>
      <c r="AW240" s="699"/>
      <c r="AX240" s="1659">
        <v>0</v>
      </c>
    </row>
    <row s="1874" customFormat="1" customHeight="1" ht="15">
      <c r="A241" s="1659"/>
      <c r="B241" s="2421"/>
      <c r="C241" s="2422"/>
      <c r="D241" s="713" t="str">
        <f>B240&amp;".2"</f>
        <v>3.68.2</v>
      </c>
      <c r="E241" s="1691" t="s">
        <v>1040</v>
      </c>
      <c r="F241" s="2287" t="s">
        <v>390</v>
      </c>
      <c r="G241" s="1762" t="s">
        <v>22</v>
      </c>
      <c r="H241" s="842" t="s">
        <v>22</v>
      </c>
      <c r="I241" s="1762">
        <v>46127</v>
      </c>
      <c r="J241" s="842" t="s">
        <v>22</v>
      </c>
      <c r="K241" s="1762" t="s">
        <v>22</v>
      </c>
      <c r="L241" s="842" t="s">
        <v>22</v>
      </c>
      <c r="M241" s="2943" t="s">
        <v>22</v>
      </c>
      <c r="N241" s="2940" t="s">
        <v>22</v>
      </c>
      <c r="O241" s="1762">
        <v>46139</v>
      </c>
      <c r="P241" s="842" t="s">
        <v>22</v>
      </c>
      <c r="Q241" s="1762">
        <v>46122</v>
      </c>
      <c r="R241" s="842" t="s">
        <v>22</v>
      </c>
      <c r="S241" s="1762">
        <v>46132</v>
      </c>
      <c r="T241" s="842" t="s">
        <v>22</v>
      </c>
      <c r="U241" s="1762">
        <v>46142</v>
      </c>
      <c r="V241" s="842" t="s">
        <v>22</v>
      </c>
      <c r="W241" s="1762" t="s">
        <v>22</v>
      </c>
      <c r="X241" s="842" t="s">
        <v>22</v>
      </c>
      <c r="Y241" s="1762" t="s">
        <v>22</v>
      </c>
      <c r="Z241" s="842" t="s">
        <v>22</v>
      </c>
      <c r="AA241" s="2943" t="s">
        <v>22</v>
      </c>
      <c r="AB241" s="2940" t="s">
        <v>22</v>
      </c>
      <c r="AC241" s="1762">
        <v>46142</v>
      </c>
      <c r="AD241" s="842" t="s">
        <v>22</v>
      </c>
      <c r="AE241" s="1762">
        <v>46146</v>
      </c>
      <c r="AF241" s="842" t="s">
        <v>22</v>
      </c>
      <c r="AG241" s="2943" t="s">
        <v>22</v>
      </c>
      <c r="AH241" s="2940" t="s">
        <v>22</v>
      </c>
      <c r="AI241" s="1762">
        <v>46141</v>
      </c>
      <c r="AJ241" s="842" t="s">
        <v>22</v>
      </c>
      <c r="AK241" s="1762" t="s">
        <v>22</v>
      </c>
      <c r="AL241" s="842" t="s">
        <v>22</v>
      </c>
      <c r="AM241" s="1549" t="s">
        <v>1041</v>
      </c>
      <c r="AN241" s="1659"/>
      <c r="AO241" s="1659"/>
      <c r="AP241" s="1659"/>
      <c r="AQ241" s="1659"/>
      <c r="AR241" s="1659"/>
      <c r="AS241" s="1659"/>
      <c r="AT241" s="1659"/>
      <c r="AU241" s="1659"/>
      <c r="AV241" s="1659"/>
      <c r="AW241" s="699"/>
      <c r="AX241" s="1659">
        <v>0</v>
      </c>
    </row>
    <row s="1874" customFormat="1" customHeight="1" ht="15">
      <c r="A242" s="1659"/>
      <c r="B242" s="2421"/>
      <c r="C242" s="2422"/>
      <c r="D242" s="713" t="str">
        <f>B240&amp;".3"</f>
        <v>3.68.3</v>
      </c>
      <c r="E242" s="1691" t="s">
        <v>1042</v>
      </c>
      <c r="F242" s="2287" t="s">
        <v>390</v>
      </c>
      <c r="G242" s="1762" t="s">
        <v>22</v>
      </c>
      <c r="H242" s="842" t="s">
        <v>22</v>
      </c>
      <c r="I242" s="1762" t="s">
        <v>22</v>
      </c>
      <c r="J242" s="842" t="s">
        <v>22</v>
      </c>
      <c r="K242" s="1762" t="s">
        <v>22</v>
      </c>
      <c r="L242" s="842" t="s">
        <v>22</v>
      </c>
      <c r="M242" s="2943" t="s">
        <v>22</v>
      </c>
      <c r="N242" s="2940" t="s">
        <v>22</v>
      </c>
      <c r="O242" s="1762" t="s">
        <v>22</v>
      </c>
      <c r="P242" s="842" t="s">
        <v>22</v>
      </c>
      <c r="Q242" s="1762" t="s">
        <v>22</v>
      </c>
      <c r="R242" s="842" t="s">
        <v>22</v>
      </c>
      <c r="S242" s="1762"/>
      <c r="T242" s="842" t="s">
        <v>22</v>
      </c>
      <c r="U242" s="1762" t="s">
        <v>22</v>
      </c>
      <c r="V242" s="842" t="s">
        <v>22</v>
      </c>
      <c r="W242" s="1762" t="s">
        <v>22</v>
      </c>
      <c r="X242" s="842" t="s">
        <v>22</v>
      </c>
      <c r="Y242" s="1762" t="s">
        <v>22</v>
      </c>
      <c r="Z242" s="842" t="s">
        <v>22</v>
      </c>
      <c r="AA242" s="2943" t="s">
        <v>22</v>
      </c>
      <c r="AB242" s="2940" t="s">
        <v>22</v>
      </c>
      <c r="AC242" s="1762" t="s">
        <v>22</v>
      </c>
      <c r="AD242" s="842" t="s">
        <v>22</v>
      </c>
      <c r="AE242" s="1762" t="s">
        <v>22</v>
      </c>
      <c r="AF242" s="842" t="s">
        <v>22</v>
      </c>
      <c r="AG242" s="2943" t="s">
        <v>22</v>
      </c>
      <c r="AH242" s="2940" t="s">
        <v>22</v>
      </c>
      <c r="AI242" s="1762" t="s">
        <v>22</v>
      </c>
      <c r="AJ242" s="842" t="s">
        <v>22</v>
      </c>
      <c r="AK242" s="1762" t="s">
        <v>22</v>
      </c>
      <c r="AL242" s="842" t="s">
        <v>22</v>
      </c>
      <c r="AM242" s="1549" t="s">
        <v>1043</v>
      </c>
      <c r="AN242" s="1659"/>
      <c r="AO242" s="1659"/>
      <c r="AP242" s="1659"/>
      <c r="AQ242" s="1659"/>
      <c r="AR242" s="1659"/>
      <c r="AS242" s="1659"/>
      <c r="AT242" s="1659"/>
      <c r="AU242" s="1659"/>
      <c r="AV242" s="1659"/>
      <c r="AW242" s="699"/>
      <c r="AX242" s="1659">
        <v>0</v>
      </c>
    </row>
    <row s="1874" customFormat="1" customHeight="1" ht="22.5">
      <c r="A243" s="1659"/>
      <c r="B243" s="2421" t="s">
        <v>1147</v>
      </c>
      <c r="C243" s="2422" t="s">
        <v>104</v>
      </c>
      <c r="D243" s="713" t="str">
        <f>B243&amp;".1"</f>
        <v>3.69.1</v>
      </c>
      <c r="E243" s="1691" t="s">
        <v>1039</v>
      </c>
      <c r="F243" s="2287" t="s">
        <v>390</v>
      </c>
      <c r="G243" s="2377" t="s">
        <v>22</v>
      </c>
      <c r="H243" s="842" t="s">
        <v>22</v>
      </c>
      <c r="I243" s="2377" t="s">
        <v>1059</v>
      </c>
      <c r="J243" s="842" t="s">
        <v>22</v>
      </c>
      <c r="K243" s="2377" t="s">
        <v>22</v>
      </c>
      <c r="L243" s="842" t="s">
        <v>22</v>
      </c>
      <c r="M243" s="2942" t="s">
        <v>22</v>
      </c>
      <c r="N243" s="2940" t="s">
        <v>22</v>
      </c>
      <c r="O243" s="2377" t="s">
        <v>1059</v>
      </c>
      <c r="P243" s="842" t="s">
        <v>22</v>
      </c>
      <c r="Q243" s="2377" t="s">
        <v>1059</v>
      </c>
      <c r="R243" s="842" t="s">
        <v>22</v>
      </c>
      <c r="S243" s="2377" t="s">
        <v>1059</v>
      </c>
      <c r="T243" s="842" t="s">
        <v>22</v>
      </c>
      <c r="U243" s="2377" t="s">
        <v>1059</v>
      </c>
      <c r="V243" s="842" t="s">
        <v>22</v>
      </c>
      <c r="W243" s="2377" t="s">
        <v>22</v>
      </c>
      <c r="X243" s="842" t="s">
        <v>22</v>
      </c>
      <c r="Y243" s="2377" t="s">
        <v>22</v>
      </c>
      <c r="Z243" s="842" t="s">
        <v>22</v>
      </c>
      <c r="AA243" s="2942" t="s">
        <v>22</v>
      </c>
      <c r="AB243" s="2940" t="s">
        <v>22</v>
      </c>
      <c r="AC243" s="2377" t="s">
        <v>1064</v>
      </c>
      <c r="AD243" s="842" t="s">
        <v>22</v>
      </c>
      <c r="AE243" s="2377" t="s">
        <v>1148</v>
      </c>
      <c r="AF243" s="842" t="s">
        <v>22</v>
      </c>
      <c r="AG243" s="2942" t="s">
        <v>22</v>
      </c>
      <c r="AH243" s="2940" t="s">
        <v>22</v>
      </c>
      <c r="AI243" s="2377" t="s">
        <v>1059</v>
      </c>
      <c r="AJ243" s="842" t="s">
        <v>22</v>
      </c>
      <c r="AK243" s="2377" t="s">
        <v>22</v>
      </c>
      <c r="AL243" s="842" t="s">
        <v>22</v>
      </c>
      <c r="AM243" s="1549"/>
      <c r="AN243" s="1659"/>
      <c r="AO243" s="1659"/>
      <c r="AP243" s="1659"/>
      <c r="AQ243" s="1659"/>
      <c r="AR243" s="1659"/>
      <c r="AS243" s="1659"/>
      <c r="AT243" s="1659"/>
      <c r="AU243" s="1659"/>
      <c r="AV243" s="1659"/>
      <c r="AW243" s="699"/>
      <c r="AX243" s="1659">
        <v>0</v>
      </c>
    </row>
    <row s="1874" customFormat="1" customHeight="1" ht="15">
      <c r="A244" s="1659"/>
      <c r="B244" s="2421"/>
      <c r="C244" s="2422"/>
      <c r="D244" s="713" t="str">
        <f>B243&amp;".2"</f>
        <v>3.69.2</v>
      </c>
      <c r="E244" s="1691" t="s">
        <v>1040</v>
      </c>
      <c r="F244" s="2287" t="s">
        <v>390</v>
      </c>
      <c r="G244" s="1762" t="s">
        <v>22</v>
      </c>
      <c r="H244" s="842" t="s">
        <v>22</v>
      </c>
      <c r="I244" s="1762">
        <v>46128</v>
      </c>
      <c r="J244" s="842" t="s">
        <v>22</v>
      </c>
      <c r="K244" s="1762" t="s">
        <v>22</v>
      </c>
      <c r="L244" s="842" t="s">
        <v>22</v>
      </c>
      <c r="M244" s="2943" t="s">
        <v>22</v>
      </c>
      <c r="N244" s="2940" t="s">
        <v>22</v>
      </c>
      <c r="O244" s="1762">
        <v>46140</v>
      </c>
      <c r="P244" s="842" t="s">
        <v>22</v>
      </c>
      <c r="Q244" s="1762">
        <v>46122</v>
      </c>
      <c r="R244" s="842" t="s">
        <v>22</v>
      </c>
      <c r="S244" s="1762">
        <v>46132</v>
      </c>
      <c r="T244" s="842" t="s">
        <v>22</v>
      </c>
      <c r="U244" s="1762">
        <v>46142</v>
      </c>
      <c r="V244" s="842" t="s">
        <v>22</v>
      </c>
      <c r="W244" s="1762" t="s">
        <v>22</v>
      </c>
      <c r="X244" s="842" t="s">
        <v>22</v>
      </c>
      <c r="Y244" s="1762" t="s">
        <v>22</v>
      </c>
      <c r="Z244" s="842" t="s">
        <v>22</v>
      </c>
      <c r="AA244" s="2943" t="s">
        <v>22</v>
      </c>
      <c r="AB244" s="2940" t="s">
        <v>22</v>
      </c>
      <c r="AC244" s="1762">
        <v>46142</v>
      </c>
      <c r="AD244" s="842" t="s">
        <v>22</v>
      </c>
      <c r="AE244" s="1762">
        <v>46146</v>
      </c>
      <c r="AF244" s="842" t="s">
        <v>22</v>
      </c>
      <c r="AG244" s="2943" t="s">
        <v>22</v>
      </c>
      <c r="AH244" s="2940" t="s">
        <v>22</v>
      </c>
      <c r="AI244" s="1762">
        <v>46141</v>
      </c>
      <c r="AJ244" s="842" t="s">
        <v>22</v>
      </c>
      <c r="AK244" s="1762" t="s">
        <v>22</v>
      </c>
      <c r="AL244" s="842" t="s">
        <v>22</v>
      </c>
      <c r="AM244" s="1549" t="s">
        <v>1041</v>
      </c>
      <c r="AN244" s="1659"/>
      <c r="AO244" s="1659"/>
      <c r="AP244" s="1659"/>
      <c r="AQ244" s="1659"/>
      <c r="AR244" s="1659"/>
      <c r="AS244" s="1659"/>
      <c r="AT244" s="1659"/>
      <c r="AU244" s="1659"/>
      <c r="AV244" s="1659"/>
      <c r="AW244" s="699"/>
      <c r="AX244" s="1659">
        <v>0</v>
      </c>
    </row>
    <row s="1874" customFormat="1" customHeight="1" ht="15">
      <c r="A245" s="1659"/>
      <c r="B245" s="2421"/>
      <c r="C245" s="2422"/>
      <c r="D245" s="713" t="str">
        <f>B243&amp;".3"</f>
        <v>3.69.3</v>
      </c>
      <c r="E245" s="1691" t="s">
        <v>1042</v>
      </c>
      <c r="F245" s="2287" t="s">
        <v>390</v>
      </c>
      <c r="G245" s="1762" t="s">
        <v>22</v>
      </c>
      <c r="H245" s="842" t="s">
        <v>22</v>
      </c>
      <c r="I245" s="1762" t="s">
        <v>22</v>
      </c>
      <c r="J245" s="842" t="s">
        <v>22</v>
      </c>
      <c r="K245" s="1762" t="s">
        <v>22</v>
      </c>
      <c r="L245" s="842" t="s">
        <v>22</v>
      </c>
      <c r="M245" s="2943" t="s">
        <v>22</v>
      </c>
      <c r="N245" s="2940" t="s">
        <v>22</v>
      </c>
      <c r="O245" s="1762" t="s">
        <v>22</v>
      </c>
      <c r="P245" s="842" t="s">
        <v>22</v>
      </c>
      <c r="Q245" s="1762" t="s">
        <v>22</v>
      </c>
      <c r="R245" s="842" t="s">
        <v>22</v>
      </c>
      <c r="S245" s="1762"/>
      <c r="T245" s="842" t="s">
        <v>22</v>
      </c>
      <c r="U245" s="1762" t="s">
        <v>22</v>
      </c>
      <c r="V245" s="842" t="s">
        <v>22</v>
      </c>
      <c r="W245" s="1762" t="s">
        <v>22</v>
      </c>
      <c r="X245" s="842" t="s">
        <v>22</v>
      </c>
      <c r="Y245" s="1762" t="s">
        <v>22</v>
      </c>
      <c r="Z245" s="842" t="s">
        <v>22</v>
      </c>
      <c r="AA245" s="2943" t="s">
        <v>22</v>
      </c>
      <c r="AB245" s="2940" t="s">
        <v>22</v>
      </c>
      <c r="AC245" s="1762" t="s">
        <v>22</v>
      </c>
      <c r="AD245" s="842" t="s">
        <v>22</v>
      </c>
      <c r="AE245" s="1762" t="s">
        <v>22</v>
      </c>
      <c r="AF245" s="842" t="s">
        <v>22</v>
      </c>
      <c r="AG245" s="2943" t="s">
        <v>22</v>
      </c>
      <c r="AH245" s="2940" t="s">
        <v>22</v>
      </c>
      <c r="AI245" s="1762" t="s">
        <v>22</v>
      </c>
      <c r="AJ245" s="842" t="s">
        <v>22</v>
      </c>
      <c r="AK245" s="1762" t="s">
        <v>22</v>
      </c>
      <c r="AL245" s="842" t="s">
        <v>22</v>
      </c>
      <c r="AM245" s="1549" t="s">
        <v>1043</v>
      </c>
      <c r="AN245" s="1659"/>
      <c r="AO245" s="1659"/>
      <c r="AP245" s="1659"/>
      <c r="AQ245" s="1659"/>
      <c r="AR245" s="1659"/>
      <c r="AS245" s="1659"/>
      <c r="AT245" s="1659"/>
      <c r="AU245" s="1659"/>
      <c r="AV245" s="1659"/>
      <c r="AW245" s="699"/>
      <c r="AX245" s="1659">
        <v>0</v>
      </c>
    </row>
    <row s="1874" customFormat="1" customHeight="1" ht="22.5">
      <c r="A246" s="1659"/>
      <c r="B246" s="2421" t="s">
        <v>1149</v>
      </c>
      <c r="C246" s="2422" t="s">
        <v>104</v>
      </c>
      <c r="D246" s="713" t="str">
        <f>B246&amp;".1"</f>
        <v>3.70.1</v>
      </c>
      <c r="E246" s="1691" t="s">
        <v>1039</v>
      </c>
      <c r="F246" s="2287" t="s">
        <v>390</v>
      </c>
      <c r="G246" s="2377" t="s">
        <v>22</v>
      </c>
      <c r="H246" s="842" t="s">
        <v>22</v>
      </c>
      <c r="I246" s="2377" t="s">
        <v>1059</v>
      </c>
      <c r="J246" s="842" t="s">
        <v>22</v>
      </c>
      <c r="K246" s="2377" t="s">
        <v>22</v>
      </c>
      <c r="L246" s="842" t="s">
        <v>22</v>
      </c>
      <c r="M246" s="2942" t="s">
        <v>22</v>
      </c>
      <c r="N246" s="2940" t="s">
        <v>22</v>
      </c>
      <c r="O246" s="2377" t="s">
        <v>1059</v>
      </c>
      <c r="P246" s="842" t="s">
        <v>22</v>
      </c>
      <c r="Q246" s="2377" t="s">
        <v>1059</v>
      </c>
      <c r="R246" s="842" t="s">
        <v>22</v>
      </c>
      <c r="S246" s="2377" t="s">
        <v>1059</v>
      </c>
      <c r="T246" s="842" t="s">
        <v>22</v>
      </c>
      <c r="U246" s="2377" t="s">
        <v>1059</v>
      </c>
      <c r="V246" s="842" t="s">
        <v>22</v>
      </c>
      <c r="W246" s="2377" t="s">
        <v>22</v>
      </c>
      <c r="X246" s="842" t="s">
        <v>22</v>
      </c>
      <c r="Y246" s="2377" t="s">
        <v>22</v>
      </c>
      <c r="Z246" s="842" t="s">
        <v>22</v>
      </c>
      <c r="AA246" s="2942" t="s">
        <v>22</v>
      </c>
      <c r="AB246" s="2940" t="s">
        <v>22</v>
      </c>
      <c r="AC246" s="2377" t="s">
        <v>1064</v>
      </c>
      <c r="AD246" s="842" t="s">
        <v>22</v>
      </c>
      <c r="AE246" s="2377" t="s">
        <v>1079</v>
      </c>
      <c r="AF246" s="842" t="s">
        <v>22</v>
      </c>
      <c r="AG246" s="2942" t="s">
        <v>22</v>
      </c>
      <c r="AH246" s="2940" t="s">
        <v>22</v>
      </c>
      <c r="AI246" s="2377" t="s">
        <v>1059</v>
      </c>
      <c r="AJ246" s="842" t="s">
        <v>22</v>
      </c>
      <c r="AK246" s="2377" t="s">
        <v>22</v>
      </c>
      <c r="AL246" s="842" t="s">
        <v>22</v>
      </c>
      <c r="AM246" s="1549"/>
      <c r="AN246" s="1659"/>
      <c r="AO246" s="1659"/>
      <c r="AP246" s="1659"/>
      <c r="AQ246" s="1659"/>
      <c r="AR246" s="1659"/>
      <c r="AS246" s="1659"/>
      <c r="AT246" s="1659"/>
      <c r="AU246" s="1659"/>
      <c r="AV246" s="1659"/>
      <c r="AW246" s="699"/>
      <c r="AX246" s="1659">
        <v>0</v>
      </c>
    </row>
    <row s="1874" customFormat="1" customHeight="1" ht="15">
      <c r="A247" s="1659"/>
      <c r="B247" s="2421"/>
      <c r="C247" s="2422"/>
      <c r="D247" s="713" t="str">
        <f>B246&amp;".2"</f>
        <v>3.70.2</v>
      </c>
      <c r="E247" s="1691" t="s">
        <v>1040</v>
      </c>
      <c r="F247" s="2287" t="s">
        <v>390</v>
      </c>
      <c r="G247" s="1762" t="s">
        <v>22</v>
      </c>
      <c r="H247" s="842" t="s">
        <v>22</v>
      </c>
      <c r="I247" s="1762">
        <v>46129</v>
      </c>
      <c r="J247" s="842" t="s">
        <v>22</v>
      </c>
      <c r="K247" s="1762" t="s">
        <v>22</v>
      </c>
      <c r="L247" s="842" t="s">
        <v>22</v>
      </c>
      <c r="M247" s="2943" t="s">
        <v>22</v>
      </c>
      <c r="N247" s="2940" t="s">
        <v>22</v>
      </c>
      <c r="O247" s="1762">
        <v>46140</v>
      </c>
      <c r="P247" s="842" t="s">
        <v>22</v>
      </c>
      <c r="Q247" s="1762">
        <v>46122</v>
      </c>
      <c r="R247" s="842" t="s">
        <v>22</v>
      </c>
      <c r="S247" s="1762">
        <v>46132</v>
      </c>
      <c r="T247" s="842" t="s">
        <v>22</v>
      </c>
      <c r="U247" s="1762">
        <v>46142</v>
      </c>
      <c r="V247" s="842" t="s">
        <v>22</v>
      </c>
      <c r="W247" s="1762" t="s">
        <v>22</v>
      </c>
      <c r="X247" s="842" t="s">
        <v>22</v>
      </c>
      <c r="Y247" s="1762" t="s">
        <v>22</v>
      </c>
      <c r="Z247" s="842" t="s">
        <v>22</v>
      </c>
      <c r="AA247" s="2943" t="s">
        <v>22</v>
      </c>
      <c r="AB247" s="2940" t="s">
        <v>22</v>
      </c>
      <c r="AC247" s="1762">
        <v>46142</v>
      </c>
      <c r="AD247" s="842" t="s">
        <v>22</v>
      </c>
      <c r="AE247" s="1762">
        <v>46147</v>
      </c>
      <c r="AF247" s="842" t="s">
        <v>22</v>
      </c>
      <c r="AG247" s="2943" t="s">
        <v>22</v>
      </c>
      <c r="AH247" s="2940" t="s">
        <v>22</v>
      </c>
      <c r="AI247" s="1762">
        <v>46141</v>
      </c>
      <c r="AJ247" s="842" t="s">
        <v>22</v>
      </c>
      <c r="AK247" s="1762" t="s">
        <v>22</v>
      </c>
      <c r="AL247" s="842" t="s">
        <v>22</v>
      </c>
      <c r="AM247" s="1549" t="s">
        <v>1041</v>
      </c>
      <c r="AN247" s="1659"/>
      <c r="AO247" s="1659"/>
      <c r="AP247" s="1659"/>
      <c r="AQ247" s="1659"/>
      <c r="AR247" s="1659"/>
      <c r="AS247" s="1659"/>
      <c r="AT247" s="1659"/>
      <c r="AU247" s="1659"/>
      <c r="AV247" s="1659"/>
      <c r="AW247" s="699"/>
      <c r="AX247" s="1659">
        <v>0</v>
      </c>
    </row>
    <row s="1874" customFormat="1" customHeight="1" ht="15">
      <c r="A248" s="1659"/>
      <c r="B248" s="2421"/>
      <c r="C248" s="2422"/>
      <c r="D248" s="713" t="str">
        <f>B246&amp;".3"</f>
        <v>3.70.3</v>
      </c>
      <c r="E248" s="1691" t="s">
        <v>1042</v>
      </c>
      <c r="F248" s="2287" t="s">
        <v>390</v>
      </c>
      <c r="G248" s="1762" t="s">
        <v>22</v>
      </c>
      <c r="H248" s="842" t="s">
        <v>22</v>
      </c>
      <c r="I248" s="1762" t="s">
        <v>22</v>
      </c>
      <c r="J248" s="842" t="s">
        <v>22</v>
      </c>
      <c r="K248" s="1762" t="s">
        <v>22</v>
      </c>
      <c r="L248" s="842" t="s">
        <v>22</v>
      </c>
      <c r="M248" s="2943" t="s">
        <v>22</v>
      </c>
      <c r="N248" s="2940" t="s">
        <v>22</v>
      </c>
      <c r="O248" s="1762" t="s">
        <v>22</v>
      </c>
      <c r="P248" s="842" t="s">
        <v>22</v>
      </c>
      <c r="Q248" s="1762" t="s">
        <v>22</v>
      </c>
      <c r="R248" s="842" t="s">
        <v>22</v>
      </c>
      <c r="S248" s="1762"/>
      <c r="T248" s="842" t="s">
        <v>22</v>
      </c>
      <c r="U248" s="1762" t="s">
        <v>22</v>
      </c>
      <c r="V248" s="842" t="s">
        <v>22</v>
      </c>
      <c r="W248" s="1762" t="s">
        <v>22</v>
      </c>
      <c r="X248" s="842" t="s">
        <v>22</v>
      </c>
      <c r="Y248" s="1762" t="s">
        <v>22</v>
      </c>
      <c r="Z248" s="842" t="s">
        <v>22</v>
      </c>
      <c r="AA248" s="2943" t="s">
        <v>22</v>
      </c>
      <c r="AB248" s="2940" t="s">
        <v>22</v>
      </c>
      <c r="AC248" s="1762" t="s">
        <v>22</v>
      </c>
      <c r="AD248" s="842" t="s">
        <v>22</v>
      </c>
      <c r="AE248" s="1762" t="s">
        <v>22</v>
      </c>
      <c r="AF248" s="842" t="s">
        <v>22</v>
      </c>
      <c r="AG248" s="2943" t="s">
        <v>22</v>
      </c>
      <c r="AH248" s="2940" t="s">
        <v>22</v>
      </c>
      <c r="AI248" s="1762" t="s">
        <v>22</v>
      </c>
      <c r="AJ248" s="842" t="s">
        <v>22</v>
      </c>
      <c r="AK248" s="1762" t="s">
        <v>22</v>
      </c>
      <c r="AL248" s="842" t="s">
        <v>22</v>
      </c>
      <c r="AM248" s="1549" t="s">
        <v>1043</v>
      </c>
      <c r="AN248" s="1659"/>
      <c r="AO248" s="1659"/>
      <c r="AP248" s="1659"/>
      <c r="AQ248" s="1659"/>
      <c r="AR248" s="1659"/>
      <c r="AS248" s="1659"/>
      <c r="AT248" s="1659"/>
      <c r="AU248" s="1659"/>
      <c r="AV248" s="1659"/>
      <c r="AW248" s="699"/>
      <c r="AX248" s="1659">
        <v>0</v>
      </c>
    </row>
    <row s="1874" customFormat="1" customHeight="1" ht="22.5">
      <c r="A249" s="1659"/>
      <c r="B249" s="2421" t="s">
        <v>1150</v>
      </c>
      <c r="C249" s="2422" t="s">
        <v>104</v>
      </c>
      <c r="D249" s="713" t="str">
        <f>B249&amp;".1"</f>
        <v>3.71.1</v>
      </c>
      <c r="E249" s="1691" t="s">
        <v>1039</v>
      </c>
      <c r="F249" s="2287" t="s">
        <v>390</v>
      </c>
      <c r="G249" s="2377" t="s">
        <v>22</v>
      </c>
      <c r="H249" s="842" t="s">
        <v>22</v>
      </c>
      <c r="I249" s="2377" t="s">
        <v>1059</v>
      </c>
      <c r="J249" s="842" t="s">
        <v>22</v>
      </c>
      <c r="K249" s="2377" t="s">
        <v>22</v>
      </c>
      <c r="L249" s="842" t="s">
        <v>22</v>
      </c>
      <c r="M249" s="2942" t="s">
        <v>22</v>
      </c>
      <c r="N249" s="2940" t="s">
        <v>22</v>
      </c>
      <c r="O249" s="2377" t="s">
        <v>1059</v>
      </c>
      <c r="P249" s="842" t="s">
        <v>22</v>
      </c>
      <c r="Q249" s="2377" t="s">
        <v>1059</v>
      </c>
      <c r="R249" s="842" t="s">
        <v>22</v>
      </c>
      <c r="S249" s="2377" t="s">
        <v>1059</v>
      </c>
      <c r="T249" s="842" t="s">
        <v>22</v>
      </c>
      <c r="U249" s="2377" t="s">
        <v>1059</v>
      </c>
      <c r="V249" s="842" t="s">
        <v>22</v>
      </c>
      <c r="W249" s="2377" t="s">
        <v>22</v>
      </c>
      <c r="X249" s="842" t="s">
        <v>22</v>
      </c>
      <c r="Y249" s="2377" t="s">
        <v>22</v>
      </c>
      <c r="Z249" s="842" t="s">
        <v>22</v>
      </c>
      <c r="AA249" s="2942" t="s">
        <v>22</v>
      </c>
      <c r="AB249" s="2940" t="s">
        <v>22</v>
      </c>
      <c r="AC249" s="2377" t="s">
        <v>1064</v>
      </c>
      <c r="AD249" s="842" t="s">
        <v>22</v>
      </c>
      <c r="AE249" s="2377" t="s">
        <v>1064</v>
      </c>
      <c r="AF249" s="842" t="s">
        <v>22</v>
      </c>
      <c r="AG249" s="2942" t="s">
        <v>22</v>
      </c>
      <c r="AH249" s="2940" t="s">
        <v>22</v>
      </c>
      <c r="AI249" s="2377" t="s">
        <v>1059</v>
      </c>
      <c r="AJ249" s="842" t="s">
        <v>22</v>
      </c>
      <c r="AK249" s="2377" t="s">
        <v>22</v>
      </c>
      <c r="AL249" s="842" t="s">
        <v>22</v>
      </c>
      <c r="AM249" s="1549"/>
      <c r="AN249" s="1659"/>
      <c r="AO249" s="1659"/>
      <c r="AP249" s="1659"/>
      <c r="AQ249" s="1659"/>
      <c r="AR249" s="1659"/>
      <c r="AS249" s="1659"/>
      <c r="AT249" s="1659"/>
      <c r="AU249" s="1659"/>
      <c r="AV249" s="1659"/>
      <c r="AW249" s="699"/>
      <c r="AX249" s="1659">
        <v>0</v>
      </c>
    </row>
    <row s="1874" customFormat="1" customHeight="1" ht="15">
      <c r="A250" s="1659"/>
      <c r="B250" s="2421"/>
      <c r="C250" s="2422"/>
      <c r="D250" s="713" t="str">
        <f>B249&amp;".2"</f>
        <v>3.71.2</v>
      </c>
      <c r="E250" s="1691" t="s">
        <v>1040</v>
      </c>
      <c r="F250" s="2287" t="s">
        <v>390</v>
      </c>
      <c r="G250" s="1762" t="s">
        <v>22</v>
      </c>
      <c r="H250" s="842" t="s">
        <v>22</v>
      </c>
      <c r="I250" s="1762">
        <v>46132</v>
      </c>
      <c r="J250" s="842" t="s">
        <v>22</v>
      </c>
      <c r="K250" s="1762" t="s">
        <v>22</v>
      </c>
      <c r="L250" s="842" t="s">
        <v>22</v>
      </c>
      <c r="M250" s="2943" t="s">
        <v>22</v>
      </c>
      <c r="N250" s="2940" t="s">
        <v>22</v>
      </c>
      <c r="O250" s="1762">
        <v>46140</v>
      </c>
      <c r="P250" s="842" t="s">
        <v>22</v>
      </c>
      <c r="Q250" s="1762">
        <v>46122</v>
      </c>
      <c r="R250" s="842" t="s">
        <v>22</v>
      </c>
      <c r="S250" s="1762">
        <v>46132</v>
      </c>
      <c r="T250" s="842" t="s">
        <v>22</v>
      </c>
      <c r="U250" s="1762">
        <v>46142</v>
      </c>
      <c r="V250" s="842" t="s">
        <v>22</v>
      </c>
      <c r="W250" s="1762" t="s">
        <v>22</v>
      </c>
      <c r="X250" s="842" t="s">
        <v>22</v>
      </c>
      <c r="Y250" s="1762" t="s">
        <v>22</v>
      </c>
      <c r="Z250" s="842" t="s">
        <v>22</v>
      </c>
      <c r="AA250" s="2943" t="s">
        <v>22</v>
      </c>
      <c r="AB250" s="2940" t="s">
        <v>22</v>
      </c>
      <c r="AC250" s="1762">
        <v>46142</v>
      </c>
      <c r="AD250" s="842" t="s">
        <v>22</v>
      </c>
      <c r="AE250" s="1762">
        <v>46147</v>
      </c>
      <c r="AF250" s="842" t="s">
        <v>22</v>
      </c>
      <c r="AG250" s="2943" t="s">
        <v>22</v>
      </c>
      <c r="AH250" s="2940" t="s">
        <v>22</v>
      </c>
      <c r="AI250" s="1762">
        <v>46141</v>
      </c>
      <c r="AJ250" s="842" t="s">
        <v>22</v>
      </c>
      <c r="AK250" s="1762" t="s">
        <v>22</v>
      </c>
      <c r="AL250" s="842" t="s">
        <v>22</v>
      </c>
      <c r="AM250" s="1549" t="s">
        <v>1041</v>
      </c>
      <c r="AN250" s="1659"/>
      <c r="AO250" s="1659"/>
      <c r="AP250" s="1659"/>
      <c r="AQ250" s="1659"/>
      <c r="AR250" s="1659"/>
      <c r="AS250" s="1659"/>
      <c r="AT250" s="1659"/>
      <c r="AU250" s="1659"/>
      <c r="AV250" s="1659"/>
      <c r="AW250" s="699"/>
      <c r="AX250" s="1659">
        <v>0</v>
      </c>
    </row>
    <row s="1874" customFormat="1" customHeight="1" ht="15">
      <c r="A251" s="1659"/>
      <c r="B251" s="2421"/>
      <c r="C251" s="2422"/>
      <c r="D251" s="713" t="str">
        <f>B249&amp;".3"</f>
        <v>3.71.3</v>
      </c>
      <c r="E251" s="1691" t="s">
        <v>1042</v>
      </c>
      <c r="F251" s="2287" t="s">
        <v>390</v>
      </c>
      <c r="G251" s="1762" t="s">
        <v>22</v>
      </c>
      <c r="H251" s="842" t="s">
        <v>22</v>
      </c>
      <c r="I251" s="1762" t="s">
        <v>22</v>
      </c>
      <c r="J251" s="842" t="s">
        <v>22</v>
      </c>
      <c r="K251" s="1762" t="s">
        <v>22</v>
      </c>
      <c r="L251" s="842" t="s">
        <v>22</v>
      </c>
      <c r="M251" s="2943" t="s">
        <v>22</v>
      </c>
      <c r="N251" s="2940" t="s">
        <v>22</v>
      </c>
      <c r="O251" s="1762" t="s">
        <v>22</v>
      </c>
      <c r="P251" s="842" t="s">
        <v>22</v>
      </c>
      <c r="Q251" s="1762" t="s">
        <v>22</v>
      </c>
      <c r="R251" s="842" t="s">
        <v>22</v>
      </c>
      <c r="S251" s="1762"/>
      <c r="T251" s="842" t="s">
        <v>22</v>
      </c>
      <c r="U251" s="1762" t="s">
        <v>22</v>
      </c>
      <c r="V251" s="842" t="s">
        <v>22</v>
      </c>
      <c r="W251" s="1762" t="s">
        <v>22</v>
      </c>
      <c r="X251" s="842" t="s">
        <v>22</v>
      </c>
      <c r="Y251" s="1762" t="s">
        <v>22</v>
      </c>
      <c r="Z251" s="842" t="s">
        <v>22</v>
      </c>
      <c r="AA251" s="2943" t="s">
        <v>22</v>
      </c>
      <c r="AB251" s="2940" t="s">
        <v>22</v>
      </c>
      <c r="AC251" s="1762" t="s">
        <v>22</v>
      </c>
      <c r="AD251" s="842" t="s">
        <v>22</v>
      </c>
      <c r="AE251" s="1762" t="s">
        <v>22</v>
      </c>
      <c r="AF251" s="842" t="s">
        <v>22</v>
      </c>
      <c r="AG251" s="2943" t="s">
        <v>22</v>
      </c>
      <c r="AH251" s="2940" t="s">
        <v>22</v>
      </c>
      <c r="AI251" s="1762" t="s">
        <v>22</v>
      </c>
      <c r="AJ251" s="842" t="s">
        <v>22</v>
      </c>
      <c r="AK251" s="1762" t="s">
        <v>22</v>
      </c>
      <c r="AL251" s="842" t="s">
        <v>22</v>
      </c>
      <c r="AM251" s="1549" t="s">
        <v>1043</v>
      </c>
      <c r="AN251" s="1659"/>
      <c r="AO251" s="1659"/>
      <c r="AP251" s="1659"/>
      <c r="AQ251" s="1659"/>
      <c r="AR251" s="1659"/>
      <c r="AS251" s="1659"/>
      <c r="AT251" s="1659"/>
      <c r="AU251" s="1659"/>
      <c r="AV251" s="1659"/>
      <c r="AW251" s="699"/>
      <c r="AX251" s="1659">
        <v>0</v>
      </c>
    </row>
    <row s="1874" customFormat="1" customHeight="1" ht="22.5">
      <c r="A252" s="1659"/>
      <c r="B252" s="2421" t="s">
        <v>1151</v>
      </c>
      <c r="C252" s="2422" t="s">
        <v>104</v>
      </c>
      <c r="D252" s="713" t="str">
        <f>B252&amp;".1"</f>
        <v>3.72.1</v>
      </c>
      <c r="E252" s="1691" t="s">
        <v>1039</v>
      </c>
      <c r="F252" s="2287" t="s">
        <v>390</v>
      </c>
      <c r="G252" s="2377" t="s">
        <v>22</v>
      </c>
      <c r="H252" s="842" t="s">
        <v>22</v>
      </c>
      <c r="I252" s="2377" t="s">
        <v>1059</v>
      </c>
      <c r="J252" s="842" t="s">
        <v>22</v>
      </c>
      <c r="K252" s="2377" t="s">
        <v>22</v>
      </c>
      <c r="L252" s="842" t="s">
        <v>22</v>
      </c>
      <c r="M252" s="2942" t="s">
        <v>22</v>
      </c>
      <c r="N252" s="2940" t="s">
        <v>22</v>
      </c>
      <c r="O252" s="2377" t="s">
        <v>1059</v>
      </c>
      <c r="P252" s="842" t="s">
        <v>22</v>
      </c>
      <c r="Q252" s="2377" t="s">
        <v>1059</v>
      </c>
      <c r="R252" s="842" t="s">
        <v>22</v>
      </c>
      <c r="S252" s="2377" t="s">
        <v>1059</v>
      </c>
      <c r="T252" s="842" t="s">
        <v>22</v>
      </c>
      <c r="U252" s="2377" t="s">
        <v>1059</v>
      </c>
      <c r="V252" s="842" t="s">
        <v>22</v>
      </c>
      <c r="W252" s="2377" t="s">
        <v>22</v>
      </c>
      <c r="X252" s="842" t="s">
        <v>22</v>
      </c>
      <c r="Y252" s="2377" t="s">
        <v>22</v>
      </c>
      <c r="Z252" s="842" t="s">
        <v>22</v>
      </c>
      <c r="AA252" s="2942" t="s">
        <v>22</v>
      </c>
      <c r="AB252" s="2940" t="s">
        <v>22</v>
      </c>
      <c r="AC252" s="2377" t="s">
        <v>1059</v>
      </c>
      <c r="AD252" s="842" t="s">
        <v>22</v>
      </c>
      <c r="AE252" s="2377" t="s">
        <v>1064</v>
      </c>
      <c r="AF252" s="842" t="s">
        <v>22</v>
      </c>
      <c r="AG252" s="2942" t="s">
        <v>22</v>
      </c>
      <c r="AH252" s="2940" t="s">
        <v>22</v>
      </c>
      <c r="AI252" s="2377" t="s">
        <v>1059</v>
      </c>
      <c r="AJ252" s="842" t="s">
        <v>22</v>
      </c>
      <c r="AK252" s="2377" t="s">
        <v>22</v>
      </c>
      <c r="AL252" s="842" t="s">
        <v>22</v>
      </c>
      <c r="AM252" s="1549"/>
      <c r="AN252" s="1659"/>
      <c r="AO252" s="1659"/>
      <c r="AP252" s="1659"/>
      <c r="AQ252" s="1659"/>
      <c r="AR252" s="1659"/>
      <c r="AS252" s="1659"/>
      <c r="AT252" s="1659"/>
      <c r="AU252" s="1659"/>
      <c r="AV252" s="1659"/>
      <c r="AW252" s="699"/>
      <c r="AX252" s="1659">
        <v>0</v>
      </c>
    </row>
    <row s="1874" customFormat="1" customHeight="1" ht="15">
      <c r="A253" s="1659"/>
      <c r="B253" s="2421"/>
      <c r="C253" s="2422"/>
      <c r="D253" s="713" t="str">
        <f>B252&amp;".2"</f>
        <v>3.72.2</v>
      </c>
      <c r="E253" s="1691" t="s">
        <v>1040</v>
      </c>
      <c r="F253" s="2287" t="s">
        <v>390</v>
      </c>
      <c r="G253" s="1762" t="s">
        <v>22</v>
      </c>
      <c r="H253" s="842" t="s">
        <v>22</v>
      </c>
      <c r="I253" s="1762">
        <v>46132</v>
      </c>
      <c r="J253" s="842" t="s">
        <v>22</v>
      </c>
      <c r="K253" s="1762" t="s">
        <v>22</v>
      </c>
      <c r="L253" s="842" t="s">
        <v>22</v>
      </c>
      <c r="M253" s="2943" t="s">
        <v>22</v>
      </c>
      <c r="N253" s="2940" t="s">
        <v>22</v>
      </c>
      <c r="O253" s="1762">
        <v>46140</v>
      </c>
      <c r="P253" s="842" t="s">
        <v>22</v>
      </c>
      <c r="Q253" s="1762">
        <v>46122</v>
      </c>
      <c r="R253" s="842" t="s">
        <v>22</v>
      </c>
      <c r="S253" s="1762">
        <v>46132</v>
      </c>
      <c r="T253" s="842" t="s">
        <v>22</v>
      </c>
      <c r="U253" s="1762">
        <v>46142</v>
      </c>
      <c r="V253" s="842" t="s">
        <v>22</v>
      </c>
      <c r="W253" s="1762" t="s">
        <v>22</v>
      </c>
      <c r="X253" s="842" t="s">
        <v>22</v>
      </c>
      <c r="Y253" s="1762" t="s">
        <v>22</v>
      </c>
      <c r="Z253" s="842" t="s">
        <v>22</v>
      </c>
      <c r="AA253" s="2943" t="s">
        <v>22</v>
      </c>
      <c r="AB253" s="2940" t="s">
        <v>22</v>
      </c>
      <c r="AC253" s="1762">
        <v>46142</v>
      </c>
      <c r="AD253" s="842" t="s">
        <v>22</v>
      </c>
      <c r="AE253" s="1762">
        <v>46147</v>
      </c>
      <c r="AF253" s="842" t="s">
        <v>22</v>
      </c>
      <c r="AG253" s="2943" t="s">
        <v>22</v>
      </c>
      <c r="AH253" s="2940" t="s">
        <v>22</v>
      </c>
      <c r="AI253" s="1762">
        <v>46141</v>
      </c>
      <c r="AJ253" s="842" t="s">
        <v>22</v>
      </c>
      <c r="AK253" s="1762" t="s">
        <v>22</v>
      </c>
      <c r="AL253" s="842" t="s">
        <v>22</v>
      </c>
      <c r="AM253" s="1549" t="s">
        <v>1041</v>
      </c>
      <c r="AN253" s="1659"/>
      <c r="AO253" s="1659"/>
      <c r="AP253" s="1659"/>
      <c r="AQ253" s="1659"/>
      <c r="AR253" s="1659"/>
      <c r="AS253" s="1659"/>
      <c r="AT253" s="1659"/>
      <c r="AU253" s="1659"/>
      <c r="AV253" s="1659"/>
      <c r="AW253" s="699"/>
      <c r="AX253" s="1659">
        <v>0</v>
      </c>
    </row>
    <row s="1874" customFormat="1" customHeight="1" ht="15">
      <c r="A254" s="1659"/>
      <c r="B254" s="2421"/>
      <c r="C254" s="2422"/>
      <c r="D254" s="713" t="str">
        <f>B252&amp;".3"</f>
        <v>3.72.3</v>
      </c>
      <c r="E254" s="1691" t="s">
        <v>1042</v>
      </c>
      <c r="F254" s="2287" t="s">
        <v>390</v>
      </c>
      <c r="G254" s="1762" t="s">
        <v>22</v>
      </c>
      <c r="H254" s="842" t="s">
        <v>22</v>
      </c>
      <c r="I254" s="1762" t="s">
        <v>22</v>
      </c>
      <c r="J254" s="842" t="s">
        <v>22</v>
      </c>
      <c r="K254" s="1762" t="s">
        <v>22</v>
      </c>
      <c r="L254" s="842" t="s">
        <v>22</v>
      </c>
      <c r="M254" s="2943" t="s">
        <v>22</v>
      </c>
      <c r="N254" s="2940" t="s">
        <v>22</v>
      </c>
      <c r="O254" s="1762" t="s">
        <v>22</v>
      </c>
      <c r="P254" s="842" t="s">
        <v>22</v>
      </c>
      <c r="Q254" s="1762" t="s">
        <v>22</v>
      </c>
      <c r="R254" s="842" t="s">
        <v>22</v>
      </c>
      <c r="S254" s="1762"/>
      <c r="T254" s="842" t="s">
        <v>22</v>
      </c>
      <c r="U254" s="1762" t="s">
        <v>22</v>
      </c>
      <c r="V254" s="842" t="s">
        <v>22</v>
      </c>
      <c r="W254" s="1762" t="s">
        <v>22</v>
      </c>
      <c r="X254" s="842" t="s">
        <v>22</v>
      </c>
      <c r="Y254" s="1762" t="s">
        <v>22</v>
      </c>
      <c r="Z254" s="842" t="s">
        <v>22</v>
      </c>
      <c r="AA254" s="2943" t="s">
        <v>22</v>
      </c>
      <c r="AB254" s="2940" t="s">
        <v>22</v>
      </c>
      <c r="AC254" s="1762" t="s">
        <v>22</v>
      </c>
      <c r="AD254" s="842" t="s">
        <v>22</v>
      </c>
      <c r="AE254" s="1762" t="s">
        <v>22</v>
      </c>
      <c r="AF254" s="842" t="s">
        <v>22</v>
      </c>
      <c r="AG254" s="2943" t="s">
        <v>22</v>
      </c>
      <c r="AH254" s="2940" t="s">
        <v>22</v>
      </c>
      <c r="AI254" s="1762" t="s">
        <v>22</v>
      </c>
      <c r="AJ254" s="842" t="s">
        <v>22</v>
      </c>
      <c r="AK254" s="1762" t="s">
        <v>22</v>
      </c>
      <c r="AL254" s="842" t="s">
        <v>22</v>
      </c>
      <c r="AM254" s="1549" t="s">
        <v>1043</v>
      </c>
      <c r="AN254" s="1659"/>
      <c r="AO254" s="1659"/>
      <c r="AP254" s="1659"/>
      <c r="AQ254" s="1659"/>
      <c r="AR254" s="1659"/>
      <c r="AS254" s="1659"/>
      <c r="AT254" s="1659"/>
      <c r="AU254" s="1659"/>
      <c r="AV254" s="1659"/>
      <c r="AW254" s="699"/>
      <c r="AX254" s="1659">
        <v>0</v>
      </c>
    </row>
    <row s="1874" customFormat="1" customHeight="1" ht="22.5">
      <c r="A255" s="1659"/>
      <c r="B255" s="2421" t="s">
        <v>1152</v>
      </c>
      <c r="C255" s="2422" t="s">
        <v>104</v>
      </c>
      <c r="D255" s="713" t="str">
        <f>B255&amp;".1"</f>
        <v>3.73.1</v>
      </c>
      <c r="E255" s="1691" t="s">
        <v>1039</v>
      </c>
      <c r="F255" s="2287" t="s">
        <v>390</v>
      </c>
      <c r="G255" s="2377" t="s">
        <v>22</v>
      </c>
      <c r="H255" s="842" t="s">
        <v>22</v>
      </c>
      <c r="I255" s="2377" t="s">
        <v>1059</v>
      </c>
      <c r="J255" s="842" t="s">
        <v>22</v>
      </c>
      <c r="K255" s="2377" t="s">
        <v>22</v>
      </c>
      <c r="L255" s="842" t="s">
        <v>22</v>
      </c>
      <c r="M255" s="2942" t="s">
        <v>22</v>
      </c>
      <c r="N255" s="2940" t="s">
        <v>22</v>
      </c>
      <c r="O255" s="2377" t="s">
        <v>1059</v>
      </c>
      <c r="P255" s="842" t="s">
        <v>22</v>
      </c>
      <c r="Q255" s="2377" t="s">
        <v>1059</v>
      </c>
      <c r="R255" s="842" t="s">
        <v>22</v>
      </c>
      <c r="S255" s="2377" t="s">
        <v>1059</v>
      </c>
      <c r="T255" s="842" t="s">
        <v>22</v>
      </c>
      <c r="U255" s="2377" t="s">
        <v>1059</v>
      </c>
      <c r="V255" s="842" t="s">
        <v>22</v>
      </c>
      <c r="W255" s="2377" t="s">
        <v>22</v>
      </c>
      <c r="X255" s="842" t="s">
        <v>22</v>
      </c>
      <c r="Y255" s="2377" t="s">
        <v>22</v>
      </c>
      <c r="Z255" s="842" t="s">
        <v>22</v>
      </c>
      <c r="AA255" s="2942" t="s">
        <v>22</v>
      </c>
      <c r="AB255" s="2940" t="s">
        <v>22</v>
      </c>
      <c r="AC255" s="2377" t="s">
        <v>1064</v>
      </c>
      <c r="AD255" s="842" t="s">
        <v>22</v>
      </c>
      <c r="AE255" s="2377" t="s">
        <v>1059</v>
      </c>
      <c r="AF255" s="842" t="s">
        <v>22</v>
      </c>
      <c r="AG255" s="2942" t="s">
        <v>22</v>
      </c>
      <c r="AH255" s="2940" t="s">
        <v>22</v>
      </c>
      <c r="AI255" s="2377" t="s">
        <v>1059</v>
      </c>
      <c r="AJ255" s="842" t="s">
        <v>22</v>
      </c>
      <c r="AK255" s="2377" t="s">
        <v>22</v>
      </c>
      <c r="AL255" s="842" t="s">
        <v>22</v>
      </c>
      <c r="AM255" s="1549"/>
      <c r="AN255" s="1659"/>
      <c r="AO255" s="1659"/>
      <c r="AP255" s="1659"/>
      <c r="AQ255" s="1659"/>
      <c r="AR255" s="1659"/>
      <c r="AS255" s="1659"/>
      <c r="AT255" s="1659"/>
      <c r="AU255" s="1659"/>
      <c r="AV255" s="1659"/>
      <c r="AW255" s="699"/>
      <c r="AX255" s="1659">
        <v>0</v>
      </c>
    </row>
    <row s="1874" customFormat="1" customHeight="1" ht="15">
      <c r="A256" s="1659"/>
      <c r="B256" s="2421"/>
      <c r="C256" s="2422"/>
      <c r="D256" s="713" t="str">
        <f>B255&amp;".2"</f>
        <v>3.73.2</v>
      </c>
      <c r="E256" s="1691" t="s">
        <v>1040</v>
      </c>
      <c r="F256" s="2287" t="s">
        <v>390</v>
      </c>
      <c r="G256" s="1762" t="s">
        <v>22</v>
      </c>
      <c r="H256" s="842" t="s">
        <v>22</v>
      </c>
      <c r="I256" s="1762">
        <v>46132</v>
      </c>
      <c r="J256" s="842" t="s">
        <v>22</v>
      </c>
      <c r="K256" s="1762" t="s">
        <v>22</v>
      </c>
      <c r="L256" s="842" t="s">
        <v>22</v>
      </c>
      <c r="M256" s="2943" t="s">
        <v>22</v>
      </c>
      <c r="N256" s="2940" t="s">
        <v>22</v>
      </c>
      <c r="O256" s="1762">
        <v>46140</v>
      </c>
      <c r="P256" s="842" t="s">
        <v>22</v>
      </c>
      <c r="Q256" s="1762">
        <v>46122</v>
      </c>
      <c r="R256" s="842" t="s">
        <v>22</v>
      </c>
      <c r="S256" s="1762">
        <v>46132</v>
      </c>
      <c r="T256" s="842" t="s">
        <v>22</v>
      </c>
      <c r="U256" s="1762">
        <v>46142</v>
      </c>
      <c r="V256" s="842" t="s">
        <v>22</v>
      </c>
      <c r="W256" s="1762" t="s">
        <v>22</v>
      </c>
      <c r="X256" s="842" t="s">
        <v>22</v>
      </c>
      <c r="Y256" s="1762" t="s">
        <v>22</v>
      </c>
      <c r="Z256" s="842" t="s">
        <v>22</v>
      </c>
      <c r="AA256" s="2943" t="s">
        <v>22</v>
      </c>
      <c r="AB256" s="2940" t="s">
        <v>22</v>
      </c>
      <c r="AC256" s="1762">
        <v>46142</v>
      </c>
      <c r="AD256" s="842" t="s">
        <v>22</v>
      </c>
      <c r="AE256" s="1762">
        <v>46147</v>
      </c>
      <c r="AF256" s="842" t="s">
        <v>22</v>
      </c>
      <c r="AG256" s="2943" t="s">
        <v>22</v>
      </c>
      <c r="AH256" s="2940" t="s">
        <v>22</v>
      </c>
      <c r="AI256" s="1762">
        <v>46141</v>
      </c>
      <c r="AJ256" s="842" t="s">
        <v>22</v>
      </c>
      <c r="AK256" s="1762" t="s">
        <v>22</v>
      </c>
      <c r="AL256" s="842" t="s">
        <v>22</v>
      </c>
      <c r="AM256" s="1549" t="s">
        <v>1041</v>
      </c>
      <c r="AN256" s="1659"/>
      <c r="AO256" s="1659"/>
      <c r="AP256" s="1659"/>
      <c r="AQ256" s="1659"/>
      <c r="AR256" s="1659"/>
      <c r="AS256" s="1659"/>
      <c r="AT256" s="1659"/>
      <c r="AU256" s="1659"/>
      <c r="AV256" s="1659"/>
      <c r="AW256" s="699"/>
      <c r="AX256" s="1659">
        <v>0</v>
      </c>
    </row>
    <row s="1874" customFormat="1" customHeight="1" ht="15">
      <c r="A257" s="1659"/>
      <c r="B257" s="2421"/>
      <c r="C257" s="2422"/>
      <c r="D257" s="713" t="str">
        <f>B255&amp;".3"</f>
        <v>3.73.3</v>
      </c>
      <c r="E257" s="1691" t="s">
        <v>1042</v>
      </c>
      <c r="F257" s="2287" t="s">
        <v>390</v>
      </c>
      <c r="G257" s="1762" t="s">
        <v>22</v>
      </c>
      <c r="H257" s="842" t="s">
        <v>22</v>
      </c>
      <c r="I257" s="1762" t="s">
        <v>22</v>
      </c>
      <c r="J257" s="842" t="s">
        <v>22</v>
      </c>
      <c r="K257" s="1762" t="s">
        <v>22</v>
      </c>
      <c r="L257" s="842" t="s">
        <v>22</v>
      </c>
      <c r="M257" s="2943" t="s">
        <v>22</v>
      </c>
      <c r="N257" s="2940" t="s">
        <v>22</v>
      </c>
      <c r="O257" s="1762" t="s">
        <v>22</v>
      </c>
      <c r="P257" s="842" t="s">
        <v>22</v>
      </c>
      <c r="Q257" s="1762" t="s">
        <v>22</v>
      </c>
      <c r="R257" s="842" t="s">
        <v>22</v>
      </c>
      <c r="S257" s="1762"/>
      <c r="T257" s="842" t="s">
        <v>22</v>
      </c>
      <c r="U257" s="1762" t="s">
        <v>22</v>
      </c>
      <c r="V257" s="842" t="s">
        <v>22</v>
      </c>
      <c r="W257" s="1762" t="s">
        <v>22</v>
      </c>
      <c r="X257" s="842" t="s">
        <v>22</v>
      </c>
      <c r="Y257" s="1762" t="s">
        <v>22</v>
      </c>
      <c r="Z257" s="842" t="s">
        <v>22</v>
      </c>
      <c r="AA257" s="2943" t="s">
        <v>22</v>
      </c>
      <c r="AB257" s="2940" t="s">
        <v>22</v>
      </c>
      <c r="AC257" s="1762" t="s">
        <v>22</v>
      </c>
      <c r="AD257" s="842" t="s">
        <v>22</v>
      </c>
      <c r="AE257" s="1762" t="s">
        <v>22</v>
      </c>
      <c r="AF257" s="842" t="s">
        <v>22</v>
      </c>
      <c r="AG257" s="2943" t="s">
        <v>22</v>
      </c>
      <c r="AH257" s="2940" t="s">
        <v>22</v>
      </c>
      <c r="AI257" s="1762" t="s">
        <v>22</v>
      </c>
      <c r="AJ257" s="842" t="s">
        <v>22</v>
      </c>
      <c r="AK257" s="1762" t="s">
        <v>22</v>
      </c>
      <c r="AL257" s="842" t="s">
        <v>22</v>
      </c>
      <c r="AM257" s="1549" t="s">
        <v>1043</v>
      </c>
      <c r="AN257" s="1659"/>
      <c r="AO257" s="1659"/>
      <c r="AP257" s="1659"/>
      <c r="AQ257" s="1659"/>
      <c r="AR257" s="1659"/>
      <c r="AS257" s="1659"/>
      <c r="AT257" s="1659"/>
      <c r="AU257" s="1659"/>
      <c r="AV257" s="1659"/>
      <c r="AW257" s="699"/>
      <c r="AX257" s="1659">
        <v>0</v>
      </c>
    </row>
    <row s="1874" customFormat="1" customHeight="1" ht="22.5">
      <c r="A258" s="1659"/>
      <c r="B258" s="2421" t="s">
        <v>1153</v>
      </c>
      <c r="C258" s="2422" t="s">
        <v>104</v>
      </c>
      <c r="D258" s="713" t="str">
        <f>B258&amp;".1"</f>
        <v>3.74.1</v>
      </c>
      <c r="E258" s="1691" t="s">
        <v>1039</v>
      </c>
      <c r="F258" s="2287" t="s">
        <v>390</v>
      </c>
      <c r="G258" s="2377" t="s">
        <v>22</v>
      </c>
      <c r="H258" s="842" t="s">
        <v>22</v>
      </c>
      <c r="I258" s="2377" t="s">
        <v>1059</v>
      </c>
      <c r="J258" s="842" t="s">
        <v>22</v>
      </c>
      <c r="K258" s="2377" t="s">
        <v>22</v>
      </c>
      <c r="L258" s="842" t="s">
        <v>22</v>
      </c>
      <c r="M258" s="2942" t="s">
        <v>22</v>
      </c>
      <c r="N258" s="2940" t="s">
        <v>22</v>
      </c>
      <c r="O258" s="2377" t="s">
        <v>1059</v>
      </c>
      <c r="P258" s="842" t="s">
        <v>22</v>
      </c>
      <c r="Q258" s="2377" t="s">
        <v>1059</v>
      </c>
      <c r="R258" s="842" t="s">
        <v>22</v>
      </c>
      <c r="S258" s="2377" t="s">
        <v>1059</v>
      </c>
      <c r="T258" s="842" t="s">
        <v>22</v>
      </c>
      <c r="U258" s="2377" t="s">
        <v>1059</v>
      </c>
      <c r="V258" s="842" t="s">
        <v>22</v>
      </c>
      <c r="W258" s="2377" t="s">
        <v>22</v>
      </c>
      <c r="X258" s="842" t="s">
        <v>22</v>
      </c>
      <c r="Y258" s="2377" t="s">
        <v>22</v>
      </c>
      <c r="Z258" s="842" t="s">
        <v>22</v>
      </c>
      <c r="AA258" s="2942" t="s">
        <v>22</v>
      </c>
      <c r="AB258" s="2940" t="s">
        <v>22</v>
      </c>
      <c r="AC258" s="2377" t="s">
        <v>1059</v>
      </c>
      <c r="AD258" s="842" t="s">
        <v>22</v>
      </c>
      <c r="AE258" s="2377" t="s">
        <v>1059</v>
      </c>
      <c r="AF258" s="842" t="s">
        <v>22</v>
      </c>
      <c r="AG258" s="2942" t="s">
        <v>22</v>
      </c>
      <c r="AH258" s="2940" t="s">
        <v>22</v>
      </c>
      <c r="AI258" s="2377" t="s">
        <v>1059</v>
      </c>
      <c r="AJ258" s="842" t="s">
        <v>22</v>
      </c>
      <c r="AK258" s="2377" t="s">
        <v>22</v>
      </c>
      <c r="AL258" s="842" t="s">
        <v>22</v>
      </c>
      <c r="AM258" s="1549"/>
      <c r="AN258" s="1659"/>
      <c r="AO258" s="1659"/>
      <c r="AP258" s="1659"/>
      <c r="AQ258" s="1659"/>
      <c r="AR258" s="1659"/>
      <c r="AS258" s="1659"/>
      <c r="AT258" s="1659"/>
      <c r="AU258" s="1659"/>
      <c r="AV258" s="1659"/>
      <c r="AW258" s="699"/>
      <c r="AX258" s="1659">
        <v>0</v>
      </c>
    </row>
    <row s="1874" customFormat="1" customHeight="1" ht="15">
      <c r="A259" s="1659"/>
      <c r="B259" s="2421"/>
      <c r="C259" s="2422"/>
      <c r="D259" s="713" t="str">
        <f>B258&amp;".2"</f>
        <v>3.74.2</v>
      </c>
      <c r="E259" s="1691" t="s">
        <v>1040</v>
      </c>
      <c r="F259" s="2287" t="s">
        <v>390</v>
      </c>
      <c r="G259" s="1762" t="s">
        <v>22</v>
      </c>
      <c r="H259" s="842" t="s">
        <v>22</v>
      </c>
      <c r="I259" s="1762">
        <v>46132</v>
      </c>
      <c r="J259" s="842" t="s">
        <v>22</v>
      </c>
      <c r="K259" s="1762" t="s">
        <v>22</v>
      </c>
      <c r="L259" s="842" t="s">
        <v>22</v>
      </c>
      <c r="M259" s="2943" t="s">
        <v>22</v>
      </c>
      <c r="N259" s="2940" t="s">
        <v>22</v>
      </c>
      <c r="O259" s="1762">
        <v>46141</v>
      </c>
      <c r="P259" s="842" t="s">
        <v>22</v>
      </c>
      <c r="Q259" s="1762">
        <v>46122</v>
      </c>
      <c r="R259" s="842" t="s">
        <v>22</v>
      </c>
      <c r="S259" s="1762">
        <v>46132</v>
      </c>
      <c r="T259" s="842" t="s">
        <v>22</v>
      </c>
      <c r="U259" s="1762">
        <v>46142</v>
      </c>
      <c r="V259" s="842" t="s">
        <v>22</v>
      </c>
      <c r="W259" s="1762" t="s">
        <v>22</v>
      </c>
      <c r="X259" s="842" t="s">
        <v>22</v>
      </c>
      <c r="Y259" s="1762" t="s">
        <v>22</v>
      </c>
      <c r="Z259" s="842" t="s">
        <v>22</v>
      </c>
      <c r="AA259" s="2943" t="s">
        <v>22</v>
      </c>
      <c r="AB259" s="2940" t="s">
        <v>22</v>
      </c>
      <c r="AC259" s="1762">
        <v>46142</v>
      </c>
      <c r="AD259" s="842" t="s">
        <v>22</v>
      </c>
      <c r="AE259" s="1762">
        <v>46147</v>
      </c>
      <c r="AF259" s="842" t="s">
        <v>22</v>
      </c>
      <c r="AG259" s="2943" t="s">
        <v>22</v>
      </c>
      <c r="AH259" s="2940" t="s">
        <v>22</v>
      </c>
      <c r="AI259" s="1762">
        <v>46141</v>
      </c>
      <c r="AJ259" s="842" t="s">
        <v>22</v>
      </c>
      <c r="AK259" s="1762" t="s">
        <v>22</v>
      </c>
      <c r="AL259" s="842" t="s">
        <v>22</v>
      </c>
      <c r="AM259" s="1549" t="s">
        <v>1041</v>
      </c>
      <c r="AN259" s="1659"/>
      <c r="AO259" s="1659"/>
      <c r="AP259" s="1659"/>
      <c r="AQ259" s="1659"/>
      <c r="AR259" s="1659"/>
      <c r="AS259" s="1659"/>
      <c r="AT259" s="1659"/>
      <c r="AU259" s="1659"/>
      <c r="AV259" s="1659"/>
      <c r="AW259" s="699"/>
      <c r="AX259" s="1659">
        <v>0</v>
      </c>
    </row>
    <row s="1874" customFormat="1" customHeight="1" ht="15">
      <c r="A260" s="1659"/>
      <c r="B260" s="2421"/>
      <c r="C260" s="2422"/>
      <c r="D260" s="713" t="str">
        <f>B258&amp;".3"</f>
        <v>3.74.3</v>
      </c>
      <c r="E260" s="1691" t="s">
        <v>1042</v>
      </c>
      <c r="F260" s="2287" t="s">
        <v>390</v>
      </c>
      <c r="G260" s="1762" t="s">
        <v>22</v>
      </c>
      <c r="H260" s="842" t="s">
        <v>22</v>
      </c>
      <c r="I260" s="1762" t="s">
        <v>22</v>
      </c>
      <c r="J260" s="842" t="s">
        <v>22</v>
      </c>
      <c r="K260" s="1762" t="s">
        <v>22</v>
      </c>
      <c r="L260" s="842" t="s">
        <v>22</v>
      </c>
      <c r="M260" s="2943" t="s">
        <v>22</v>
      </c>
      <c r="N260" s="2940" t="s">
        <v>22</v>
      </c>
      <c r="O260" s="1762" t="s">
        <v>22</v>
      </c>
      <c r="P260" s="842" t="s">
        <v>22</v>
      </c>
      <c r="Q260" s="1762" t="s">
        <v>22</v>
      </c>
      <c r="R260" s="842" t="s">
        <v>22</v>
      </c>
      <c r="S260" s="1762"/>
      <c r="T260" s="842" t="s">
        <v>22</v>
      </c>
      <c r="U260" s="1762" t="s">
        <v>22</v>
      </c>
      <c r="V260" s="842" t="s">
        <v>22</v>
      </c>
      <c r="W260" s="1762" t="s">
        <v>22</v>
      </c>
      <c r="X260" s="842" t="s">
        <v>22</v>
      </c>
      <c r="Y260" s="1762" t="s">
        <v>22</v>
      </c>
      <c r="Z260" s="842" t="s">
        <v>22</v>
      </c>
      <c r="AA260" s="2943" t="s">
        <v>22</v>
      </c>
      <c r="AB260" s="2940" t="s">
        <v>22</v>
      </c>
      <c r="AC260" s="1762" t="s">
        <v>22</v>
      </c>
      <c r="AD260" s="842" t="s">
        <v>22</v>
      </c>
      <c r="AE260" s="1762" t="s">
        <v>22</v>
      </c>
      <c r="AF260" s="842" t="s">
        <v>22</v>
      </c>
      <c r="AG260" s="2943" t="s">
        <v>22</v>
      </c>
      <c r="AH260" s="2940" t="s">
        <v>22</v>
      </c>
      <c r="AI260" s="1762" t="s">
        <v>22</v>
      </c>
      <c r="AJ260" s="842" t="s">
        <v>22</v>
      </c>
      <c r="AK260" s="1762" t="s">
        <v>22</v>
      </c>
      <c r="AL260" s="842" t="s">
        <v>22</v>
      </c>
      <c r="AM260" s="1549" t="s">
        <v>1043</v>
      </c>
      <c r="AN260" s="1659"/>
      <c r="AO260" s="1659"/>
      <c r="AP260" s="1659"/>
      <c r="AQ260" s="1659"/>
      <c r="AR260" s="1659"/>
      <c r="AS260" s="1659"/>
      <c r="AT260" s="1659"/>
      <c r="AU260" s="1659"/>
      <c r="AV260" s="1659"/>
      <c r="AW260" s="699"/>
      <c r="AX260" s="1659">
        <v>0</v>
      </c>
    </row>
    <row s="1874" customFormat="1" customHeight="1" ht="22.5">
      <c r="A261" s="1659"/>
      <c r="B261" s="2421" t="s">
        <v>1154</v>
      </c>
      <c r="C261" s="2422" t="s">
        <v>104</v>
      </c>
      <c r="D261" s="713" t="str">
        <f>B261&amp;".1"</f>
        <v>3.75.1</v>
      </c>
      <c r="E261" s="1691" t="s">
        <v>1039</v>
      </c>
      <c r="F261" s="2287" t="s">
        <v>390</v>
      </c>
      <c r="G261" s="2377" t="s">
        <v>22</v>
      </c>
      <c r="H261" s="842" t="s">
        <v>22</v>
      </c>
      <c r="I261" s="2377" t="s">
        <v>1059</v>
      </c>
      <c r="J261" s="842" t="s">
        <v>22</v>
      </c>
      <c r="K261" s="2377" t="s">
        <v>22</v>
      </c>
      <c r="L261" s="842" t="s">
        <v>22</v>
      </c>
      <c r="M261" s="2942" t="s">
        <v>22</v>
      </c>
      <c r="N261" s="2940" t="s">
        <v>22</v>
      </c>
      <c r="O261" s="2377" t="s">
        <v>1059</v>
      </c>
      <c r="P261" s="842" t="s">
        <v>22</v>
      </c>
      <c r="Q261" s="2377" t="s">
        <v>1059</v>
      </c>
      <c r="R261" s="842" t="s">
        <v>22</v>
      </c>
      <c r="S261" s="2377" t="s">
        <v>1059</v>
      </c>
      <c r="T261" s="842" t="s">
        <v>22</v>
      </c>
      <c r="U261" s="2377" t="s">
        <v>1059</v>
      </c>
      <c r="V261" s="842" t="s">
        <v>22</v>
      </c>
      <c r="W261" s="2377" t="s">
        <v>22</v>
      </c>
      <c r="X261" s="842" t="s">
        <v>22</v>
      </c>
      <c r="Y261" s="2377" t="s">
        <v>22</v>
      </c>
      <c r="Z261" s="842" t="s">
        <v>22</v>
      </c>
      <c r="AA261" s="2942" t="s">
        <v>22</v>
      </c>
      <c r="AB261" s="2940" t="s">
        <v>22</v>
      </c>
      <c r="AC261" s="2377" t="s">
        <v>1059</v>
      </c>
      <c r="AD261" s="842" t="s">
        <v>22</v>
      </c>
      <c r="AE261" s="2377" t="s">
        <v>1148</v>
      </c>
      <c r="AF261" s="842" t="s">
        <v>22</v>
      </c>
      <c r="AG261" s="2942" t="s">
        <v>22</v>
      </c>
      <c r="AH261" s="2940" t="s">
        <v>22</v>
      </c>
      <c r="AI261" s="2377" t="s">
        <v>1148</v>
      </c>
      <c r="AJ261" s="842" t="s">
        <v>22</v>
      </c>
      <c r="AK261" s="2377" t="s">
        <v>22</v>
      </c>
      <c r="AL261" s="842" t="s">
        <v>22</v>
      </c>
      <c r="AM261" s="1549"/>
      <c r="AN261" s="1659"/>
      <c r="AO261" s="1659"/>
      <c r="AP261" s="1659"/>
      <c r="AQ261" s="1659"/>
      <c r="AR261" s="1659"/>
      <c r="AS261" s="1659"/>
      <c r="AT261" s="1659"/>
      <c r="AU261" s="1659"/>
      <c r="AV261" s="1659"/>
      <c r="AW261" s="699"/>
      <c r="AX261" s="1659">
        <v>0</v>
      </c>
    </row>
    <row s="1874" customFormat="1" customHeight="1" ht="15">
      <c r="A262" s="1659"/>
      <c r="B262" s="2421"/>
      <c r="C262" s="2422"/>
      <c r="D262" s="713" t="str">
        <f>B261&amp;".2"</f>
        <v>3.75.2</v>
      </c>
      <c r="E262" s="1691" t="s">
        <v>1040</v>
      </c>
      <c r="F262" s="2287" t="s">
        <v>390</v>
      </c>
      <c r="G262" s="1762" t="s">
        <v>22</v>
      </c>
      <c r="H262" s="842" t="s">
        <v>22</v>
      </c>
      <c r="I262" s="1762">
        <v>46132</v>
      </c>
      <c r="J262" s="842" t="s">
        <v>22</v>
      </c>
      <c r="K262" s="1762" t="s">
        <v>22</v>
      </c>
      <c r="L262" s="842" t="s">
        <v>22</v>
      </c>
      <c r="M262" s="2943" t="s">
        <v>22</v>
      </c>
      <c r="N262" s="2940" t="s">
        <v>22</v>
      </c>
      <c r="O262" s="1762">
        <v>46141</v>
      </c>
      <c r="P262" s="842" t="s">
        <v>22</v>
      </c>
      <c r="Q262" s="1762">
        <v>46122</v>
      </c>
      <c r="R262" s="842" t="s">
        <v>22</v>
      </c>
      <c r="S262" s="1762">
        <v>46132</v>
      </c>
      <c r="T262" s="842" t="s">
        <v>22</v>
      </c>
      <c r="U262" s="1762">
        <v>46142</v>
      </c>
      <c r="V262" s="842" t="s">
        <v>22</v>
      </c>
      <c r="W262" s="1762" t="s">
        <v>22</v>
      </c>
      <c r="X262" s="842" t="s">
        <v>22</v>
      </c>
      <c r="Y262" s="1762" t="s">
        <v>22</v>
      </c>
      <c r="Z262" s="842" t="s">
        <v>22</v>
      </c>
      <c r="AA262" s="2943" t="s">
        <v>22</v>
      </c>
      <c r="AB262" s="2940" t="s">
        <v>22</v>
      </c>
      <c r="AC262" s="1762">
        <v>46142</v>
      </c>
      <c r="AD262" s="842" t="s">
        <v>22</v>
      </c>
      <c r="AE262" s="1762">
        <v>46148</v>
      </c>
      <c r="AF262" s="842" t="s">
        <v>22</v>
      </c>
      <c r="AG262" s="2943" t="s">
        <v>22</v>
      </c>
      <c r="AH262" s="2940" t="s">
        <v>22</v>
      </c>
      <c r="AI262" s="1762">
        <v>46142</v>
      </c>
      <c r="AJ262" s="842" t="s">
        <v>22</v>
      </c>
      <c r="AK262" s="1762" t="s">
        <v>22</v>
      </c>
      <c r="AL262" s="842" t="s">
        <v>22</v>
      </c>
      <c r="AM262" s="1549" t="s">
        <v>1041</v>
      </c>
      <c r="AN262" s="1659"/>
      <c r="AO262" s="1659"/>
      <c r="AP262" s="1659"/>
      <c r="AQ262" s="1659"/>
      <c r="AR262" s="1659"/>
      <c r="AS262" s="1659"/>
      <c r="AT262" s="1659"/>
      <c r="AU262" s="1659"/>
      <c r="AV262" s="1659"/>
      <c r="AW262" s="699"/>
      <c r="AX262" s="1659">
        <v>0</v>
      </c>
    </row>
    <row s="1874" customFormat="1" customHeight="1" ht="15">
      <c r="A263" s="1659"/>
      <c r="B263" s="2421"/>
      <c r="C263" s="2422"/>
      <c r="D263" s="713" t="str">
        <f>B261&amp;".3"</f>
        <v>3.75.3</v>
      </c>
      <c r="E263" s="1691" t="s">
        <v>1042</v>
      </c>
      <c r="F263" s="2287" t="s">
        <v>390</v>
      </c>
      <c r="G263" s="1762" t="s">
        <v>22</v>
      </c>
      <c r="H263" s="842" t="s">
        <v>22</v>
      </c>
      <c r="I263" s="1762" t="s">
        <v>22</v>
      </c>
      <c r="J263" s="842" t="s">
        <v>22</v>
      </c>
      <c r="K263" s="1762" t="s">
        <v>22</v>
      </c>
      <c r="L263" s="842" t="s">
        <v>22</v>
      </c>
      <c r="M263" s="2943" t="s">
        <v>22</v>
      </c>
      <c r="N263" s="2940" t="s">
        <v>22</v>
      </c>
      <c r="O263" s="1762" t="s">
        <v>22</v>
      </c>
      <c r="P263" s="842" t="s">
        <v>22</v>
      </c>
      <c r="Q263" s="1762" t="s">
        <v>22</v>
      </c>
      <c r="R263" s="842" t="s">
        <v>22</v>
      </c>
      <c r="S263" s="1762"/>
      <c r="T263" s="842" t="s">
        <v>22</v>
      </c>
      <c r="U263" s="1762" t="s">
        <v>22</v>
      </c>
      <c r="V263" s="842" t="s">
        <v>22</v>
      </c>
      <c r="W263" s="1762" t="s">
        <v>22</v>
      </c>
      <c r="X263" s="842" t="s">
        <v>22</v>
      </c>
      <c r="Y263" s="1762" t="s">
        <v>22</v>
      </c>
      <c r="Z263" s="842" t="s">
        <v>22</v>
      </c>
      <c r="AA263" s="2943" t="s">
        <v>22</v>
      </c>
      <c r="AB263" s="2940" t="s">
        <v>22</v>
      </c>
      <c r="AC263" s="1762" t="s">
        <v>22</v>
      </c>
      <c r="AD263" s="842" t="s">
        <v>22</v>
      </c>
      <c r="AE263" s="1762" t="s">
        <v>22</v>
      </c>
      <c r="AF263" s="842" t="s">
        <v>22</v>
      </c>
      <c r="AG263" s="2943" t="s">
        <v>22</v>
      </c>
      <c r="AH263" s="2940" t="s">
        <v>22</v>
      </c>
      <c r="AI263" s="1762" t="s">
        <v>22</v>
      </c>
      <c r="AJ263" s="842" t="s">
        <v>22</v>
      </c>
      <c r="AK263" s="1762" t="s">
        <v>22</v>
      </c>
      <c r="AL263" s="842" t="s">
        <v>22</v>
      </c>
      <c r="AM263" s="1549" t="s">
        <v>1043</v>
      </c>
      <c r="AN263" s="1659"/>
      <c r="AO263" s="1659"/>
      <c r="AP263" s="1659"/>
      <c r="AQ263" s="1659"/>
      <c r="AR263" s="1659"/>
      <c r="AS263" s="1659"/>
      <c r="AT263" s="1659"/>
      <c r="AU263" s="1659"/>
      <c r="AV263" s="1659"/>
      <c r="AW263" s="699"/>
      <c r="AX263" s="1659">
        <v>0</v>
      </c>
    </row>
    <row s="1874" customFormat="1" customHeight="1" ht="22.5">
      <c r="A264" s="1659"/>
      <c r="B264" s="2421" t="s">
        <v>1155</v>
      </c>
      <c r="C264" s="2422" t="s">
        <v>104</v>
      </c>
      <c r="D264" s="713" t="str">
        <f>B264&amp;".1"</f>
        <v>3.76.1</v>
      </c>
      <c r="E264" s="1691" t="s">
        <v>1039</v>
      </c>
      <c r="F264" s="2287" t="s">
        <v>390</v>
      </c>
      <c r="G264" s="2377" t="s">
        <v>22</v>
      </c>
      <c r="H264" s="842" t="s">
        <v>22</v>
      </c>
      <c r="I264" s="2377" t="s">
        <v>1059</v>
      </c>
      <c r="J264" s="842" t="s">
        <v>22</v>
      </c>
      <c r="K264" s="2377" t="s">
        <v>22</v>
      </c>
      <c r="L264" s="842" t="s">
        <v>22</v>
      </c>
      <c r="M264" s="2942" t="s">
        <v>22</v>
      </c>
      <c r="N264" s="2940" t="s">
        <v>22</v>
      </c>
      <c r="O264" s="2377" t="s">
        <v>1059</v>
      </c>
      <c r="P264" s="842" t="s">
        <v>22</v>
      </c>
      <c r="Q264" s="2377" t="s">
        <v>1059</v>
      </c>
      <c r="R264" s="842" t="s">
        <v>22</v>
      </c>
      <c r="S264" s="2377" t="s">
        <v>1059</v>
      </c>
      <c r="T264" s="842" t="s">
        <v>22</v>
      </c>
      <c r="U264" s="2377" t="s">
        <v>1059</v>
      </c>
      <c r="V264" s="842" t="s">
        <v>22</v>
      </c>
      <c r="W264" s="2377" t="s">
        <v>22</v>
      </c>
      <c r="X264" s="842" t="s">
        <v>22</v>
      </c>
      <c r="Y264" s="2377" t="s">
        <v>22</v>
      </c>
      <c r="Z264" s="842" t="s">
        <v>22</v>
      </c>
      <c r="AA264" s="2942" t="s">
        <v>22</v>
      </c>
      <c r="AB264" s="2940" t="s">
        <v>22</v>
      </c>
      <c r="AC264" s="2377" t="s">
        <v>1059</v>
      </c>
      <c r="AD264" s="842" t="s">
        <v>22</v>
      </c>
      <c r="AE264" s="2377" t="s">
        <v>1148</v>
      </c>
      <c r="AF264" s="842" t="s">
        <v>22</v>
      </c>
      <c r="AG264" s="2942" t="s">
        <v>22</v>
      </c>
      <c r="AH264" s="2940" t="s">
        <v>22</v>
      </c>
      <c r="AI264" s="2377" t="s">
        <v>1059</v>
      </c>
      <c r="AJ264" s="842" t="s">
        <v>22</v>
      </c>
      <c r="AK264" s="2377" t="s">
        <v>22</v>
      </c>
      <c r="AL264" s="842" t="s">
        <v>22</v>
      </c>
      <c r="AM264" s="1549"/>
      <c r="AN264" s="1659"/>
      <c r="AO264" s="1659"/>
      <c r="AP264" s="1659"/>
      <c r="AQ264" s="1659"/>
      <c r="AR264" s="1659"/>
      <c r="AS264" s="1659"/>
      <c r="AT264" s="1659"/>
      <c r="AU264" s="1659"/>
      <c r="AV264" s="1659"/>
      <c r="AW264" s="699"/>
      <c r="AX264" s="1659">
        <v>0</v>
      </c>
    </row>
    <row s="1874" customFormat="1" customHeight="1" ht="15">
      <c r="A265" s="1659"/>
      <c r="B265" s="2421"/>
      <c r="C265" s="2422"/>
      <c r="D265" s="713" t="str">
        <f>B264&amp;".2"</f>
        <v>3.76.2</v>
      </c>
      <c r="E265" s="1691" t="s">
        <v>1040</v>
      </c>
      <c r="F265" s="2287" t="s">
        <v>390</v>
      </c>
      <c r="G265" s="1762" t="s">
        <v>22</v>
      </c>
      <c r="H265" s="842" t="s">
        <v>22</v>
      </c>
      <c r="I265" s="1762">
        <v>46132</v>
      </c>
      <c r="J265" s="842" t="s">
        <v>22</v>
      </c>
      <c r="K265" s="1762" t="s">
        <v>22</v>
      </c>
      <c r="L265" s="842" t="s">
        <v>22</v>
      </c>
      <c r="M265" s="2943" t="s">
        <v>22</v>
      </c>
      <c r="N265" s="2940" t="s">
        <v>22</v>
      </c>
      <c r="O265" s="1762">
        <v>46142</v>
      </c>
      <c r="P265" s="842" t="s">
        <v>22</v>
      </c>
      <c r="Q265" s="1762">
        <v>46122</v>
      </c>
      <c r="R265" s="842" t="s">
        <v>22</v>
      </c>
      <c r="S265" s="1762">
        <v>46132</v>
      </c>
      <c r="T265" s="842" t="s">
        <v>22</v>
      </c>
      <c r="U265" s="1762">
        <v>46142</v>
      </c>
      <c r="V265" s="842" t="s">
        <v>22</v>
      </c>
      <c r="W265" s="1762" t="s">
        <v>22</v>
      </c>
      <c r="X265" s="842" t="s">
        <v>22</v>
      </c>
      <c r="Y265" s="1762" t="s">
        <v>22</v>
      </c>
      <c r="Z265" s="842" t="s">
        <v>22</v>
      </c>
      <c r="AA265" s="2943" t="s">
        <v>22</v>
      </c>
      <c r="AB265" s="2940" t="s">
        <v>22</v>
      </c>
      <c r="AC265" s="1762">
        <v>46142</v>
      </c>
      <c r="AD265" s="842" t="s">
        <v>22</v>
      </c>
      <c r="AE265" s="1762">
        <v>46148</v>
      </c>
      <c r="AF265" s="842" t="s">
        <v>22</v>
      </c>
      <c r="AG265" s="2943" t="s">
        <v>22</v>
      </c>
      <c r="AH265" s="2940" t="s">
        <v>22</v>
      </c>
      <c r="AI265" s="1762">
        <v>46142</v>
      </c>
      <c r="AJ265" s="842" t="s">
        <v>22</v>
      </c>
      <c r="AK265" s="1762" t="s">
        <v>22</v>
      </c>
      <c r="AL265" s="842" t="s">
        <v>22</v>
      </c>
      <c r="AM265" s="1549" t="s">
        <v>1041</v>
      </c>
      <c r="AN265" s="1659"/>
      <c r="AO265" s="1659"/>
      <c r="AP265" s="1659"/>
      <c r="AQ265" s="1659"/>
      <c r="AR265" s="1659"/>
      <c r="AS265" s="1659"/>
      <c r="AT265" s="1659"/>
      <c r="AU265" s="1659"/>
      <c r="AV265" s="1659"/>
      <c r="AW265" s="699"/>
      <c r="AX265" s="1659">
        <v>0</v>
      </c>
    </row>
    <row s="1874" customFormat="1" customHeight="1" ht="15">
      <c r="A266" s="1659"/>
      <c r="B266" s="2421"/>
      <c r="C266" s="2422"/>
      <c r="D266" s="713" t="str">
        <f>B264&amp;".3"</f>
        <v>3.76.3</v>
      </c>
      <c r="E266" s="1691" t="s">
        <v>1042</v>
      </c>
      <c r="F266" s="2287" t="s">
        <v>390</v>
      </c>
      <c r="G266" s="1762" t="s">
        <v>22</v>
      </c>
      <c r="H266" s="842" t="s">
        <v>22</v>
      </c>
      <c r="I266" s="1762" t="s">
        <v>22</v>
      </c>
      <c r="J266" s="842" t="s">
        <v>22</v>
      </c>
      <c r="K266" s="1762" t="s">
        <v>22</v>
      </c>
      <c r="L266" s="842" t="s">
        <v>22</v>
      </c>
      <c r="M266" s="2943" t="s">
        <v>22</v>
      </c>
      <c r="N266" s="2940" t="s">
        <v>22</v>
      </c>
      <c r="O266" s="1762"/>
      <c r="P266" s="842" t="s">
        <v>22</v>
      </c>
      <c r="Q266" s="1762" t="s">
        <v>22</v>
      </c>
      <c r="R266" s="842" t="s">
        <v>22</v>
      </c>
      <c r="S266" s="1762"/>
      <c r="T266" s="842" t="s">
        <v>22</v>
      </c>
      <c r="U266" s="1762" t="s">
        <v>22</v>
      </c>
      <c r="V266" s="842" t="s">
        <v>22</v>
      </c>
      <c r="W266" s="1762" t="s">
        <v>22</v>
      </c>
      <c r="X266" s="842" t="s">
        <v>22</v>
      </c>
      <c r="Y266" s="1762" t="s">
        <v>22</v>
      </c>
      <c r="Z266" s="842" t="s">
        <v>22</v>
      </c>
      <c r="AA266" s="2943" t="s">
        <v>22</v>
      </c>
      <c r="AB266" s="2940" t="s">
        <v>22</v>
      </c>
      <c r="AC266" s="1762" t="s">
        <v>22</v>
      </c>
      <c r="AD266" s="842" t="s">
        <v>22</v>
      </c>
      <c r="AE266" s="1762" t="s">
        <v>22</v>
      </c>
      <c r="AF266" s="842" t="s">
        <v>22</v>
      </c>
      <c r="AG266" s="2943" t="s">
        <v>22</v>
      </c>
      <c r="AH266" s="2940" t="s">
        <v>22</v>
      </c>
      <c r="AI266" s="1762" t="s">
        <v>22</v>
      </c>
      <c r="AJ266" s="842" t="s">
        <v>22</v>
      </c>
      <c r="AK266" s="1762" t="s">
        <v>22</v>
      </c>
      <c r="AL266" s="842" t="s">
        <v>22</v>
      </c>
      <c r="AM266" s="1549" t="s">
        <v>1043</v>
      </c>
      <c r="AN266" s="1659"/>
      <c r="AO266" s="1659"/>
      <c r="AP266" s="1659"/>
      <c r="AQ266" s="1659"/>
      <c r="AR266" s="1659"/>
      <c r="AS266" s="1659"/>
      <c r="AT266" s="1659"/>
      <c r="AU266" s="1659"/>
      <c r="AV266" s="1659"/>
      <c r="AW266" s="699"/>
      <c r="AX266" s="1659">
        <v>0</v>
      </c>
    </row>
    <row s="1874" customFormat="1" customHeight="1" ht="22.5">
      <c r="A267" s="1659"/>
      <c r="B267" s="2421" t="s">
        <v>1156</v>
      </c>
      <c r="C267" s="2422" t="s">
        <v>104</v>
      </c>
      <c r="D267" s="713" t="str">
        <f>B267&amp;".1"</f>
        <v>3.77.1</v>
      </c>
      <c r="E267" s="1691" t="s">
        <v>1039</v>
      </c>
      <c r="F267" s="2287" t="s">
        <v>390</v>
      </c>
      <c r="G267" s="2377" t="s">
        <v>22</v>
      </c>
      <c r="H267" s="842" t="s">
        <v>22</v>
      </c>
      <c r="I267" s="2377" t="s">
        <v>1059</v>
      </c>
      <c r="J267" s="842" t="s">
        <v>22</v>
      </c>
      <c r="K267" s="2377" t="s">
        <v>22</v>
      </c>
      <c r="L267" s="842" t="s">
        <v>22</v>
      </c>
      <c r="M267" s="2942" t="s">
        <v>22</v>
      </c>
      <c r="N267" s="2940" t="s">
        <v>22</v>
      </c>
      <c r="O267" s="2377" t="s">
        <v>1059</v>
      </c>
      <c r="P267" s="842" t="s">
        <v>22</v>
      </c>
      <c r="Q267" s="2377" t="s">
        <v>1059</v>
      </c>
      <c r="R267" s="842" t="s">
        <v>22</v>
      </c>
      <c r="S267" s="2377" t="s">
        <v>1059</v>
      </c>
      <c r="T267" s="842" t="s">
        <v>22</v>
      </c>
      <c r="U267" s="2377" t="s">
        <v>1059</v>
      </c>
      <c r="V267" s="842" t="s">
        <v>22</v>
      </c>
      <c r="W267" s="2377" t="s">
        <v>22</v>
      </c>
      <c r="X267" s="842" t="s">
        <v>22</v>
      </c>
      <c r="Y267" s="2377" t="s">
        <v>22</v>
      </c>
      <c r="Z267" s="842" t="s">
        <v>22</v>
      </c>
      <c r="AA267" s="2942" t="s">
        <v>22</v>
      </c>
      <c r="AB267" s="2940" t="s">
        <v>22</v>
      </c>
      <c r="AC267" s="2377" t="s">
        <v>1059</v>
      </c>
      <c r="AD267" s="842" t="s">
        <v>22</v>
      </c>
      <c r="AE267" s="2377" t="s">
        <v>1148</v>
      </c>
      <c r="AF267" s="842" t="s">
        <v>22</v>
      </c>
      <c r="AG267" s="2942" t="s">
        <v>22</v>
      </c>
      <c r="AH267" s="2940" t="s">
        <v>22</v>
      </c>
      <c r="AI267" s="2377" t="s">
        <v>1059</v>
      </c>
      <c r="AJ267" s="842" t="s">
        <v>22</v>
      </c>
      <c r="AK267" s="2377" t="s">
        <v>22</v>
      </c>
      <c r="AL267" s="842" t="s">
        <v>22</v>
      </c>
      <c r="AM267" s="1549"/>
      <c r="AN267" s="1659"/>
      <c r="AO267" s="1659"/>
      <c r="AP267" s="1659"/>
      <c r="AQ267" s="1659"/>
      <c r="AR267" s="1659"/>
      <c r="AS267" s="1659"/>
      <c r="AT267" s="1659"/>
      <c r="AU267" s="1659"/>
      <c r="AV267" s="1659"/>
      <c r="AW267" s="699"/>
      <c r="AX267" s="1659">
        <v>0</v>
      </c>
    </row>
    <row s="1874" customFormat="1" customHeight="1" ht="15">
      <c r="A268" s="1659"/>
      <c r="B268" s="2421"/>
      <c r="C268" s="2422"/>
      <c r="D268" s="713" t="str">
        <f>B267&amp;".2"</f>
        <v>3.77.2</v>
      </c>
      <c r="E268" s="1691" t="s">
        <v>1040</v>
      </c>
      <c r="F268" s="2287" t="s">
        <v>390</v>
      </c>
      <c r="G268" s="1762" t="s">
        <v>22</v>
      </c>
      <c r="H268" s="842" t="s">
        <v>22</v>
      </c>
      <c r="I268" s="1762">
        <v>46132</v>
      </c>
      <c r="J268" s="842" t="s">
        <v>22</v>
      </c>
      <c r="K268" s="1762" t="s">
        <v>22</v>
      </c>
      <c r="L268" s="842" t="s">
        <v>22</v>
      </c>
      <c r="M268" s="2943" t="s">
        <v>22</v>
      </c>
      <c r="N268" s="2940" t="s">
        <v>22</v>
      </c>
      <c r="O268" s="1762">
        <v>46142</v>
      </c>
      <c r="P268" s="842" t="s">
        <v>22</v>
      </c>
      <c r="Q268" s="1762">
        <v>46122</v>
      </c>
      <c r="R268" s="842" t="s">
        <v>22</v>
      </c>
      <c r="S268" s="1762">
        <v>46132</v>
      </c>
      <c r="T268" s="842" t="s">
        <v>22</v>
      </c>
      <c r="U268" s="1762">
        <v>46142</v>
      </c>
      <c r="V268" s="842" t="s">
        <v>22</v>
      </c>
      <c r="W268" s="1762" t="s">
        <v>22</v>
      </c>
      <c r="X268" s="842" t="s">
        <v>22</v>
      </c>
      <c r="Y268" s="1762" t="s">
        <v>22</v>
      </c>
      <c r="Z268" s="842" t="s">
        <v>22</v>
      </c>
      <c r="AA268" s="2943" t="s">
        <v>22</v>
      </c>
      <c r="AB268" s="2940" t="s">
        <v>22</v>
      </c>
      <c r="AC268" s="1762">
        <v>46142</v>
      </c>
      <c r="AD268" s="842" t="s">
        <v>22</v>
      </c>
      <c r="AE268" s="1762">
        <v>46148</v>
      </c>
      <c r="AF268" s="842" t="s">
        <v>22</v>
      </c>
      <c r="AG268" s="2943" t="s">
        <v>22</v>
      </c>
      <c r="AH268" s="2940" t="s">
        <v>22</v>
      </c>
      <c r="AI268" s="1762">
        <v>46142</v>
      </c>
      <c r="AJ268" s="842" t="s">
        <v>22</v>
      </c>
      <c r="AK268" s="1762" t="s">
        <v>22</v>
      </c>
      <c r="AL268" s="842" t="s">
        <v>22</v>
      </c>
      <c r="AM268" s="1549" t="s">
        <v>1041</v>
      </c>
      <c r="AN268" s="1659"/>
      <c r="AO268" s="1659"/>
      <c r="AP268" s="1659"/>
      <c r="AQ268" s="1659"/>
      <c r="AR268" s="1659"/>
      <c r="AS268" s="1659"/>
      <c r="AT268" s="1659"/>
      <c r="AU268" s="1659"/>
      <c r="AV268" s="1659"/>
      <c r="AW268" s="699"/>
      <c r="AX268" s="1659">
        <v>0</v>
      </c>
    </row>
    <row s="1874" customFormat="1" customHeight="1" ht="15">
      <c r="A269" s="1659"/>
      <c r="B269" s="2421"/>
      <c r="C269" s="2422"/>
      <c r="D269" s="713" t="str">
        <f>B267&amp;".3"</f>
        <v>3.77.3</v>
      </c>
      <c r="E269" s="1691" t="s">
        <v>1042</v>
      </c>
      <c r="F269" s="2287" t="s">
        <v>390</v>
      </c>
      <c r="G269" s="1762" t="s">
        <v>22</v>
      </c>
      <c r="H269" s="842" t="s">
        <v>22</v>
      </c>
      <c r="I269" s="1762" t="s">
        <v>22</v>
      </c>
      <c r="J269" s="842" t="s">
        <v>22</v>
      </c>
      <c r="K269" s="1762" t="s">
        <v>22</v>
      </c>
      <c r="L269" s="842" t="s">
        <v>22</v>
      </c>
      <c r="M269" s="2943" t="s">
        <v>22</v>
      </c>
      <c r="N269" s="2940" t="s">
        <v>22</v>
      </c>
      <c r="O269" s="1762" t="s">
        <v>22</v>
      </c>
      <c r="P269" s="842" t="s">
        <v>22</v>
      </c>
      <c r="Q269" s="1762" t="s">
        <v>22</v>
      </c>
      <c r="R269" s="842" t="s">
        <v>22</v>
      </c>
      <c r="S269" s="1762"/>
      <c r="T269" s="842" t="s">
        <v>22</v>
      </c>
      <c r="U269" s="1762" t="s">
        <v>22</v>
      </c>
      <c r="V269" s="842" t="s">
        <v>22</v>
      </c>
      <c r="W269" s="1762" t="s">
        <v>22</v>
      </c>
      <c r="X269" s="842" t="s">
        <v>22</v>
      </c>
      <c r="Y269" s="1762" t="s">
        <v>22</v>
      </c>
      <c r="Z269" s="842" t="s">
        <v>22</v>
      </c>
      <c r="AA269" s="2943" t="s">
        <v>22</v>
      </c>
      <c r="AB269" s="2940" t="s">
        <v>22</v>
      </c>
      <c r="AC269" s="1762" t="s">
        <v>22</v>
      </c>
      <c r="AD269" s="842" t="s">
        <v>22</v>
      </c>
      <c r="AE269" s="1762" t="s">
        <v>22</v>
      </c>
      <c r="AF269" s="842" t="s">
        <v>22</v>
      </c>
      <c r="AG269" s="2943" t="s">
        <v>22</v>
      </c>
      <c r="AH269" s="2940" t="s">
        <v>22</v>
      </c>
      <c r="AI269" s="1762" t="s">
        <v>22</v>
      </c>
      <c r="AJ269" s="842" t="s">
        <v>22</v>
      </c>
      <c r="AK269" s="1762" t="s">
        <v>22</v>
      </c>
      <c r="AL269" s="842" t="s">
        <v>22</v>
      </c>
      <c r="AM269" s="1549" t="s">
        <v>1043</v>
      </c>
      <c r="AN269" s="1659"/>
      <c r="AO269" s="1659"/>
      <c r="AP269" s="1659"/>
      <c r="AQ269" s="1659"/>
      <c r="AR269" s="1659"/>
      <c r="AS269" s="1659"/>
      <c r="AT269" s="1659"/>
      <c r="AU269" s="1659"/>
      <c r="AV269" s="1659"/>
      <c r="AW269" s="699"/>
      <c r="AX269" s="1659">
        <v>0</v>
      </c>
    </row>
    <row s="1874" customFormat="1" customHeight="1" ht="22.5">
      <c r="A270" s="1659"/>
      <c r="B270" s="2421" t="s">
        <v>1157</v>
      </c>
      <c r="C270" s="2422" t="s">
        <v>104</v>
      </c>
      <c r="D270" s="713" t="str">
        <f>B270&amp;".1"</f>
        <v>3.78.1</v>
      </c>
      <c r="E270" s="1691" t="s">
        <v>1039</v>
      </c>
      <c r="F270" s="2287" t="s">
        <v>390</v>
      </c>
      <c r="G270" s="2377" t="s">
        <v>22</v>
      </c>
      <c r="H270" s="842" t="s">
        <v>22</v>
      </c>
      <c r="I270" s="2377" t="s">
        <v>1059</v>
      </c>
      <c r="J270" s="842" t="s">
        <v>22</v>
      </c>
      <c r="K270" s="2377" t="s">
        <v>22</v>
      </c>
      <c r="L270" s="842" t="s">
        <v>22</v>
      </c>
      <c r="M270" s="2942" t="s">
        <v>22</v>
      </c>
      <c r="N270" s="2940" t="s">
        <v>22</v>
      </c>
      <c r="O270" s="2377" t="s">
        <v>1059</v>
      </c>
      <c r="P270" s="842" t="s">
        <v>22</v>
      </c>
      <c r="Q270" s="2377" t="s">
        <v>1059</v>
      </c>
      <c r="R270" s="842" t="s">
        <v>22</v>
      </c>
      <c r="S270" s="2377" t="s">
        <v>1059</v>
      </c>
      <c r="T270" s="842" t="s">
        <v>22</v>
      </c>
      <c r="U270" s="2377" t="s">
        <v>1059</v>
      </c>
      <c r="V270" s="842" t="s">
        <v>22</v>
      </c>
      <c r="W270" s="2377" t="s">
        <v>22</v>
      </c>
      <c r="X270" s="842" t="s">
        <v>22</v>
      </c>
      <c r="Y270" s="2377" t="s">
        <v>22</v>
      </c>
      <c r="Z270" s="842" t="s">
        <v>22</v>
      </c>
      <c r="AA270" s="2942" t="s">
        <v>22</v>
      </c>
      <c r="AB270" s="2940" t="s">
        <v>22</v>
      </c>
      <c r="AC270" s="2377" t="s">
        <v>1059</v>
      </c>
      <c r="AD270" s="842" t="s">
        <v>22</v>
      </c>
      <c r="AE270" s="2377" t="s">
        <v>1148</v>
      </c>
      <c r="AF270" s="842" t="s">
        <v>22</v>
      </c>
      <c r="AG270" s="2942" t="s">
        <v>22</v>
      </c>
      <c r="AH270" s="2940" t="s">
        <v>22</v>
      </c>
      <c r="AI270" s="2377" t="s">
        <v>1059</v>
      </c>
      <c r="AJ270" s="842" t="s">
        <v>22</v>
      </c>
      <c r="AK270" s="2377" t="s">
        <v>22</v>
      </c>
      <c r="AL270" s="842" t="s">
        <v>22</v>
      </c>
      <c r="AM270" s="1549"/>
      <c r="AN270" s="1659"/>
      <c r="AO270" s="1659"/>
      <c r="AP270" s="1659"/>
      <c r="AQ270" s="1659"/>
      <c r="AR270" s="1659"/>
      <c r="AS270" s="1659"/>
      <c r="AT270" s="1659"/>
      <c r="AU270" s="1659"/>
      <c r="AV270" s="1659"/>
      <c r="AW270" s="699"/>
      <c r="AX270" s="1659">
        <v>0</v>
      </c>
    </row>
    <row s="1874" customFormat="1" customHeight="1" ht="15">
      <c r="A271" s="1659"/>
      <c r="B271" s="2421"/>
      <c r="C271" s="2422"/>
      <c r="D271" s="713" t="str">
        <f>B270&amp;".2"</f>
        <v>3.78.2</v>
      </c>
      <c r="E271" s="1691" t="s">
        <v>1040</v>
      </c>
      <c r="F271" s="2287" t="s">
        <v>390</v>
      </c>
      <c r="G271" s="1762" t="s">
        <v>22</v>
      </c>
      <c r="H271" s="842" t="s">
        <v>22</v>
      </c>
      <c r="I271" s="1762">
        <v>46133</v>
      </c>
      <c r="J271" s="842" t="s">
        <v>22</v>
      </c>
      <c r="K271" s="1762" t="s">
        <v>22</v>
      </c>
      <c r="L271" s="842" t="s">
        <v>22</v>
      </c>
      <c r="M271" s="2943" t="s">
        <v>22</v>
      </c>
      <c r="N271" s="2940" t="s">
        <v>22</v>
      </c>
      <c r="O271" s="1762">
        <v>46142</v>
      </c>
      <c r="P271" s="842" t="s">
        <v>22</v>
      </c>
      <c r="Q271" s="1762">
        <v>46122</v>
      </c>
      <c r="R271" s="842" t="s">
        <v>22</v>
      </c>
      <c r="S271" s="1762">
        <v>46132</v>
      </c>
      <c r="T271" s="842" t="s">
        <v>22</v>
      </c>
      <c r="U271" s="1762">
        <v>46142</v>
      </c>
      <c r="V271" s="842" t="s">
        <v>22</v>
      </c>
      <c r="W271" s="1762" t="s">
        <v>22</v>
      </c>
      <c r="X271" s="842" t="s">
        <v>22</v>
      </c>
      <c r="Y271" s="1762" t="s">
        <v>22</v>
      </c>
      <c r="Z271" s="842" t="s">
        <v>22</v>
      </c>
      <c r="AA271" s="2943" t="s">
        <v>22</v>
      </c>
      <c r="AB271" s="2940" t="s">
        <v>22</v>
      </c>
      <c r="AC271" s="1762">
        <v>46142</v>
      </c>
      <c r="AD271" s="842" t="s">
        <v>22</v>
      </c>
      <c r="AE271" s="1762">
        <v>46148</v>
      </c>
      <c r="AF271" s="842" t="s">
        <v>22</v>
      </c>
      <c r="AG271" s="2943" t="s">
        <v>22</v>
      </c>
      <c r="AH271" s="2940" t="s">
        <v>22</v>
      </c>
      <c r="AI271" s="1762">
        <v>46142</v>
      </c>
      <c r="AJ271" s="842" t="s">
        <v>22</v>
      </c>
      <c r="AK271" s="1762" t="s">
        <v>22</v>
      </c>
      <c r="AL271" s="842" t="s">
        <v>22</v>
      </c>
      <c r="AM271" s="1549" t="s">
        <v>1041</v>
      </c>
      <c r="AN271" s="1659"/>
      <c r="AO271" s="1659"/>
      <c r="AP271" s="1659"/>
      <c r="AQ271" s="1659"/>
      <c r="AR271" s="1659"/>
      <c r="AS271" s="1659"/>
      <c r="AT271" s="1659"/>
      <c r="AU271" s="1659"/>
      <c r="AV271" s="1659"/>
      <c r="AW271" s="699"/>
      <c r="AX271" s="1659">
        <v>0</v>
      </c>
    </row>
    <row s="1874" customFormat="1" customHeight="1" ht="15">
      <c r="A272" s="1659"/>
      <c r="B272" s="2421"/>
      <c r="C272" s="2422"/>
      <c r="D272" s="713" t="str">
        <f>B270&amp;".3"</f>
        <v>3.78.3</v>
      </c>
      <c r="E272" s="1691" t="s">
        <v>1042</v>
      </c>
      <c r="F272" s="2287" t="s">
        <v>390</v>
      </c>
      <c r="G272" s="1762" t="s">
        <v>22</v>
      </c>
      <c r="H272" s="842" t="s">
        <v>22</v>
      </c>
      <c r="I272" s="1762" t="s">
        <v>22</v>
      </c>
      <c r="J272" s="842" t="s">
        <v>22</v>
      </c>
      <c r="K272" s="1762" t="s">
        <v>22</v>
      </c>
      <c r="L272" s="842" t="s">
        <v>22</v>
      </c>
      <c r="M272" s="2943" t="s">
        <v>22</v>
      </c>
      <c r="N272" s="2940" t="s">
        <v>22</v>
      </c>
      <c r="O272" s="1762" t="s">
        <v>22</v>
      </c>
      <c r="P272" s="842" t="s">
        <v>22</v>
      </c>
      <c r="Q272" s="1762" t="s">
        <v>22</v>
      </c>
      <c r="R272" s="842" t="s">
        <v>22</v>
      </c>
      <c r="S272" s="1762"/>
      <c r="T272" s="842" t="s">
        <v>22</v>
      </c>
      <c r="U272" s="1762" t="s">
        <v>22</v>
      </c>
      <c r="V272" s="842" t="s">
        <v>22</v>
      </c>
      <c r="W272" s="1762" t="s">
        <v>22</v>
      </c>
      <c r="X272" s="842" t="s">
        <v>22</v>
      </c>
      <c r="Y272" s="1762" t="s">
        <v>22</v>
      </c>
      <c r="Z272" s="842" t="s">
        <v>22</v>
      </c>
      <c r="AA272" s="2943" t="s">
        <v>22</v>
      </c>
      <c r="AB272" s="2940" t="s">
        <v>22</v>
      </c>
      <c r="AC272" s="1762" t="s">
        <v>22</v>
      </c>
      <c r="AD272" s="842" t="s">
        <v>22</v>
      </c>
      <c r="AE272" s="1762" t="s">
        <v>22</v>
      </c>
      <c r="AF272" s="842" t="s">
        <v>22</v>
      </c>
      <c r="AG272" s="2943" t="s">
        <v>22</v>
      </c>
      <c r="AH272" s="2940" t="s">
        <v>22</v>
      </c>
      <c r="AI272" s="1762" t="s">
        <v>22</v>
      </c>
      <c r="AJ272" s="842" t="s">
        <v>22</v>
      </c>
      <c r="AK272" s="1762" t="s">
        <v>22</v>
      </c>
      <c r="AL272" s="842" t="s">
        <v>22</v>
      </c>
      <c r="AM272" s="1549" t="s">
        <v>1043</v>
      </c>
      <c r="AN272" s="1659"/>
      <c r="AO272" s="1659"/>
      <c r="AP272" s="1659"/>
      <c r="AQ272" s="1659"/>
      <c r="AR272" s="1659"/>
      <c r="AS272" s="1659"/>
      <c r="AT272" s="1659"/>
      <c r="AU272" s="1659"/>
      <c r="AV272" s="1659"/>
      <c r="AW272" s="699"/>
      <c r="AX272" s="1659">
        <v>0</v>
      </c>
    </row>
    <row s="1874" customFormat="1" customHeight="1" ht="22.5">
      <c r="A273" s="1659"/>
      <c r="B273" s="2421" t="s">
        <v>1158</v>
      </c>
      <c r="C273" s="2422" t="s">
        <v>104</v>
      </c>
      <c r="D273" s="713" t="str">
        <f>B273&amp;".1"</f>
        <v>3.79.1</v>
      </c>
      <c r="E273" s="1691" t="s">
        <v>1039</v>
      </c>
      <c r="F273" s="2287" t="s">
        <v>390</v>
      </c>
      <c r="G273" s="2377" t="s">
        <v>22</v>
      </c>
      <c r="H273" s="842" t="s">
        <v>22</v>
      </c>
      <c r="I273" s="2377" t="s">
        <v>1059</v>
      </c>
      <c r="J273" s="842" t="s">
        <v>22</v>
      </c>
      <c r="K273" s="2377" t="s">
        <v>22</v>
      </c>
      <c r="L273" s="842" t="s">
        <v>22</v>
      </c>
      <c r="M273" s="2942" t="s">
        <v>22</v>
      </c>
      <c r="N273" s="2940" t="s">
        <v>22</v>
      </c>
      <c r="O273" s="2377" t="s">
        <v>1059</v>
      </c>
      <c r="P273" s="842" t="s">
        <v>22</v>
      </c>
      <c r="Q273" s="2377" t="s">
        <v>1059</v>
      </c>
      <c r="R273" s="842" t="s">
        <v>22</v>
      </c>
      <c r="S273" s="2377" t="s">
        <v>1059</v>
      </c>
      <c r="T273" s="842" t="s">
        <v>22</v>
      </c>
      <c r="U273" s="2377" t="s">
        <v>1059</v>
      </c>
      <c r="V273" s="842" t="s">
        <v>22</v>
      </c>
      <c r="W273" s="2377" t="s">
        <v>22</v>
      </c>
      <c r="X273" s="842" t="s">
        <v>22</v>
      </c>
      <c r="Y273" s="2377" t="s">
        <v>22</v>
      </c>
      <c r="Z273" s="842" t="s">
        <v>22</v>
      </c>
      <c r="AA273" s="2942" t="s">
        <v>22</v>
      </c>
      <c r="AB273" s="2940" t="s">
        <v>22</v>
      </c>
      <c r="AC273" s="2377" t="s">
        <v>1059</v>
      </c>
      <c r="AD273" s="842" t="s">
        <v>22</v>
      </c>
      <c r="AE273" s="2377" t="s">
        <v>1148</v>
      </c>
      <c r="AF273" s="842" t="s">
        <v>22</v>
      </c>
      <c r="AG273" s="2942" t="s">
        <v>22</v>
      </c>
      <c r="AH273" s="2940" t="s">
        <v>22</v>
      </c>
      <c r="AI273" s="2377" t="s">
        <v>1059</v>
      </c>
      <c r="AJ273" s="842" t="s">
        <v>22</v>
      </c>
      <c r="AK273" s="2377" t="s">
        <v>22</v>
      </c>
      <c r="AL273" s="842" t="s">
        <v>22</v>
      </c>
      <c r="AM273" s="1549"/>
      <c r="AN273" s="1659"/>
      <c r="AO273" s="1659"/>
      <c r="AP273" s="1659"/>
      <c r="AQ273" s="1659"/>
      <c r="AR273" s="1659"/>
      <c r="AS273" s="1659"/>
      <c r="AT273" s="1659"/>
      <c r="AU273" s="1659"/>
      <c r="AV273" s="1659"/>
      <c r="AW273" s="699"/>
      <c r="AX273" s="1659">
        <v>0</v>
      </c>
    </row>
    <row s="1874" customFormat="1" customHeight="1" ht="15">
      <c r="A274" s="1659"/>
      <c r="B274" s="2421"/>
      <c r="C274" s="2422"/>
      <c r="D274" s="713" t="str">
        <f>B273&amp;".2"</f>
        <v>3.79.2</v>
      </c>
      <c r="E274" s="1691" t="s">
        <v>1040</v>
      </c>
      <c r="F274" s="2287" t="s">
        <v>390</v>
      </c>
      <c r="G274" s="1762" t="s">
        <v>22</v>
      </c>
      <c r="H274" s="842" t="s">
        <v>22</v>
      </c>
      <c r="I274" s="1762">
        <v>46133</v>
      </c>
      <c r="J274" s="842" t="s">
        <v>22</v>
      </c>
      <c r="K274" s="1762" t="s">
        <v>22</v>
      </c>
      <c r="L274" s="842" t="s">
        <v>22</v>
      </c>
      <c r="M274" s="2943" t="s">
        <v>22</v>
      </c>
      <c r="N274" s="2940" t="s">
        <v>22</v>
      </c>
      <c r="O274" s="1762">
        <v>46142</v>
      </c>
      <c r="P274" s="842" t="s">
        <v>22</v>
      </c>
      <c r="Q274" s="1762">
        <v>46122</v>
      </c>
      <c r="R274" s="842" t="s">
        <v>22</v>
      </c>
      <c r="S274" s="1762">
        <v>46132</v>
      </c>
      <c r="T274" s="842" t="s">
        <v>22</v>
      </c>
      <c r="U274" s="1762">
        <v>46142</v>
      </c>
      <c r="V274" s="842" t="s">
        <v>22</v>
      </c>
      <c r="W274" s="1762" t="s">
        <v>22</v>
      </c>
      <c r="X274" s="842" t="s">
        <v>22</v>
      </c>
      <c r="Y274" s="1762" t="s">
        <v>22</v>
      </c>
      <c r="Z274" s="842" t="s">
        <v>22</v>
      </c>
      <c r="AA274" s="2943" t="s">
        <v>22</v>
      </c>
      <c r="AB274" s="2940" t="s">
        <v>22</v>
      </c>
      <c r="AC274" s="1762">
        <v>46142</v>
      </c>
      <c r="AD274" s="842" t="s">
        <v>22</v>
      </c>
      <c r="AE274" s="1762">
        <v>46148</v>
      </c>
      <c r="AF274" s="842" t="s">
        <v>22</v>
      </c>
      <c r="AG274" s="2943" t="s">
        <v>22</v>
      </c>
      <c r="AH274" s="2940" t="s">
        <v>22</v>
      </c>
      <c r="AI274" s="1762">
        <v>46142</v>
      </c>
      <c r="AJ274" s="842" t="s">
        <v>22</v>
      </c>
      <c r="AK274" s="1762" t="s">
        <v>22</v>
      </c>
      <c r="AL274" s="842" t="s">
        <v>22</v>
      </c>
      <c r="AM274" s="1549" t="s">
        <v>1041</v>
      </c>
      <c r="AN274" s="1659"/>
      <c r="AO274" s="1659"/>
      <c r="AP274" s="1659"/>
      <c r="AQ274" s="1659"/>
      <c r="AR274" s="1659"/>
      <c r="AS274" s="1659"/>
      <c r="AT274" s="1659"/>
      <c r="AU274" s="1659"/>
      <c r="AV274" s="1659"/>
      <c r="AW274" s="699"/>
      <c r="AX274" s="1659">
        <v>0</v>
      </c>
    </row>
    <row s="1874" customFormat="1" customHeight="1" ht="15">
      <c r="A275" s="1659"/>
      <c r="B275" s="2421"/>
      <c r="C275" s="2422"/>
      <c r="D275" s="713" t="str">
        <f>B273&amp;".3"</f>
        <v>3.79.3</v>
      </c>
      <c r="E275" s="1691" t="s">
        <v>1042</v>
      </c>
      <c r="F275" s="2287" t="s">
        <v>390</v>
      </c>
      <c r="G275" s="1762" t="s">
        <v>22</v>
      </c>
      <c r="H275" s="842" t="s">
        <v>22</v>
      </c>
      <c r="I275" s="1762" t="s">
        <v>22</v>
      </c>
      <c r="J275" s="842" t="s">
        <v>22</v>
      </c>
      <c r="K275" s="1762" t="s">
        <v>22</v>
      </c>
      <c r="L275" s="842" t="s">
        <v>22</v>
      </c>
      <c r="M275" s="2943" t="s">
        <v>22</v>
      </c>
      <c r="N275" s="2940" t="s">
        <v>22</v>
      </c>
      <c r="O275" s="1762" t="s">
        <v>22</v>
      </c>
      <c r="P275" s="842" t="s">
        <v>22</v>
      </c>
      <c r="Q275" s="1762" t="s">
        <v>22</v>
      </c>
      <c r="R275" s="842" t="s">
        <v>22</v>
      </c>
      <c r="S275" s="1762"/>
      <c r="T275" s="842" t="s">
        <v>22</v>
      </c>
      <c r="U275" s="1762" t="s">
        <v>22</v>
      </c>
      <c r="V275" s="842" t="s">
        <v>22</v>
      </c>
      <c r="W275" s="1762" t="s">
        <v>22</v>
      </c>
      <c r="X275" s="842" t="s">
        <v>22</v>
      </c>
      <c r="Y275" s="1762" t="s">
        <v>22</v>
      </c>
      <c r="Z275" s="842" t="s">
        <v>22</v>
      </c>
      <c r="AA275" s="2943" t="s">
        <v>22</v>
      </c>
      <c r="AB275" s="2940" t="s">
        <v>22</v>
      </c>
      <c r="AC275" s="1762" t="s">
        <v>22</v>
      </c>
      <c r="AD275" s="842" t="s">
        <v>22</v>
      </c>
      <c r="AE275" s="1762" t="s">
        <v>22</v>
      </c>
      <c r="AF275" s="842" t="s">
        <v>22</v>
      </c>
      <c r="AG275" s="2943" t="s">
        <v>22</v>
      </c>
      <c r="AH275" s="2940" t="s">
        <v>22</v>
      </c>
      <c r="AI275" s="1762" t="s">
        <v>22</v>
      </c>
      <c r="AJ275" s="842" t="s">
        <v>22</v>
      </c>
      <c r="AK275" s="1762" t="s">
        <v>22</v>
      </c>
      <c r="AL275" s="842" t="s">
        <v>22</v>
      </c>
      <c r="AM275" s="1549" t="s">
        <v>1043</v>
      </c>
      <c r="AN275" s="1659"/>
      <c r="AO275" s="1659"/>
      <c r="AP275" s="1659"/>
      <c r="AQ275" s="1659"/>
      <c r="AR275" s="1659"/>
      <c r="AS275" s="1659"/>
      <c r="AT275" s="1659"/>
      <c r="AU275" s="1659"/>
      <c r="AV275" s="1659"/>
      <c r="AW275" s="699"/>
      <c r="AX275" s="1659">
        <v>0</v>
      </c>
    </row>
    <row s="1874" customFormat="1" customHeight="1" ht="22.5">
      <c r="A276" s="1659"/>
      <c r="B276" s="2421" t="s">
        <v>1159</v>
      </c>
      <c r="C276" s="2422" t="s">
        <v>104</v>
      </c>
      <c r="D276" s="713" t="str">
        <f>B276&amp;".1"</f>
        <v>3.80.1</v>
      </c>
      <c r="E276" s="1691" t="s">
        <v>1039</v>
      </c>
      <c r="F276" s="2287" t="s">
        <v>390</v>
      </c>
      <c r="G276" s="2377" t="s">
        <v>22</v>
      </c>
      <c r="H276" s="842" t="s">
        <v>22</v>
      </c>
      <c r="I276" s="2377" t="s">
        <v>1059</v>
      </c>
      <c r="J276" s="842" t="s">
        <v>22</v>
      </c>
      <c r="K276" s="2377" t="s">
        <v>22</v>
      </c>
      <c r="L276" s="842" t="s">
        <v>22</v>
      </c>
      <c r="M276" s="2942" t="s">
        <v>22</v>
      </c>
      <c r="N276" s="2940" t="s">
        <v>22</v>
      </c>
      <c r="O276" s="2377" t="s">
        <v>1059</v>
      </c>
      <c r="P276" s="842" t="s">
        <v>22</v>
      </c>
      <c r="Q276" s="2377" t="s">
        <v>1059</v>
      </c>
      <c r="R276" s="842" t="s">
        <v>22</v>
      </c>
      <c r="S276" s="2377" t="s">
        <v>1059</v>
      </c>
      <c r="T276" s="842" t="s">
        <v>22</v>
      </c>
      <c r="U276" s="2377" t="s">
        <v>1059</v>
      </c>
      <c r="V276" s="842" t="s">
        <v>22</v>
      </c>
      <c r="W276" s="2377" t="s">
        <v>22</v>
      </c>
      <c r="X276" s="842" t="s">
        <v>22</v>
      </c>
      <c r="Y276" s="2377" t="s">
        <v>22</v>
      </c>
      <c r="Z276" s="842" t="s">
        <v>22</v>
      </c>
      <c r="AA276" s="2942" t="s">
        <v>22</v>
      </c>
      <c r="AB276" s="2940" t="s">
        <v>22</v>
      </c>
      <c r="AC276" s="2377" t="s">
        <v>1059</v>
      </c>
      <c r="AD276" s="842" t="s">
        <v>22</v>
      </c>
      <c r="AE276" s="2377" t="s">
        <v>1148</v>
      </c>
      <c r="AF276" s="842" t="s">
        <v>22</v>
      </c>
      <c r="AG276" s="2942" t="s">
        <v>22</v>
      </c>
      <c r="AH276" s="2940" t="s">
        <v>22</v>
      </c>
      <c r="AI276" s="2377" t="s">
        <v>1059</v>
      </c>
      <c r="AJ276" s="842" t="s">
        <v>22</v>
      </c>
      <c r="AK276" s="2377" t="s">
        <v>22</v>
      </c>
      <c r="AL276" s="842" t="s">
        <v>22</v>
      </c>
      <c r="AM276" s="1549"/>
      <c r="AN276" s="1659"/>
      <c r="AO276" s="1659"/>
      <c r="AP276" s="1659"/>
      <c r="AQ276" s="1659"/>
      <c r="AR276" s="1659"/>
      <c r="AS276" s="1659"/>
      <c r="AT276" s="1659"/>
      <c r="AU276" s="1659"/>
      <c r="AV276" s="1659"/>
      <c r="AW276" s="699"/>
      <c r="AX276" s="1659">
        <v>0</v>
      </c>
    </row>
    <row s="1874" customFormat="1" customHeight="1" ht="15">
      <c r="A277" s="1659"/>
      <c r="B277" s="2421"/>
      <c r="C277" s="2422"/>
      <c r="D277" s="713" t="str">
        <f>B276&amp;".2"</f>
        <v>3.80.2</v>
      </c>
      <c r="E277" s="1691" t="s">
        <v>1040</v>
      </c>
      <c r="F277" s="2287" t="s">
        <v>390</v>
      </c>
      <c r="G277" s="1762" t="s">
        <v>22</v>
      </c>
      <c r="H277" s="842" t="s">
        <v>22</v>
      </c>
      <c r="I277" s="1762">
        <v>46133</v>
      </c>
      <c r="J277" s="842" t="s">
        <v>22</v>
      </c>
      <c r="K277" s="1762" t="s">
        <v>22</v>
      </c>
      <c r="L277" s="842" t="s">
        <v>22</v>
      </c>
      <c r="M277" s="2943" t="s">
        <v>22</v>
      </c>
      <c r="N277" s="2940" t="s">
        <v>22</v>
      </c>
      <c r="O277" s="1762">
        <v>46142</v>
      </c>
      <c r="P277" s="842" t="s">
        <v>22</v>
      </c>
      <c r="Q277" s="1762">
        <v>46125</v>
      </c>
      <c r="R277" s="842" t="s">
        <v>22</v>
      </c>
      <c r="S277" s="1762">
        <v>46132</v>
      </c>
      <c r="T277" s="842" t="s">
        <v>22</v>
      </c>
      <c r="U277" s="1762">
        <v>46142</v>
      </c>
      <c r="V277" s="842" t="s">
        <v>22</v>
      </c>
      <c r="W277" s="1762" t="s">
        <v>22</v>
      </c>
      <c r="X277" s="842" t="s">
        <v>22</v>
      </c>
      <c r="Y277" s="1762" t="s">
        <v>22</v>
      </c>
      <c r="Z277" s="842" t="s">
        <v>22</v>
      </c>
      <c r="AA277" s="2943" t="s">
        <v>22</v>
      </c>
      <c r="AB277" s="2940" t="s">
        <v>22</v>
      </c>
      <c r="AC277" s="1762">
        <v>46142</v>
      </c>
      <c r="AD277" s="842" t="s">
        <v>22</v>
      </c>
      <c r="AE277" s="1762">
        <v>46148</v>
      </c>
      <c r="AF277" s="842" t="s">
        <v>22</v>
      </c>
      <c r="AG277" s="2943" t="s">
        <v>22</v>
      </c>
      <c r="AH277" s="2940" t="s">
        <v>22</v>
      </c>
      <c r="AI277" s="1762">
        <v>46142</v>
      </c>
      <c r="AJ277" s="842" t="s">
        <v>22</v>
      </c>
      <c r="AK277" s="1762" t="s">
        <v>22</v>
      </c>
      <c r="AL277" s="842" t="s">
        <v>22</v>
      </c>
      <c r="AM277" s="1549" t="s">
        <v>1041</v>
      </c>
      <c r="AN277" s="1659"/>
      <c r="AO277" s="1659"/>
      <c r="AP277" s="1659"/>
      <c r="AQ277" s="1659"/>
      <c r="AR277" s="1659"/>
      <c r="AS277" s="1659"/>
      <c r="AT277" s="1659"/>
      <c r="AU277" s="1659"/>
      <c r="AV277" s="1659"/>
      <c r="AW277" s="699"/>
      <c r="AX277" s="1659">
        <v>0</v>
      </c>
    </row>
    <row s="1874" customFormat="1" customHeight="1" ht="15">
      <c r="A278" s="1659"/>
      <c r="B278" s="2421"/>
      <c r="C278" s="2422"/>
      <c r="D278" s="713" t="str">
        <f>B276&amp;".3"</f>
        <v>3.80.3</v>
      </c>
      <c r="E278" s="1691" t="s">
        <v>1042</v>
      </c>
      <c r="F278" s="2287" t="s">
        <v>390</v>
      </c>
      <c r="G278" s="1762" t="s">
        <v>22</v>
      </c>
      <c r="H278" s="842" t="s">
        <v>22</v>
      </c>
      <c r="I278" s="1762" t="s">
        <v>22</v>
      </c>
      <c r="J278" s="842" t="s">
        <v>22</v>
      </c>
      <c r="K278" s="1762" t="s">
        <v>22</v>
      </c>
      <c r="L278" s="842" t="s">
        <v>22</v>
      </c>
      <c r="M278" s="2943" t="s">
        <v>22</v>
      </c>
      <c r="N278" s="2940" t="s">
        <v>22</v>
      </c>
      <c r="O278" s="1762" t="s">
        <v>22</v>
      </c>
      <c r="P278" s="842" t="s">
        <v>22</v>
      </c>
      <c r="Q278" s="1762" t="s">
        <v>22</v>
      </c>
      <c r="R278" s="842" t="s">
        <v>22</v>
      </c>
      <c r="S278" s="1762"/>
      <c r="T278" s="842" t="s">
        <v>22</v>
      </c>
      <c r="U278" s="1762" t="s">
        <v>22</v>
      </c>
      <c r="V278" s="842" t="s">
        <v>22</v>
      </c>
      <c r="W278" s="1762" t="s">
        <v>22</v>
      </c>
      <c r="X278" s="842" t="s">
        <v>22</v>
      </c>
      <c r="Y278" s="1762" t="s">
        <v>22</v>
      </c>
      <c r="Z278" s="842" t="s">
        <v>22</v>
      </c>
      <c r="AA278" s="2943" t="s">
        <v>22</v>
      </c>
      <c r="AB278" s="2940" t="s">
        <v>22</v>
      </c>
      <c r="AC278" s="1762" t="s">
        <v>22</v>
      </c>
      <c r="AD278" s="842" t="s">
        <v>22</v>
      </c>
      <c r="AE278" s="1762" t="s">
        <v>22</v>
      </c>
      <c r="AF278" s="842" t="s">
        <v>22</v>
      </c>
      <c r="AG278" s="2943" t="s">
        <v>22</v>
      </c>
      <c r="AH278" s="2940" t="s">
        <v>22</v>
      </c>
      <c r="AI278" s="1762" t="s">
        <v>22</v>
      </c>
      <c r="AJ278" s="842" t="s">
        <v>22</v>
      </c>
      <c r="AK278" s="1762" t="s">
        <v>22</v>
      </c>
      <c r="AL278" s="842" t="s">
        <v>22</v>
      </c>
      <c r="AM278" s="1549" t="s">
        <v>1043</v>
      </c>
      <c r="AN278" s="1659"/>
      <c r="AO278" s="1659"/>
      <c r="AP278" s="1659"/>
      <c r="AQ278" s="1659"/>
      <c r="AR278" s="1659"/>
      <c r="AS278" s="1659"/>
      <c r="AT278" s="1659"/>
      <c r="AU278" s="1659"/>
      <c r="AV278" s="1659"/>
      <c r="AW278" s="699"/>
      <c r="AX278" s="1659">
        <v>0</v>
      </c>
    </row>
    <row s="1874" customFormat="1" customHeight="1" ht="22.5">
      <c r="A279" s="1659"/>
      <c r="B279" s="2421" t="s">
        <v>1160</v>
      </c>
      <c r="C279" s="2422" t="s">
        <v>104</v>
      </c>
      <c r="D279" s="713" t="str">
        <f>B279&amp;".1"</f>
        <v>3.81.1</v>
      </c>
      <c r="E279" s="1691" t="s">
        <v>1039</v>
      </c>
      <c r="F279" s="2287" t="s">
        <v>390</v>
      </c>
      <c r="G279" s="2377" t="s">
        <v>22</v>
      </c>
      <c r="H279" s="842" t="s">
        <v>22</v>
      </c>
      <c r="I279" s="2377" t="s">
        <v>1059</v>
      </c>
      <c r="J279" s="842" t="s">
        <v>22</v>
      </c>
      <c r="K279" s="2377" t="s">
        <v>22</v>
      </c>
      <c r="L279" s="842" t="s">
        <v>22</v>
      </c>
      <c r="M279" s="2942" t="s">
        <v>22</v>
      </c>
      <c r="N279" s="2940" t="s">
        <v>22</v>
      </c>
      <c r="O279" s="2377" t="s">
        <v>1059</v>
      </c>
      <c r="P279" s="842" t="s">
        <v>22</v>
      </c>
      <c r="Q279" s="2377" t="s">
        <v>1061</v>
      </c>
      <c r="R279" s="842" t="s">
        <v>22</v>
      </c>
      <c r="S279" s="2377" t="s">
        <v>1059</v>
      </c>
      <c r="T279" s="842" t="s">
        <v>22</v>
      </c>
      <c r="U279" s="2377" t="s">
        <v>1059</v>
      </c>
      <c r="V279" s="842" t="s">
        <v>22</v>
      </c>
      <c r="W279" s="2377" t="s">
        <v>22</v>
      </c>
      <c r="X279" s="842" t="s">
        <v>22</v>
      </c>
      <c r="Y279" s="2377" t="s">
        <v>22</v>
      </c>
      <c r="Z279" s="842" t="s">
        <v>22</v>
      </c>
      <c r="AA279" s="2942" t="s">
        <v>22</v>
      </c>
      <c r="AB279" s="2940" t="s">
        <v>22</v>
      </c>
      <c r="AC279" s="2377" t="s">
        <v>1059</v>
      </c>
      <c r="AD279" s="842" t="s">
        <v>22</v>
      </c>
      <c r="AE279" s="2377" t="s">
        <v>1148</v>
      </c>
      <c r="AF279" s="842" t="s">
        <v>22</v>
      </c>
      <c r="AG279" s="2942" t="s">
        <v>22</v>
      </c>
      <c r="AH279" s="2940" t="s">
        <v>22</v>
      </c>
      <c r="AI279" s="2377" t="s">
        <v>1059</v>
      </c>
      <c r="AJ279" s="842" t="s">
        <v>22</v>
      </c>
      <c r="AK279" s="2377" t="s">
        <v>22</v>
      </c>
      <c r="AL279" s="842" t="s">
        <v>22</v>
      </c>
      <c r="AM279" s="1549"/>
      <c r="AN279" s="1659"/>
      <c r="AO279" s="1659"/>
      <c r="AP279" s="1659"/>
      <c r="AQ279" s="1659"/>
      <c r="AR279" s="1659"/>
      <c r="AS279" s="1659"/>
      <c r="AT279" s="1659"/>
      <c r="AU279" s="1659"/>
      <c r="AV279" s="1659"/>
      <c r="AW279" s="699"/>
      <c r="AX279" s="1659">
        <v>0</v>
      </c>
    </row>
    <row s="1874" customFormat="1" customHeight="1" ht="15">
      <c r="A280" s="1659"/>
      <c r="B280" s="2421"/>
      <c r="C280" s="2422"/>
      <c r="D280" s="713" t="str">
        <f>B279&amp;".2"</f>
        <v>3.81.2</v>
      </c>
      <c r="E280" s="1691" t="s">
        <v>1040</v>
      </c>
      <c r="F280" s="2287" t="s">
        <v>390</v>
      </c>
      <c r="G280" s="1762" t="s">
        <v>22</v>
      </c>
      <c r="H280" s="842" t="s">
        <v>22</v>
      </c>
      <c r="I280" s="1762">
        <v>46133</v>
      </c>
      <c r="J280" s="842" t="s">
        <v>22</v>
      </c>
      <c r="K280" s="1762" t="s">
        <v>22</v>
      </c>
      <c r="L280" s="842" t="s">
        <v>22</v>
      </c>
      <c r="M280" s="2943" t="s">
        <v>22</v>
      </c>
      <c r="N280" s="2940" t="s">
        <v>22</v>
      </c>
      <c r="O280" s="1762">
        <v>46142</v>
      </c>
      <c r="P280" s="842" t="s">
        <v>22</v>
      </c>
      <c r="Q280" s="1762">
        <v>46126</v>
      </c>
      <c r="R280" s="842" t="s">
        <v>22</v>
      </c>
      <c r="S280" s="1762">
        <v>46132</v>
      </c>
      <c r="T280" s="842" t="s">
        <v>22</v>
      </c>
      <c r="U280" s="1762">
        <v>46142</v>
      </c>
      <c r="V280" s="842" t="s">
        <v>22</v>
      </c>
      <c r="W280" s="1762" t="s">
        <v>22</v>
      </c>
      <c r="X280" s="842" t="s">
        <v>22</v>
      </c>
      <c r="Y280" s="1762" t="s">
        <v>22</v>
      </c>
      <c r="Z280" s="842" t="s">
        <v>22</v>
      </c>
      <c r="AA280" s="2943" t="s">
        <v>22</v>
      </c>
      <c r="AB280" s="2940" t="s">
        <v>22</v>
      </c>
      <c r="AC280" s="1762">
        <v>46142</v>
      </c>
      <c r="AD280" s="842" t="s">
        <v>22</v>
      </c>
      <c r="AE280" s="1762">
        <v>46148</v>
      </c>
      <c r="AF280" s="842" t="s">
        <v>22</v>
      </c>
      <c r="AG280" s="2943" t="s">
        <v>22</v>
      </c>
      <c r="AH280" s="2940" t="s">
        <v>22</v>
      </c>
      <c r="AI280" s="1762">
        <v>46142</v>
      </c>
      <c r="AJ280" s="842" t="s">
        <v>22</v>
      </c>
      <c r="AK280" s="1762" t="s">
        <v>22</v>
      </c>
      <c r="AL280" s="842" t="s">
        <v>22</v>
      </c>
      <c r="AM280" s="1549" t="s">
        <v>1041</v>
      </c>
      <c r="AN280" s="1659"/>
      <c r="AO280" s="1659"/>
      <c r="AP280" s="1659"/>
      <c r="AQ280" s="1659"/>
      <c r="AR280" s="1659"/>
      <c r="AS280" s="1659"/>
      <c r="AT280" s="1659"/>
      <c r="AU280" s="1659"/>
      <c r="AV280" s="1659"/>
      <c r="AW280" s="699"/>
      <c r="AX280" s="1659">
        <v>0</v>
      </c>
    </row>
    <row s="1874" customFormat="1" customHeight="1" ht="15">
      <c r="A281" s="1659"/>
      <c r="B281" s="2421"/>
      <c r="C281" s="2422"/>
      <c r="D281" s="713" t="str">
        <f>B279&amp;".3"</f>
        <v>3.81.3</v>
      </c>
      <c r="E281" s="1691" t="s">
        <v>1042</v>
      </c>
      <c r="F281" s="2287" t="s">
        <v>390</v>
      </c>
      <c r="G281" s="1762" t="s">
        <v>22</v>
      </c>
      <c r="H281" s="842" t="s">
        <v>22</v>
      </c>
      <c r="I281" s="1762" t="s">
        <v>22</v>
      </c>
      <c r="J281" s="842" t="s">
        <v>22</v>
      </c>
      <c r="K281" s="1762" t="s">
        <v>22</v>
      </c>
      <c r="L281" s="842" t="s">
        <v>22</v>
      </c>
      <c r="M281" s="2943" t="s">
        <v>22</v>
      </c>
      <c r="N281" s="2940" t="s">
        <v>22</v>
      </c>
      <c r="O281" s="1762" t="s">
        <v>22</v>
      </c>
      <c r="P281" s="842" t="s">
        <v>22</v>
      </c>
      <c r="Q281" s="1762" t="s">
        <v>22</v>
      </c>
      <c r="R281" s="842" t="s">
        <v>22</v>
      </c>
      <c r="S281" s="1762"/>
      <c r="T281" s="842" t="s">
        <v>22</v>
      </c>
      <c r="U281" s="1762" t="s">
        <v>22</v>
      </c>
      <c r="V281" s="842" t="s">
        <v>22</v>
      </c>
      <c r="W281" s="1762" t="s">
        <v>22</v>
      </c>
      <c r="X281" s="842" t="s">
        <v>22</v>
      </c>
      <c r="Y281" s="1762" t="s">
        <v>22</v>
      </c>
      <c r="Z281" s="842" t="s">
        <v>22</v>
      </c>
      <c r="AA281" s="2943" t="s">
        <v>22</v>
      </c>
      <c r="AB281" s="2940" t="s">
        <v>22</v>
      </c>
      <c r="AC281" s="1762" t="s">
        <v>22</v>
      </c>
      <c r="AD281" s="842" t="s">
        <v>22</v>
      </c>
      <c r="AE281" s="1762" t="s">
        <v>22</v>
      </c>
      <c r="AF281" s="842" t="s">
        <v>22</v>
      </c>
      <c r="AG281" s="2943" t="s">
        <v>22</v>
      </c>
      <c r="AH281" s="2940" t="s">
        <v>22</v>
      </c>
      <c r="AI281" s="1762" t="s">
        <v>22</v>
      </c>
      <c r="AJ281" s="842" t="s">
        <v>22</v>
      </c>
      <c r="AK281" s="1762" t="s">
        <v>22</v>
      </c>
      <c r="AL281" s="842" t="s">
        <v>22</v>
      </c>
      <c r="AM281" s="1549" t="s">
        <v>1043</v>
      </c>
      <c r="AN281" s="1659"/>
      <c r="AO281" s="1659"/>
      <c r="AP281" s="1659"/>
      <c r="AQ281" s="1659"/>
      <c r="AR281" s="1659"/>
      <c r="AS281" s="1659"/>
      <c r="AT281" s="1659"/>
      <c r="AU281" s="1659"/>
      <c r="AV281" s="1659"/>
      <c r="AW281" s="699"/>
      <c r="AX281" s="1659">
        <v>0</v>
      </c>
    </row>
    <row s="1874" customFormat="1" customHeight="1" ht="22.5">
      <c r="A282" s="1659"/>
      <c r="B282" s="2421" t="s">
        <v>1161</v>
      </c>
      <c r="C282" s="2422" t="s">
        <v>104</v>
      </c>
      <c r="D282" s="713" t="str">
        <f>B282&amp;".1"</f>
        <v>3.82.1</v>
      </c>
      <c r="E282" s="1691" t="s">
        <v>1039</v>
      </c>
      <c r="F282" s="2287" t="s">
        <v>390</v>
      </c>
      <c r="G282" s="2377" t="s">
        <v>22</v>
      </c>
      <c r="H282" s="842" t="s">
        <v>22</v>
      </c>
      <c r="I282" s="2377" t="s">
        <v>1059</v>
      </c>
      <c r="J282" s="842" t="s">
        <v>22</v>
      </c>
      <c r="K282" s="2377" t="s">
        <v>22</v>
      </c>
      <c r="L282" s="842" t="s">
        <v>22</v>
      </c>
      <c r="M282" s="2942" t="s">
        <v>22</v>
      </c>
      <c r="N282" s="2940" t="s">
        <v>22</v>
      </c>
      <c r="O282" s="2377" t="s">
        <v>1059</v>
      </c>
      <c r="P282" s="842" t="s">
        <v>22</v>
      </c>
      <c r="Q282" s="2377" t="s">
        <v>1059</v>
      </c>
      <c r="R282" s="842" t="s">
        <v>22</v>
      </c>
      <c r="S282" s="2377" t="s">
        <v>1059</v>
      </c>
      <c r="T282" s="842" t="s">
        <v>22</v>
      </c>
      <c r="U282" s="2377" t="s">
        <v>1059</v>
      </c>
      <c r="V282" s="842" t="s">
        <v>22</v>
      </c>
      <c r="W282" s="2377" t="s">
        <v>22</v>
      </c>
      <c r="X282" s="842" t="s">
        <v>22</v>
      </c>
      <c r="Y282" s="2377" t="s">
        <v>22</v>
      </c>
      <c r="Z282" s="842" t="s">
        <v>22</v>
      </c>
      <c r="AA282" s="2942" t="s">
        <v>22</v>
      </c>
      <c r="AB282" s="2940" t="s">
        <v>22</v>
      </c>
      <c r="AC282" s="2377" t="s">
        <v>1059</v>
      </c>
      <c r="AD282" s="842" t="s">
        <v>22</v>
      </c>
      <c r="AE282" s="2377" t="s">
        <v>1148</v>
      </c>
      <c r="AF282" s="842" t="s">
        <v>22</v>
      </c>
      <c r="AG282" s="2942" t="s">
        <v>22</v>
      </c>
      <c r="AH282" s="2940" t="s">
        <v>22</v>
      </c>
      <c r="AI282" s="2377" t="s">
        <v>1059</v>
      </c>
      <c r="AJ282" s="842" t="s">
        <v>22</v>
      </c>
      <c r="AK282" s="2377" t="s">
        <v>22</v>
      </c>
      <c r="AL282" s="842" t="s">
        <v>22</v>
      </c>
      <c r="AM282" s="1549"/>
      <c r="AN282" s="1659"/>
      <c r="AO282" s="1659"/>
      <c r="AP282" s="1659"/>
      <c r="AQ282" s="1659"/>
      <c r="AR282" s="1659"/>
      <c r="AS282" s="1659"/>
      <c r="AT282" s="1659"/>
      <c r="AU282" s="1659"/>
      <c r="AV282" s="1659"/>
      <c r="AW282" s="699"/>
      <c r="AX282" s="1659">
        <v>0</v>
      </c>
    </row>
    <row s="1874" customFormat="1" customHeight="1" ht="15">
      <c r="A283" s="1659"/>
      <c r="B283" s="2421"/>
      <c r="C283" s="2422"/>
      <c r="D283" s="713" t="str">
        <f>B282&amp;".2"</f>
        <v>3.82.2</v>
      </c>
      <c r="E283" s="1691" t="s">
        <v>1040</v>
      </c>
      <c r="F283" s="2287" t="s">
        <v>390</v>
      </c>
      <c r="G283" s="1762" t="s">
        <v>22</v>
      </c>
      <c r="H283" s="842" t="s">
        <v>22</v>
      </c>
      <c r="I283" s="1762">
        <v>46135</v>
      </c>
      <c r="J283" s="842" t="s">
        <v>22</v>
      </c>
      <c r="K283" s="1762" t="s">
        <v>22</v>
      </c>
      <c r="L283" s="842" t="s">
        <v>22</v>
      </c>
      <c r="M283" s="2943" t="s">
        <v>22</v>
      </c>
      <c r="N283" s="2940" t="s">
        <v>22</v>
      </c>
      <c r="O283" s="1762">
        <v>46142</v>
      </c>
      <c r="P283" s="842" t="s">
        <v>22</v>
      </c>
      <c r="Q283" s="1762">
        <v>46126</v>
      </c>
      <c r="R283" s="842" t="s">
        <v>22</v>
      </c>
      <c r="S283" s="1762">
        <v>46132</v>
      </c>
      <c r="T283" s="842" t="s">
        <v>22</v>
      </c>
      <c r="U283" s="1762">
        <v>46142</v>
      </c>
      <c r="V283" s="842" t="s">
        <v>22</v>
      </c>
      <c r="W283" s="1762" t="s">
        <v>22</v>
      </c>
      <c r="X283" s="842" t="s">
        <v>22</v>
      </c>
      <c r="Y283" s="1762" t="s">
        <v>22</v>
      </c>
      <c r="Z283" s="842" t="s">
        <v>22</v>
      </c>
      <c r="AA283" s="2943" t="s">
        <v>22</v>
      </c>
      <c r="AB283" s="2940" t="s">
        <v>22</v>
      </c>
      <c r="AC283" s="1762">
        <v>46142</v>
      </c>
      <c r="AD283" s="842" t="s">
        <v>22</v>
      </c>
      <c r="AE283" s="1762">
        <v>46148</v>
      </c>
      <c r="AF283" s="842" t="s">
        <v>22</v>
      </c>
      <c r="AG283" s="2943" t="s">
        <v>22</v>
      </c>
      <c r="AH283" s="2940" t="s">
        <v>22</v>
      </c>
      <c r="AI283" s="1762">
        <v>46142</v>
      </c>
      <c r="AJ283" s="842" t="s">
        <v>22</v>
      </c>
      <c r="AK283" s="1762" t="s">
        <v>22</v>
      </c>
      <c r="AL283" s="842" t="s">
        <v>22</v>
      </c>
      <c r="AM283" s="1549" t="s">
        <v>1041</v>
      </c>
      <c r="AN283" s="1659"/>
      <c r="AO283" s="1659"/>
      <c r="AP283" s="1659"/>
      <c r="AQ283" s="1659"/>
      <c r="AR283" s="1659"/>
      <c r="AS283" s="1659"/>
      <c r="AT283" s="1659"/>
      <c r="AU283" s="1659"/>
      <c r="AV283" s="1659"/>
      <c r="AW283" s="699"/>
      <c r="AX283" s="1659">
        <v>0</v>
      </c>
    </row>
    <row s="1874" customFormat="1" customHeight="1" ht="15">
      <c r="A284" s="1659"/>
      <c r="B284" s="2421"/>
      <c r="C284" s="2422"/>
      <c r="D284" s="713" t="str">
        <f>B282&amp;".3"</f>
        <v>3.82.3</v>
      </c>
      <c r="E284" s="1691" t="s">
        <v>1042</v>
      </c>
      <c r="F284" s="2287" t="s">
        <v>390</v>
      </c>
      <c r="G284" s="1762" t="s">
        <v>22</v>
      </c>
      <c r="H284" s="842" t="s">
        <v>22</v>
      </c>
      <c r="I284" s="1762" t="s">
        <v>22</v>
      </c>
      <c r="J284" s="842" t="s">
        <v>22</v>
      </c>
      <c r="K284" s="1762" t="s">
        <v>22</v>
      </c>
      <c r="L284" s="842" t="s">
        <v>22</v>
      </c>
      <c r="M284" s="2943" t="s">
        <v>22</v>
      </c>
      <c r="N284" s="2940" t="s">
        <v>22</v>
      </c>
      <c r="O284" s="1762" t="s">
        <v>22</v>
      </c>
      <c r="P284" s="842" t="s">
        <v>22</v>
      </c>
      <c r="Q284" s="1762" t="s">
        <v>22</v>
      </c>
      <c r="R284" s="842" t="s">
        <v>22</v>
      </c>
      <c r="S284" s="1762"/>
      <c r="T284" s="842" t="s">
        <v>22</v>
      </c>
      <c r="U284" s="1762" t="s">
        <v>22</v>
      </c>
      <c r="V284" s="842" t="s">
        <v>22</v>
      </c>
      <c r="W284" s="1762" t="s">
        <v>22</v>
      </c>
      <c r="X284" s="842" t="s">
        <v>22</v>
      </c>
      <c r="Y284" s="1762" t="s">
        <v>22</v>
      </c>
      <c r="Z284" s="842" t="s">
        <v>22</v>
      </c>
      <c r="AA284" s="2943" t="s">
        <v>22</v>
      </c>
      <c r="AB284" s="2940" t="s">
        <v>22</v>
      </c>
      <c r="AC284" s="1762" t="s">
        <v>22</v>
      </c>
      <c r="AD284" s="842" t="s">
        <v>22</v>
      </c>
      <c r="AE284" s="1762" t="s">
        <v>22</v>
      </c>
      <c r="AF284" s="842" t="s">
        <v>22</v>
      </c>
      <c r="AG284" s="2943" t="s">
        <v>22</v>
      </c>
      <c r="AH284" s="2940" t="s">
        <v>22</v>
      </c>
      <c r="AI284" s="1762" t="s">
        <v>22</v>
      </c>
      <c r="AJ284" s="842" t="s">
        <v>22</v>
      </c>
      <c r="AK284" s="1762" t="s">
        <v>22</v>
      </c>
      <c r="AL284" s="842" t="s">
        <v>22</v>
      </c>
      <c r="AM284" s="1549" t="s">
        <v>1043</v>
      </c>
      <c r="AN284" s="1659"/>
      <c r="AO284" s="1659"/>
      <c r="AP284" s="1659"/>
      <c r="AQ284" s="1659"/>
      <c r="AR284" s="1659"/>
      <c r="AS284" s="1659"/>
      <c r="AT284" s="1659"/>
      <c r="AU284" s="1659"/>
      <c r="AV284" s="1659"/>
      <c r="AW284" s="699"/>
      <c r="AX284" s="1659">
        <v>0</v>
      </c>
    </row>
    <row s="1874" customFormat="1" customHeight="1" ht="22.5">
      <c r="A285" s="1659"/>
      <c r="B285" s="2421" t="s">
        <v>1162</v>
      </c>
      <c r="C285" s="2422" t="s">
        <v>104</v>
      </c>
      <c r="D285" s="713" t="str">
        <f>B285&amp;".1"</f>
        <v>3.83.1</v>
      </c>
      <c r="E285" s="1691" t="s">
        <v>1039</v>
      </c>
      <c r="F285" s="2287" t="s">
        <v>390</v>
      </c>
      <c r="G285" s="2377" t="s">
        <v>22</v>
      </c>
      <c r="H285" s="842" t="s">
        <v>22</v>
      </c>
      <c r="I285" s="2377" t="s">
        <v>1059</v>
      </c>
      <c r="J285" s="842" t="s">
        <v>22</v>
      </c>
      <c r="K285" s="2377" t="s">
        <v>22</v>
      </c>
      <c r="L285" s="842" t="s">
        <v>22</v>
      </c>
      <c r="M285" s="2942" t="s">
        <v>22</v>
      </c>
      <c r="N285" s="2940" t="s">
        <v>22</v>
      </c>
      <c r="O285" s="2377" t="s">
        <v>1059</v>
      </c>
      <c r="P285" s="842" t="s">
        <v>22</v>
      </c>
      <c r="Q285" s="2377" t="s">
        <v>1059</v>
      </c>
      <c r="R285" s="842" t="s">
        <v>22</v>
      </c>
      <c r="S285" s="2377" t="s">
        <v>1059</v>
      </c>
      <c r="T285" s="842" t="s">
        <v>22</v>
      </c>
      <c r="U285" s="2377" t="s">
        <v>22</v>
      </c>
      <c r="V285" s="842" t="s">
        <v>22</v>
      </c>
      <c r="W285" s="2377" t="s">
        <v>22</v>
      </c>
      <c r="X285" s="842" t="s">
        <v>22</v>
      </c>
      <c r="Y285" s="2377" t="s">
        <v>22</v>
      </c>
      <c r="Z285" s="842" t="s">
        <v>22</v>
      </c>
      <c r="AA285" s="2942" t="s">
        <v>22</v>
      </c>
      <c r="AB285" s="2940" t="s">
        <v>22</v>
      </c>
      <c r="AC285" s="2377" t="s">
        <v>1059</v>
      </c>
      <c r="AD285" s="842" t="s">
        <v>22</v>
      </c>
      <c r="AE285" s="2377" t="s">
        <v>1148</v>
      </c>
      <c r="AF285" s="842" t="s">
        <v>22</v>
      </c>
      <c r="AG285" s="2942" t="s">
        <v>22</v>
      </c>
      <c r="AH285" s="2940" t="s">
        <v>22</v>
      </c>
      <c r="AI285" s="2377" t="s">
        <v>1059</v>
      </c>
      <c r="AJ285" s="842" t="s">
        <v>22</v>
      </c>
      <c r="AK285" s="2377" t="s">
        <v>22</v>
      </c>
      <c r="AL285" s="842" t="s">
        <v>22</v>
      </c>
      <c r="AM285" s="1549"/>
      <c r="AN285" s="1659"/>
      <c r="AO285" s="1659"/>
      <c r="AP285" s="1659"/>
      <c r="AQ285" s="1659"/>
      <c r="AR285" s="1659"/>
      <c r="AS285" s="1659"/>
      <c r="AT285" s="1659"/>
      <c r="AU285" s="1659"/>
      <c r="AV285" s="1659"/>
      <c r="AW285" s="699"/>
      <c r="AX285" s="1659">
        <v>0</v>
      </c>
    </row>
    <row s="1874" customFormat="1" customHeight="1" ht="15">
      <c r="A286" s="1659"/>
      <c r="B286" s="2421"/>
      <c r="C286" s="2422"/>
      <c r="D286" s="713" t="str">
        <f>B285&amp;".2"</f>
        <v>3.83.2</v>
      </c>
      <c r="E286" s="1691" t="s">
        <v>1040</v>
      </c>
      <c r="F286" s="2287" t="s">
        <v>390</v>
      </c>
      <c r="G286" s="1762" t="s">
        <v>22</v>
      </c>
      <c r="H286" s="842" t="s">
        <v>22</v>
      </c>
      <c r="I286" s="1762">
        <v>46136</v>
      </c>
      <c r="J286" s="842" t="s">
        <v>22</v>
      </c>
      <c r="K286" s="1762" t="s">
        <v>22</v>
      </c>
      <c r="L286" s="842" t="s">
        <v>22</v>
      </c>
      <c r="M286" s="2943" t="s">
        <v>22</v>
      </c>
      <c r="N286" s="2940" t="s">
        <v>22</v>
      </c>
      <c r="O286" s="1762">
        <v>46142</v>
      </c>
      <c r="P286" s="842" t="s">
        <v>22</v>
      </c>
      <c r="Q286" s="1762">
        <v>46126</v>
      </c>
      <c r="R286" s="842" t="s">
        <v>22</v>
      </c>
      <c r="S286" s="1762">
        <v>46132</v>
      </c>
      <c r="T286" s="842" t="s">
        <v>22</v>
      </c>
      <c r="U286" s="1762" t="s">
        <v>22</v>
      </c>
      <c r="V286" s="842" t="s">
        <v>22</v>
      </c>
      <c r="W286" s="1762" t="s">
        <v>22</v>
      </c>
      <c r="X286" s="842" t="s">
        <v>22</v>
      </c>
      <c r="Y286" s="1762" t="s">
        <v>22</v>
      </c>
      <c r="Z286" s="842" t="s">
        <v>22</v>
      </c>
      <c r="AA286" s="2943" t="s">
        <v>22</v>
      </c>
      <c r="AB286" s="2940" t="s">
        <v>22</v>
      </c>
      <c r="AC286" s="1762">
        <v>46142</v>
      </c>
      <c r="AD286" s="842" t="s">
        <v>22</v>
      </c>
      <c r="AE286" s="1762">
        <v>46148</v>
      </c>
      <c r="AF286" s="842" t="s">
        <v>22</v>
      </c>
      <c r="AG286" s="2943" t="s">
        <v>22</v>
      </c>
      <c r="AH286" s="2940" t="s">
        <v>22</v>
      </c>
      <c r="AI286" s="1762">
        <v>46142</v>
      </c>
      <c r="AJ286" s="842" t="s">
        <v>22</v>
      </c>
      <c r="AK286" s="1762" t="s">
        <v>22</v>
      </c>
      <c r="AL286" s="842" t="s">
        <v>22</v>
      </c>
      <c r="AM286" s="1549" t="s">
        <v>1041</v>
      </c>
      <c r="AN286" s="1659"/>
      <c r="AO286" s="1659"/>
      <c r="AP286" s="1659"/>
      <c r="AQ286" s="1659"/>
      <c r="AR286" s="1659"/>
      <c r="AS286" s="1659"/>
      <c r="AT286" s="1659"/>
      <c r="AU286" s="1659"/>
      <c r="AV286" s="1659"/>
      <c r="AW286" s="699"/>
      <c r="AX286" s="1659">
        <v>0</v>
      </c>
    </row>
    <row s="1874" customFormat="1" customHeight="1" ht="15">
      <c r="A287" s="1659"/>
      <c r="B287" s="2421"/>
      <c r="C287" s="2422"/>
      <c r="D287" s="713" t="str">
        <f>B285&amp;".3"</f>
        <v>3.83.3</v>
      </c>
      <c r="E287" s="1691" t="s">
        <v>1042</v>
      </c>
      <c r="F287" s="2287" t="s">
        <v>390</v>
      </c>
      <c r="G287" s="1762" t="s">
        <v>22</v>
      </c>
      <c r="H287" s="842" t="s">
        <v>22</v>
      </c>
      <c r="I287" s="1762" t="s">
        <v>22</v>
      </c>
      <c r="J287" s="842" t="s">
        <v>22</v>
      </c>
      <c r="K287" s="1762" t="s">
        <v>22</v>
      </c>
      <c r="L287" s="842" t="s">
        <v>22</v>
      </c>
      <c r="M287" s="2943" t="s">
        <v>22</v>
      </c>
      <c r="N287" s="2940" t="s">
        <v>22</v>
      </c>
      <c r="O287" s="1762" t="s">
        <v>22</v>
      </c>
      <c r="P287" s="842" t="s">
        <v>22</v>
      </c>
      <c r="Q287" s="1762" t="s">
        <v>22</v>
      </c>
      <c r="R287" s="842" t="s">
        <v>22</v>
      </c>
      <c r="S287" s="1762"/>
      <c r="T287" s="842" t="s">
        <v>22</v>
      </c>
      <c r="U287" s="1762" t="s">
        <v>22</v>
      </c>
      <c r="V287" s="842" t="s">
        <v>22</v>
      </c>
      <c r="W287" s="1762" t="s">
        <v>22</v>
      </c>
      <c r="X287" s="842" t="s">
        <v>22</v>
      </c>
      <c r="Y287" s="1762" t="s">
        <v>22</v>
      </c>
      <c r="Z287" s="842" t="s">
        <v>22</v>
      </c>
      <c r="AA287" s="2943" t="s">
        <v>22</v>
      </c>
      <c r="AB287" s="2940" t="s">
        <v>22</v>
      </c>
      <c r="AC287" s="1762" t="s">
        <v>22</v>
      </c>
      <c r="AD287" s="842" t="s">
        <v>22</v>
      </c>
      <c r="AE287" s="1762" t="s">
        <v>22</v>
      </c>
      <c r="AF287" s="842" t="s">
        <v>22</v>
      </c>
      <c r="AG287" s="2943" t="s">
        <v>22</v>
      </c>
      <c r="AH287" s="2940" t="s">
        <v>22</v>
      </c>
      <c r="AI287" s="1762" t="s">
        <v>22</v>
      </c>
      <c r="AJ287" s="842" t="s">
        <v>22</v>
      </c>
      <c r="AK287" s="1762" t="s">
        <v>22</v>
      </c>
      <c r="AL287" s="842" t="s">
        <v>22</v>
      </c>
      <c r="AM287" s="1549" t="s">
        <v>1043</v>
      </c>
      <c r="AN287" s="1659"/>
      <c r="AO287" s="1659"/>
      <c r="AP287" s="1659"/>
      <c r="AQ287" s="1659"/>
      <c r="AR287" s="1659"/>
      <c r="AS287" s="1659"/>
      <c r="AT287" s="1659"/>
      <c r="AU287" s="1659"/>
      <c r="AV287" s="1659"/>
      <c r="AW287" s="699"/>
      <c r="AX287" s="1659">
        <v>0</v>
      </c>
    </row>
    <row s="1874" customFormat="1" customHeight="1" ht="22.5">
      <c r="A288" s="1659"/>
      <c r="B288" s="2421" t="s">
        <v>1163</v>
      </c>
      <c r="C288" s="2422" t="s">
        <v>104</v>
      </c>
      <c r="D288" s="713" t="str">
        <f>B288&amp;".1"</f>
        <v>3.84.1</v>
      </c>
      <c r="E288" s="1691" t="s">
        <v>1039</v>
      </c>
      <c r="F288" s="2287" t="s">
        <v>390</v>
      </c>
      <c r="G288" s="2377" t="s">
        <v>22</v>
      </c>
      <c r="H288" s="842" t="s">
        <v>22</v>
      </c>
      <c r="I288" s="2377" t="s">
        <v>1059</v>
      </c>
      <c r="J288" s="842" t="s">
        <v>22</v>
      </c>
      <c r="K288" s="2377" t="s">
        <v>22</v>
      </c>
      <c r="L288" s="842" t="s">
        <v>22</v>
      </c>
      <c r="M288" s="2942" t="s">
        <v>22</v>
      </c>
      <c r="N288" s="2940" t="s">
        <v>22</v>
      </c>
      <c r="O288" s="2377" t="s">
        <v>1059</v>
      </c>
      <c r="P288" s="842" t="s">
        <v>22</v>
      </c>
      <c r="Q288" s="2377" t="s">
        <v>1059</v>
      </c>
      <c r="R288" s="842" t="s">
        <v>22</v>
      </c>
      <c r="S288" s="2377" t="s">
        <v>1059</v>
      </c>
      <c r="T288" s="842" t="s">
        <v>22</v>
      </c>
      <c r="U288" s="2377" t="s">
        <v>22</v>
      </c>
      <c r="V288" s="842" t="s">
        <v>22</v>
      </c>
      <c r="W288" s="2377" t="s">
        <v>22</v>
      </c>
      <c r="X288" s="842" t="s">
        <v>22</v>
      </c>
      <c r="Y288" s="2377" t="s">
        <v>22</v>
      </c>
      <c r="Z288" s="842" t="s">
        <v>22</v>
      </c>
      <c r="AA288" s="2942" t="s">
        <v>22</v>
      </c>
      <c r="AB288" s="2940" t="s">
        <v>22</v>
      </c>
      <c r="AC288" s="2377" t="s">
        <v>1064</v>
      </c>
      <c r="AD288" s="842" t="s">
        <v>22</v>
      </c>
      <c r="AE288" s="2377" t="s">
        <v>1148</v>
      </c>
      <c r="AF288" s="842" t="s">
        <v>22</v>
      </c>
      <c r="AG288" s="2942" t="s">
        <v>22</v>
      </c>
      <c r="AH288" s="2940" t="s">
        <v>22</v>
      </c>
      <c r="AI288" s="2377" t="s">
        <v>1059</v>
      </c>
      <c r="AJ288" s="842" t="s">
        <v>22</v>
      </c>
      <c r="AK288" s="2377" t="s">
        <v>22</v>
      </c>
      <c r="AL288" s="842" t="s">
        <v>22</v>
      </c>
      <c r="AM288" s="1549"/>
      <c r="AN288" s="1659"/>
      <c r="AO288" s="1659"/>
      <c r="AP288" s="1659"/>
      <c r="AQ288" s="1659"/>
      <c r="AR288" s="1659"/>
      <c r="AS288" s="1659"/>
      <c r="AT288" s="1659"/>
      <c r="AU288" s="1659"/>
      <c r="AV288" s="1659"/>
      <c r="AW288" s="699"/>
      <c r="AX288" s="1659">
        <v>0</v>
      </c>
    </row>
    <row s="1874" customFormat="1" customHeight="1" ht="15">
      <c r="A289" s="1659"/>
      <c r="B289" s="2421"/>
      <c r="C289" s="2422"/>
      <c r="D289" s="713" t="str">
        <f>B288&amp;".2"</f>
        <v>3.84.2</v>
      </c>
      <c r="E289" s="1691" t="s">
        <v>1040</v>
      </c>
      <c r="F289" s="2287" t="s">
        <v>390</v>
      </c>
      <c r="G289" s="1762" t="s">
        <v>22</v>
      </c>
      <c r="H289" s="842" t="s">
        <v>22</v>
      </c>
      <c r="I289" s="1762">
        <v>46136</v>
      </c>
      <c r="J289" s="842" t="s">
        <v>22</v>
      </c>
      <c r="K289" s="1762" t="s">
        <v>22</v>
      </c>
      <c r="L289" s="842" t="s">
        <v>22</v>
      </c>
      <c r="M289" s="2943" t="s">
        <v>22</v>
      </c>
      <c r="N289" s="2940" t="s">
        <v>22</v>
      </c>
      <c r="O289" s="1762">
        <v>46142</v>
      </c>
      <c r="P289" s="842" t="s">
        <v>22</v>
      </c>
      <c r="Q289" s="1762">
        <v>46126</v>
      </c>
      <c r="R289" s="842" t="s">
        <v>22</v>
      </c>
      <c r="S289" s="1762">
        <v>46132</v>
      </c>
      <c r="T289" s="842" t="s">
        <v>22</v>
      </c>
      <c r="U289" s="1762" t="s">
        <v>22</v>
      </c>
      <c r="V289" s="842" t="s">
        <v>22</v>
      </c>
      <c r="W289" s="1762" t="s">
        <v>22</v>
      </c>
      <c r="X289" s="842" t="s">
        <v>22</v>
      </c>
      <c r="Y289" s="1762" t="s">
        <v>22</v>
      </c>
      <c r="Z289" s="842" t="s">
        <v>22</v>
      </c>
      <c r="AA289" s="2943" t="s">
        <v>22</v>
      </c>
      <c r="AB289" s="2940" t="s">
        <v>22</v>
      </c>
      <c r="AC289" s="1762">
        <v>46146</v>
      </c>
      <c r="AD289" s="842" t="s">
        <v>22</v>
      </c>
      <c r="AE289" s="1762">
        <v>46148</v>
      </c>
      <c r="AF289" s="842" t="s">
        <v>22</v>
      </c>
      <c r="AG289" s="2943" t="s">
        <v>22</v>
      </c>
      <c r="AH289" s="2940" t="s">
        <v>22</v>
      </c>
      <c r="AI289" s="1762">
        <v>46142</v>
      </c>
      <c r="AJ289" s="842" t="s">
        <v>22</v>
      </c>
      <c r="AK289" s="1762" t="s">
        <v>22</v>
      </c>
      <c r="AL289" s="842" t="s">
        <v>22</v>
      </c>
      <c r="AM289" s="1549" t="s">
        <v>1041</v>
      </c>
      <c r="AN289" s="1659"/>
      <c r="AO289" s="1659"/>
      <c r="AP289" s="1659"/>
      <c r="AQ289" s="1659"/>
      <c r="AR289" s="1659"/>
      <c r="AS289" s="1659"/>
      <c r="AT289" s="1659"/>
      <c r="AU289" s="1659"/>
      <c r="AV289" s="1659"/>
      <c r="AW289" s="699"/>
      <c r="AX289" s="1659">
        <v>0</v>
      </c>
    </row>
    <row s="1874" customFormat="1" customHeight="1" ht="15">
      <c r="A290" s="1659"/>
      <c r="B290" s="2421"/>
      <c r="C290" s="2422"/>
      <c r="D290" s="713" t="str">
        <f>B288&amp;".3"</f>
        <v>3.84.3</v>
      </c>
      <c r="E290" s="1691" t="s">
        <v>1042</v>
      </c>
      <c r="F290" s="2287" t="s">
        <v>390</v>
      </c>
      <c r="G290" s="1762" t="s">
        <v>22</v>
      </c>
      <c r="H290" s="842" t="s">
        <v>22</v>
      </c>
      <c r="I290" s="1762" t="s">
        <v>22</v>
      </c>
      <c r="J290" s="842" t="s">
        <v>22</v>
      </c>
      <c r="K290" s="1762" t="s">
        <v>22</v>
      </c>
      <c r="L290" s="842" t="s">
        <v>22</v>
      </c>
      <c r="M290" s="2943" t="s">
        <v>22</v>
      </c>
      <c r="N290" s="2940" t="s">
        <v>22</v>
      </c>
      <c r="O290" s="1762" t="s">
        <v>22</v>
      </c>
      <c r="P290" s="842" t="s">
        <v>22</v>
      </c>
      <c r="Q290" s="1762" t="s">
        <v>22</v>
      </c>
      <c r="R290" s="842" t="s">
        <v>22</v>
      </c>
      <c r="S290" s="1762"/>
      <c r="T290" s="842" t="s">
        <v>22</v>
      </c>
      <c r="U290" s="1762" t="s">
        <v>22</v>
      </c>
      <c r="V290" s="842" t="s">
        <v>22</v>
      </c>
      <c r="W290" s="1762" t="s">
        <v>22</v>
      </c>
      <c r="X290" s="842" t="s">
        <v>22</v>
      </c>
      <c r="Y290" s="1762" t="s">
        <v>22</v>
      </c>
      <c r="Z290" s="842" t="s">
        <v>22</v>
      </c>
      <c r="AA290" s="2943" t="s">
        <v>22</v>
      </c>
      <c r="AB290" s="2940" t="s">
        <v>22</v>
      </c>
      <c r="AC290" s="1762" t="s">
        <v>22</v>
      </c>
      <c r="AD290" s="842" t="s">
        <v>22</v>
      </c>
      <c r="AE290" s="1762" t="s">
        <v>22</v>
      </c>
      <c r="AF290" s="842" t="s">
        <v>22</v>
      </c>
      <c r="AG290" s="2943" t="s">
        <v>22</v>
      </c>
      <c r="AH290" s="2940" t="s">
        <v>22</v>
      </c>
      <c r="AI290" s="1762" t="s">
        <v>22</v>
      </c>
      <c r="AJ290" s="842" t="s">
        <v>22</v>
      </c>
      <c r="AK290" s="1762" t="s">
        <v>22</v>
      </c>
      <c r="AL290" s="842" t="s">
        <v>22</v>
      </c>
      <c r="AM290" s="1549" t="s">
        <v>1043</v>
      </c>
      <c r="AN290" s="1659"/>
      <c r="AO290" s="1659"/>
      <c r="AP290" s="1659"/>
      <c r="AQ290" s="1659"/>
      <c r="AR290" s="1659"/>
      <c r="AS290" s="1659"/>
      <c r="AT290" s="1659"/>
      <c r="AU290" s="1659"/>
      <c r="AV290" s="1659"/>
      <c r="AW290" s="699"/>
      <c r="AX290" s="1659">
        <v>0</v>
      </c>
    </row>
    <row s="1874" customFormat="1" customHeight="1" ht="22.5">
      <c r="A291" s="1659"/>
      <c r="B291" s="2421" t="s">
        <v>1164</v>
      </c>
      <c r="C291" s="2422" t="s">
        <v>104</v>
      </c>
      <c r="D291" s="713" t="str">
        <f>B291&amp;".1"</f>
        <v>3.85.1</v>
      </c>
      <c r="E291" s="1691" t="s">
        <v>1039</v>
      </c>
      <c r="F291" s="2287" t="s">
        <v>390</v>
      </c>
      <c r="G291" s="2377" t="s">
        <v>22</v>
      </c>
      <c r="H291" s="842" t="s">
        <v>22</v>
      </c>
      <c r="I291" s="2377" t="s">
        <v>1059</v>
      </c>
      <c r="J291" s="842" t="s">
        <v>22</v>
      </c>
      <c r="K291" s="2377" t="s">
        <v>22</v>
      </c>
      <c r="L291" s="842" t="s">
        <v>22</v>
      </c>
      <c r="M291" s="2942" t="s">
        <v>22</v>
      </c>
      <c r="N291" s="2940" t="s">
        <v>22</v>
      </c>
      <c r="O291" s="2377" t="s">
        <v>1059</v>
      </c>
      <c r="P291" s="842" t="s">
        <v>22</v>
      </c>
      <c r="Q291" s="2377" t="s">
        <v>1059</v>
      </c>
      <c r="R291" s="842" t="s">
        <v>22</v>
      </c>
      <c r="S291" s="2377" t="s">
        <v>1059</v>
      </c>
      <c r="T291" s="842" t="s">
        <v>22</v>
      </c>
      <c r="U291" s="2377" t="s">
        <v>22</v>
      </c>
      <c r="V291" s="842" t="s">
        <v>22</v>
      </c>
      <c r="W291" s="2377" t="s">
        <v>22</v>
      </c>
      <c r="X291" s="842" t="s">
        <v>22</v>
      </c>
      <c r="Y291" s="2377" t="s">
        <v>22</v>
      </c>
      <c r="Z291" s="842" t="s">
        <v>22</v>
      </c>
      <c r="AA291" s="2942" t="s">
        <v>22</v>
      </c>
      <c r="AB291" s="2940" t="s">
        <v>22</v>
      </c>
      <c r="AC291" s="2377" t="s">
        <v>1059</v>
      </c>
      <c r="AD291" s="842" t="s">
        <v>22</v>
      </c>
      <c r="AE291" s="2377" t="s">
        <v>1148</v>
      </c>
      <c r="AF291" s="842" t="s">
        <v>22</v>
      </c>
      <c r="AG291" s="2942" t="s">
        <v>22</v>
      </c>
      <c r="AH291" s="2940" t="s">
        <v>22</v>
      </c>
      <c r="AI291" s="2377" t="s">
        <v>1064</v>
      </c>
      <c r="AJ291" s="842" t="s">
        <v>22</v>
      </c>
      <c r="AK291" s="2377" t="s">
        <v>22</v>
      </c>
      <c r="AL291" s="842" t="s">
        <v>22</v>
      </c>
      <c r="AM291" s="1549"/>
      <c r="AN291" s="1659"/>
      <c r="AO291" s="1659"/>
      <c r="AP291" s="1659"/>
      <c r="AQ291" s="1659"/>
      <c r="AR291" s="1659"/>
      <c r="AS291" s="1659"/>
      <c r="AT291" s="1659"/>
      <c r="AU291" s="1659"/>
      <c r="AV291" s="1659"/>
      <c r="AW291" s="699"/>
      <c r="AX291" s="1659">
        <v>0</v>
      </c>
    </row>
    <row s="1874" customFormat="1" customHeight="1" ht="15">
      <c r="A292" s="1659"/>
      <c r="B292" s="2421"/>
      <c r="C292" s="2422"/>
      <c r="D292" s="713" t="str">
        <f>B291&amp;".2"</f>
        <v>3.85.2</v>
      </c>
      <c r="E292" s="1691" t="s">
        <v>1040</v>
      </c>
      <c r="F292" s="2287" t="s">
        <v>390</v>
      </c>
      <c r="G292" s="1762" t="s">
        <v>22</v>
      </c>
      <c r="H292" s="842" t="s">
        <v>22</v>
      </c>
      <c r="I292" s="1762">
        <v>46136</v>
      </c>
      <c r="J292" s="842" t="s">
        <v>22</v>
      </c>
      <c r="K292" s="1762" t="s">
        <v>22</v>
      </c>
      <c r="L292" s="842" t="s">
        <v>22</v>
      </c>
      <c r="M292" s="2943" t="s">
        <v>22</v>
      </c>
      <c r="N292" s="2940" t="s">
        <v>22</v>
      </c>
      <c r="O292" s="1762">
        <v>46142</v>
      </c>
      <c r="P292" s="842" t="s">
        <v>22</v>
      </c>
      <c r="Q292" s="1762">
        <v>46126</v>
      </c>
      <c r="R292" s="842" t="s">
        <v>22</v>
      </c>
      <c r="S292" s="1762">
        <v>46133</v>
      </c>
      <c r="T292" s="842" t="s">
        <v>22</v>
      </c>
      <c r="U292" s="1762" t="s">
        <v>22</v>
      </c>
      <c r="V292" s="842" t="s">
        <v>22</v>
      </c>
      <c r="W292" s="1762" t="s">
        <v>22</v>
      </c>
      <c r="X292" s="842" t="s">
        <v>22</v>
      </c>
      <c r="Y292" s="1762" t="s">
        <v>22</v>
      </c>
      <c r="Z292" s="842" t="s">
        <v>22</v>
      </c>
      <c r="AA292" s="2943" t="s">
        <v>22</v>
      </c>
      <c r="AB292" s="2940" t="s">
        <v>22</v>
      </c>
      <c r="AC292" s="1762">
        <v>46146</v>
      </c>
      <c r="AD292" s="842" t="s">
        <v>22</v>
      </c>
      <c r="AE292" s="1762">
        <v>46148</v>
      </c>
      <c r="AF292" s="842" t="s">
        <v>22</v>
      </c>
      <c r="AG292" s="2943" t="s">
        <v>22</v>
      </c>
      <c r="AH292" s="2940" t="s">
        <v>22</v>
      </c>
      <c r="AI292" s="1762">
        <v>46142</v>
      </c>
      <c r="AJ292" s="842" t="s">
        <v>22</v>
      </c>
      <c r="AK292" s="1762" t="s">
        <v>22</v>
      </c>
      <c r="AL292" s="842" t="s">
        <v>22</v>
      </c>
      <c r="AM292" s="1549" t="s">
        <v>1041</v>
      </c>
      <c r="AN292" s="1659"/>
      <c r="AO292" s="1659"/>
      <c r="AP292" s="1659"/>
      <c r="AQ292" s="1659"/>
      <c r="AR292" s="1659"/>
      <c r="AS292" s="1659"/>
      <c r="AT292" s="1659"/>
      <c r="AU292" s="1659"/>
      <c r="AV292" s="1659"/>
      <c r="AW292" s="699"/>
      <c r="AX292" s="1659">
        <v>0</v>
      </c>
    </row>
    <row s="1874" customFormat="1" customHeight="1" ht="15">
      <c r="A293" s="1659"/>
      <c r="B293" s="2421"/>
      <c r="C293" s="2422"/>
      <c r="D293" s="713" t="str">
        <f>B291&amp;".3"</f>
        <v>3.85.3</v>
      </c>
      <c r="E293" s="1691" t="s">
        <v>1042</v>
      </c>
      <c r="F293" s="2287" t="s">
        <v>390</v>
      </c>
      <c r="G293" s="1762" t="s">
        <v>22</v>
      </c>
      <c r="H293" s="842" t="s">
        <v>22</v>
      </c>
      <c r="I293" s="1762" t="s">
        <v>22</v>
      </c>
      <c r="J293" s="842" t="s">
        <v>22</v>
      </c>
      <c r="K293" s="1762" t="s">
        <v>22</v>
      </c>
      <c r="L293" s="842" t="s">
        <v>22</v>
      </c>
      <c r="M293" s="2943" t="s">
        <v>22</v>
      </c>
      <c r="N293" s="2940" t="s">
        <v>22</v>
      </c>
      <c r="O293" s="1762" t="s">
        <v>22</v>
      </c>
      <c r="P293" s="842" t="s">
        <v>22</v>
      </c>
      <c r="Q293" s="1762" t="s">
        <v>22</v>
      </c>
      <c r="R293" s="842" t="s">
        <v>22</v>
      </c>
      <c r="S293" s="1762"/>
      <c r="T293" s="842" t="s">
        <v>22</v>
      </c>
      <c r="U293" s="1762" t="s">
        <v>22</v>
      </c>
      <c r="V293" s="842" t="s">
        <v>22</v>
      </c>
      <c r="W293" s="1762" t="s">
        <v>22</v>
      </c>
      <c r="X293" s="842" t="s">
        <v>22</v>
      </c>
      <c r="Y293" s="1762" t="s">
        <v>22</v>
      </c>
      <c r="Z293" s="842" t="s">
        <v>22</v>
      </c>
      <c r="AA293" s="2943" t="s">
        <v>22</v>
      </c>
      <c r="AB293" s="2940" t="s">
        <v>22</v>
      </c>
      <c r="AC293" s="1762" t="s">
        <v>22</v>
      </c>
      <c r="AD293" s="842" t="s">
        <v>22</v>
      </c>
      <c r="AE293" s="1762" t="s">
        <v>22</v>
      </c>
      <c r="AF293" s="842" t="s">
        <v>22</v>
      </c>
      <c r="AG293" s="2943" t="s">
        <v>22</v>
      </c>
      <c r="AH293" s="2940" t="s">
        <v>22</v>
      </c>
      <c r="AI293" s="1762" t="s">
        <v>22</v>
      </c>
      <c r="AJ293" s="842" t="s">
        <v>22</v>
      </c>
      <c r="AK293" s="1762" t="s">
        <v>22</v>
      </c>
      <c r="AL293" s="842" t="s">
        <v>22</v>
      </c>
      <c r="AM293" s="1549" t="s">
        <v>1043</v>
      </c>
      <c r="AN293" s="1659"/>
      <c r="AO293" s="1659"/>
      <c r="AP293" s="1659"/>
      <c r="AQ293" s="1659"/>
      <c r="AR293" s="1659"/>
      <c r="AS293" s="1659"/>
      <c r="AT293" s="1659"/>
      <c r="AU293" s="1659"/>
      <c r="AV293" s="1659"/>
      <c r="AW293" s="699"/>
      <c r="AX293" s="1659">
        <v>0</v>
      </c>
    </row>
    <row s="1874" customFormat="1" customHeight="1" ht="22.5">
      <c r="A294" s="1659"/>
      <c r="B294" s="2421" t="s">
        <v>1165</v>
      </c>
      <c r="C294" s="2422" t="s">
        <v>104</v>
      </c>
      <c r="D294" s="713" t="str">
        <f>B294&amp;".1"</f>
        <v>3.86.1</v>
      </c>
      <c r="E294" s="1691" t="s">
        <v>1039</v>
      </c>
      <c r="F294" s="2287" t="s">
        <v>390</v>
      </c>
      <c r="G294" s="2377" t="s">
        <v>22</v>
      </c>
      <c r="H294" s="842" t="s">
        <v>22</v>
      </c>
      <c r="I294" s="2377" t="s">
        <v>1059</v>
      </c>
      <c r="J294" s="842" t="s">
        <v>22</v>
      </c>
      <c r="K294" s="2377" t="s">
        <v>22</v>
      </c>
      <c r="L294" s="842" t="s">
        <v>22</v>
      </c>
      <c r="M294" s="2942" t="s">
        <v>22</v>
      </c>
      <c r="N294" s="2940" t="s">
        <v>22</v>
      </c>
      <c r="O294" s="2377" t="s">
        <v>1059</v>
      </c>
      <c r="P294" s="842" t="s">
        <v>22</v>
      </c>
      <c r="Q294" s="2377" t="s">
        <v>1059</v>
      </c>
      <c r="R294" s="842" t="s">
        <v>22</v>
      </c>
      <c r="S294" s="2377" t="s">
        <v>1166</v>
      </c>
      <c r="T294" s="842" t="s">
        <v>22</v>
      </c>
      <c r="U294" s="2377" t="s">
        <v>22</v>
      </c>
      <c r="V294" s="842" t="s">
        <v>22</v>
      </c>
      <c r="W294" s="2377" t="s">
        <v>22</v>
      </c>
      <c r="X294" s="842" t="s">
        <v>22</v>
      </c>
      <c r="Y294" s="2377" t="s">
        <v>22</v>
      </c>
      <c r="Z294" s="842" t="s">
        <v>22</v>
      </c>
      <c r="AA294" s="2942" t="s">
        <v>22</v>
      </c>
      <c r="AB294" s="2940" t="s">
        <v>22</v>
      </c>
      <c r="AC294" s="2377" t="s">
        <v>1059</v>
      </c>
      <c r="AD294" s="842" t="s">
        <v>22</v>
      </c>
      <c r="AE294" s="2377" t="s">
        <v>1148</v>
      </c>
      <c r="AF294" s="842" t="s">
        <v>22</v>
      </c>
      <c r="AG294" s="2942" t="s">
        <v>22</v>
      </c>
      <c r="AH294" s="2940" t="s">
        <v>22</v>
      </c>
      <c r="AI294" s="2377" t="s">
        <v>1148</v>
      </c>
      <c r="AJ294" s="842" t="s">
        <v>22</v>
      </c>
      <c r="AK294" s="2377" t="s">
        <v>22</v>
      </c>
      <c r="AL294" s="842" t="s">
        <v>22</v>
      </c>
      <c r="AM294" s="1549"/>
      <c r="AN294" s="1659"/>
      <c r="AO294" s="1659"/>
      <c r="AP294" s="1659"/>
      <c r="AQ294" s="1659"/>
      <c r="AR294" s="1659"/>
      <c r="AS294" s="1659"/>
      <c r="AT294" s="1659"/>
      <c r="AU294" s="1659"/>
      <c r="AV294" s="1659"/>
      <c r="AW294" s="699"/>
      <c r="AX294" s="1659">
        <v>0</v>
      </c>
    </row>
    <row s="1874" customFormat="1" customHeight="1" ht="15">
      <c r="A295" s="1659"/>
      <c r="B295" s="2421"/>
      <c r="C295" s="2422"/>
      <c r="D295" s="713" t="str">
        <f>B294&amp;".2"</f>
        <v>3.86.2</v>
      </c>
      <c r="E295" s="1691" t="s">
        <v>1040</v>
      </c>
      <c r="F295" s="2287" t="s">
        <v>390</v>
      </c>
      <c r="G295" s="1762" t="s">
        <v>22</v>
      </c>
      <c r="H295" s="842" t="s">
        <v>22</v>
      </c>
      <c r="I295" s="1762">
        <v>46136</v>
      </c>
      <c r="J295" s="842" t="s">
        <v>22</v>
      </c>
      <c r="K295" s="1762" t="s">
        <v>22</v>
      </c>
      <c r="L295" s="842" t="s">
        <v>22</v>
      </c>
      <c r="M295" s="2943" t="s">
        <v>22</v>
      </c>
      <c r="N295" s="2940" t="s">
        <v>22</v>
      </c>
      <c r="O295" s="1762">
        <v>46142</v>
      </c>
      <c r="P295" s="842" t="s">
        <v>22</v>
      </c>
      <c r="Q295" s="1762">
        <v>46126</v>
      </c>
      <c r="R295" s="842" t="s">
        <v>22</v>
      </c>
      <c r="S295" s="1762">
        <v>46135</v>
      </c>
      <c r="T295" s="842" t="s">
        <v>22</v>
      </c>
      <c r="U295" s="1762" t="s">
        <v>22</v>
      </c>
      <c r="V295" s="842" t="s">
        <v>22</v>
      </c>
      <c r="W295" s="1762" t="s">
        <v>22</v>
      </c>
      <c r="X295" s="842" t="s">
        <v>22</v>
      </c>
      <c r="Y295" s="1762" t="s">
        <v>22</v>
      </c>
      <c r="Z295" s="842" t="s">
        <v>22</v>
      </c>
      <c r="AA295" s="2943" t="s">
        <v>22</v>
      </c>
      <c r="AB295" s="2940" t="s">
        <v>22</v>
      </c>
      <c r="AC295" s="1762">
        <v>46146</v>
      </c>
      <c r="AD295" s="842" t="s">
        <v>22</v>
      </c>
      <c r="AE295" s="1762">
        <v>46149</v>
      </c>
      <c r="AF295" s="842" t="s">
        <v>22</v>
      </c>
      <c r="AG295" s="2943" t="s">
        <v>22</v>
      </c>
      <c r="AH295" s="2940" t="s">
        <v>22</v>
      </c>
      <c r="AI295" s="1762">
        <v>46146</v>
      </c>
      <c r="AJ295" s="842" t="s">
        <v>22</v>
      </c>
      <c r="AK295" s="1762" t="s">
        <v>22</v>
      </c>
      <c r="AL295" s="842" t="s">
        <v>22</v>
      </c>
      <c r="AM295" s="1549" t="s">
        <v>1041</v>
      </c>
      <c r="AN295" s="1659"/>
      <c r="AO295" s="1659"/>
      <c r="AP295" s="1659"/>
      <c r="AQ295" s="1659"/>
      <c r="AR295" s="1659"/>
      <c r="AS295" s="1659"/>
      <c r="AT295" s="1659"/>
      <c r="AU295" s="1659"/>
      <c r="AV295" s="1659"/>
      <c r="AW295" s="699"/>
      <c r="AX295" s="1659">
        <v>0</v>
      </c>
    </row>
    <row s="1874" customFormat="1" customHeight="1" ht="15">
      <c r="A296" s="1659"/>
      <c r="B296" s="2421"/>
      <c r="C296" s="2422"/>
      <c r="D296" s="713" t="str">
        <f>B294&amp;".3"</f>
        <v>3.86.3</v>
      </c>
      <c r="E296" s="1691" t="s">
        <v>1042</v>
      </c>
      <c r="F296" s="2287" t="s">
        <v>390</v>
      </c>
      <c r="G296" s="1762" t="s">
        <v>22</v>
      </c>
      <c r="H296" s="842" t="s">
        <v>22</v>
      </c>
      <c r="I296" s="1762" t="s">
        <v>22</v>
      </c>
      <c r="J296" s="842" t="s">
        <v>22</v>
      </c>
      <c r="K296" s="1762" t="s">
        <v>22</v>
      </c>
      <c r="L296" s="842" t="s">
        <v>22</v>
      </c>
      <c r="M296" s="2943" t="s">
        <v>22</v>
      </c>
      <c r="N296" s="2940" t="s">
        <v>22</v>
      </c>
      <c r="O296" s="1762" t="s">
        <v>22</v>
      </c>
      <c r="P296" s="842" t="s">
        <v>22</v>
      </c>
      <c r="Q296" s="1762" t="s">
        <v>22</v>
      </c>
      <c r="R296" s="842" t="s">
        <v>22</v>
      </c>
      <c r="S296" s="1762"/>
      <c r="T296" s="842" t="s">
        <v>22</v>
      </c>
      <c r="U296" s="1762" t="s">
        <v>22</v>
      </c>
      <c r="V296" s="842" t="s">
        <v>22</v>
      </c>
      <c r="W296" s="1762" t="s">
        <v>22</v>
      </c>
      <c r="X296" s="842" t="s">
        <v>22</v>
      </c>
      <c r="Y296" s="1762" t="s">
        <v>22</v>
      </c>
      <c r="Z296" s="842" t="s">
        <v>22</v>
      </c>
      <c r="AA296" s="2943" t="s">
        <v>22</v>
      </c>
      <c r="AB296" s="2940" t="s">
        <v>22</v>
      </c>
      <c r="AC296" s="1762" t="s">
        <v>22</v>
      </c>
      <c r="AD296" s="842" t="s">
        <v>22</v>
      </c>
      <c r="AE296" s="1762" t="s">
        <v>22</v>
      </c>
      <c r="AF296" s="842" t="s">
        <v>22</v>
      </c>
      <c r="AG296" s="2943" t="s">
        <v>22</v>
      </c>
      <c r="AH296" s="2940" t="s">
        <v>22</v>
      </c>
      <c r="AI296" s="1762" t="s">
        <v>22</v>
      </c>
      <c r="AJ296" s="842" t="s">
        <v>22</v>
      </c>
      <c r="AK296" s="1762" t="s">
        <v>22</v>
      </c>
      <c r="AL296" s="842" t="s">
        <v>22</v>
      </c>
      <c r="AM296" s="1549" t="s">
        <v>1043</v>
      </c>
      <c r="AN296" s="1659"/>
      <c r="AO296" s="1659"/>
      <c r="AP296" s="1659"/>
      <c r="AQ296" s="1659"/>
      <c r="AR296" s="1659"/>
      <c r="AS296" s="1659"/>
      <c r="AT296" s="1659"/>
      <c r="AU296" s="1659"/>
      <c r="AV296" s="1659"/>
      <c r="AW296" s="699"/>
      <c r="AX296" s="1659">
        <v>0</v>
      </c>
    </row>
    <row s="1874" customFormat="1" customHeight="1" ht="22.5">
      <c r="A297" s="1659"/>
      <c r="B297" s="2421" t="s">
        <v>1167</v>
      </c>
      <c r="C297" s="2422" t="s">
        <v>104</v>
      </c>
      <c r="D297" s="713" t="str">
        <f>B297&amp;".1"</f>
        <v>3.87.1</v>
      </c>
      <c r="E297" s="1691" t="s">
        <v>1039</v>
      </c>
      <c r="F297" s="2287" t="s">
        <v>390</v>
      </c>
      <c r="G297" s="2377" t="s">
        <v>22</v>
      </c>
      <c r="H297" s="842" t="s">
        <v>22</v>
      </c>
      <c r="I297" s="2377" t="s">
        <v>1059</v>
      </c>
      <c r="J297" s="842" t="s">
        <v>22</v>
      </c>
      <c r="K297" s="2377" t="s">
        <v>22</v>
      </c>
      <c r="L297" s="842" t="s">
        <v>22</v>
      </c>
      <c r="M297" s="2942" t="s">
        <v>22</v>
      </c>
      <c r="N297" s="2940" t="s">
        <v>22</v>
      </c>
      <c r="O297" s="2377" t="s">
        <v>1059</v>
      </c>
      <c r="P297" s="842" t="s">
        <v>22</v>
      </c>
      <c r="Q297" s="2377" t="s">
        <v>1059</v>
      </c>
      <c r="R297" s="842" t="s">
        <v>22</v>
      </c>
      <c r="S297" s="2377" t="s">
        <v>1059</v>
      </c>
      <c r="T297" s="842" t="s">
        <v>22</v>
      </c>
      <c r="U297" s="2377" t="s">
        <v>22</v>
      </c>
      <c r="V297" s="842" t="s">
        <v>22</v>
      </c>
      <c r="W297" s="2377" t="s">
        <v>22</v>
      </c>
      <c r="X297" s="842" t="s">
        <v>22</v>
      </c>
      <c r="Y297" s="2377" t="s">
        <v>22</v>
      </c>
      <c r="Z297" s="842" t="s">
        <v>22</v>
      </c>
      <c r="AA297" s="2942" t="s">
        <v>22</v>
      </c>
      <c r="AB297" s="2940" t="s">
        <v>22</v>
      </c>
      <c r="AC297" s="2377" t="s">
        <v>1059</v>
      </c>
      <c r="AD297" s="842" t="s">
        <v>22</v>
      </c>
      <c r="AE297" s="2377" t="s">
        <v>1059</v>
      </c>
      <c r="AF297" s="842" t="s">
        <v>22</v>
      </c>
      <c r="AG297" s="2942" t="s">
        <v>22</v>
      </c>
      <c r="AH297" s="2940" t="s">
        <v>22</v>
      </c>
      <c r="AI297" s="2377" t="s">
        <v>1148</v>
      </c>
      <c r="AJ297" s="842" t="s">
        <v>22</v>
      </c>
      <c r="AK297" s="2377" t="s">
        <v>22</v>
      </c>
      <c r="AL297" s="842" t="s">
        <v>22</v>
      </c>
      <c r="AM297" s="1549"/>
      <c r="AN297" s="1659"/>
      <c r="AO297" s="1659"/>
      <c r="AP297" s="1659"/>
      <c r="AQ297" s="1659"/>
      <c r="AR297" s="1659"/>
      <c r="AS297" s="1659"/>
      <c r="AT297" s="1659"/>
      <c r="AU297" s="1659"/>
      <c r="AV297" s="1659"/>
      <c r="AW297" s="699"/>
      <c r="AX297" s="1659">
        <v>0</v>
      </c>
    </row>
    <row s="1874" customFormat="1" customHeight="1" ht="15">
      <c r="A298" s="1659"/>
      <c r="B298" s="2421"/>
      <c r="C298" s="2422"/>
      <c r="D298" s="713" t="str">
        <f>B297&amp;".2"</f>
        <v>3.87.2</v>
      </c>
      <c r="E298" s="1691" t="s">
        <v>1040</v>
      </c>
      <c r="F298" s="2287" t="s">
        <v>390</v>
      </c>
      <c r="G298" s="1762" t="s">
        <v>22</v>
      </c>
      <c r="H298" s="842" t="s">
        <v>22</v>
      </c>
      <c r="I298" s="1762">
        <v>46139</v>
      </c>
      <c r="J298" s="842" t="s">
        <v>22</v>
      </c>
      <c r="K298" s="1762" t="s">
        <v>22</v>
      </c>
      <c r="L298" s="842" t="s">
        <v>22</v>
      </c>
      <c r="M298" s="2943" t="s">
        <v>22</v>
      </c>
      <c r="N298" s="2940" t="s">
        <v>22</v>
      </c>
      <c r="O298" s="1762">
        <v>46142</v>
      </c>
      <c r="P298" s="842" t="s">
        <v>22</v>
      </c>
      <c r="Q298" s="1762">
        <v>46126</v>
      </c>
      <c r="R298" s="842" t="s">
        <v>22</v>
      </c>
      <c r="S298" s="1762">
        <v>46135</v>
      </c>
      <c r="T298" s="842" t="s">
        <v>22</v>
      </c>
      <c r="U298" s="1762" t="s">
        <v>22</v>
      </c>
      <c r="V298" s="842" t="s">
        <v>22</v>
      </c>
      <c r="W298" s="1762" t="s">
        <v>22</v>
      </c>
      <c r="X298" s="842" t="s">
        <v>22</v>
      </c>
      <c r="Y298" s="1762" t="s">
        <v>22</v>
      </c>
      <c r="Z298" s="842" t="s">
        <v>22</v>
      </c>
      <c r="AA298" s="2943" t="s">
        <v>22</v>
      </c>
      <c r="AB298" s="2940" t="s">
        <v>22</v>
      </c>
      <c r="AC298" s="1762">
        <v>46146</v>
      </c>
      <c r="AD298" s="842" t="s">
        <v>22</v>
      </c>
      <c r="AE298" s="1762">
        <v>46156</v>
      </c>
      <c r="AF298" s="842" t="s">
        <v>22</v>
      </c>
      <c r="AG298" s="2943" t="s">
        <v>22</v>
      </c>
      <c r="AH298" s="2940" t="s">
        <v>22</v>
      </c>
      <c r="AI298" s="1762">
        <v>46146</v>
      </c>
      <c r="AJ298" s="842" t="s">
        <v>22</v>
      </c>
      <c r="AK298" s="1762" t="s">
        <v>22</v>
      </c>
      <c r="AL298" s="842" t="s">
        <v>22</v>
      </c>
      <c r="AM298" s="1549" t="s">
        <v>1041</v>
      </c>
      <c r="AN298" s="1659"/>
      <c r="AO298" s="1659"/>
      <c r="AP298" s="1659"/>
      <c r="AQ298" s="1659"/>
      <c r="AR298" s="1659"/>
      <c r="AS298" s="1659"/>
      <c r="AT298" s="1659"/>
      <c r="AU298" s="1659"/>
      <c r="AV298" s="1659"/>
      <c r="AW298" s="699"/>
      <c r="AX298" s="1659">
        <v>0</v>
      </c>
    </row>
    <row s="1874" customFormat="1" customHeight="1" ht="15">
      <c r="A299" s="1659"/>
      <c r="B299" s="2421"/>
      <c r="C299" s="2422"/>
      <c r="D299" s="713" t="str">
        <f>B297&amp;".3"</f>
        <v>3.87.3</v>
      </c>
      <c r="E299" s="1691" t="s">
        <v>1042</v>
      </c>
      <c r="F299" s="2287" t="s">
        <v>390</v>
      </c>
      <c r="G299" s="1762" t="s">
        <v>22</v>
      </c>
      <c r="H299" s="842" t="s">
        <v>22</v>
      </c>
      <c r="I299" s="1762" t="s">
        <v>22</v>
      </c>
      <c r="J299" s="842" t="s">
        <v>22</v>
      </c>
      <c r="K299" s="1762" t="s">
        <v>22</v>
      </c>
      <c r="L299" s="842" t="s">
        <v>22</v>
      </c>
      <c r="M299" s="2943" t="s">
        <v>22</v>
      </c>
      <c r="N299" s="2940" t="s">
        <v>22</v>
      </c>
      <c r="O299" s="1762" t="s">
        <v>22</v>
      </c>
      <c r="P299" s="842" t="s">
        <v>22</v>
      </c>
      <c r="Q299" s="1762" t="s">
        <v>22</v>
      </c>
      <c r="R299" s="842" t="s">
        <v>22</v>
      </c>
      <c r="S299" s="1762"/>
      <c r="T299" s="842" t="s">
        <v>22</v>
      </c>
      <c r="U299" s="1762" t="s">
        <v>22</v>
      </c>
      <c r="V299" s="842" t="s">
        <v>22</v>
      </c>
      <c r="W299" s="1762" t="s">
        <v>22</v>
      </c>
      <c r="X299" s="842" t="s">
        <v>22</v>
      </c>
      <c r="Y299" s="1762" t="s">
        <v>22</v>
      </c>
      <c r="Z299" s="842" t="s">
        <v>22</v>
      </c>
      <c r="AA299" s="2943" t="s">
        <v>22</v>
      </c>
      <c r="AB299" s="2940" t="s">
        <v>22</v>
      </c>
      <c r="AC299" s="1762" t="s">
        <v>22</v>
      </c>
      <c r="AD299" s="842" t="s">
        <v>22</v>
      </c>
      <c r="AE299" s="1762" t="s">
        <v>22</v>
      </c>
      <c r="AF299" s="842" t="s">
        <v>22</v>
      </c>
      <c r="AG299" s="2943" t="s">
        <v>22</v>
      </c>
      <c r="AH299" s="2940" t="s">
        <v>22</v>
      </c>
      <c r="AI299" s="1762" t="s">
        <v>22</v>
      </c>
      <c r="AJ299" s="842" t="s">
        <v>22</v>
      </c>
      <c r="AK299" s="1762" t="s">
        <v>22</v>
      </c>
      <c r="AL299" s="842" t="s">
        <v>22</v>
      </c>
      <c r="AM299" s="1549" t="s">
        <v>1043</v>
      </c>
      <c r="AN299" s="1659"/>
      <c r="AO299" s="1659"/>
      <c r="AP299" s="1659"/>
      <c r="AQ299" s="1659"/>
      <c r="AR299" s="1659"/>
      <c r="AS299" s="1659"/>
      <c r="AT299" s="1659"/>
      <c r="AU299" s="1659"/>
      <c r="AV299" s="1659"/>
      <c r="AW299" s="699"/>
      <c r="AX299" s="1659">
        <v>0</v>
      </c>
    </row>
    <row s="1874" customFormat="1" customHeight="1" ht="22.5">
      <c r="A300" s="1659"/>
      <c r="B300" s="2421" t="s">
        <v>1168</v>
      </c>
      <c r="C300" s="2422" t="s">
        <v>104</v>
      </c>
      <c r="D300" s="713" t="str">
        <f>B300&amp;".1"</f>
        <v>3.88.1</v>
      </c>
      <c r="E300" s="1691" t="s">
        <v>1039</v>
      </c>
      <c r="F300" s="2287" t="s">
        <v>390</v>
      </c>
      <c r="G300" s="2377" t="s">
        <v>22</v>
      </c>
      <c r="H300" s="842" t="s">
        <v>22</v>
      </c>
      <c r="I300" s="2377" t="s">
        <v>1059</v>
      </c>
      <c r="J300" s="842" t="s">
        <v>22</v>
      </c>
      <c r="K300" s="2377" t="s">
        <v>22</v>
      </c>
      <c r="L300" s="842" t="s">
        <v>22</v>
      </c>
      <c r="M300" s="2942" t="s">
        <v>22</v>
      </c>
      <c r="N300" s="2940" t="s">
        <v>22</v>
      </c>
      <c r="O300" s="2377" t="s">
        <v>1059</v>
      </c>
      <c r="P300" s="842" t="s">
        <v>22</v>
      </c>
      <c r="Q300" s="2377" t="s">
        <v>1059</v>
      </c>
      <c r="R300" s="842" t="s">
        <v>22</v>
      </c>
      <c r="S300" s="2377" t="s">
        <v>1059</v>
      </c>
      <c r="T300" s="842" t="s">
        <v>22</v>
      </c>
      <c r="U300" s="2377" t="s">
        <v>22</v>
      </c>
      <c r="V300" s="842" t="s">
        <v>22</v>
      </c>
      <c r="W300" s="2377" t="s">
        <v>22</v>
      </c>
      <c r="X300" s="842" t="s">
        <v>22</v>
      </c>
      <c r="Y300" s="2377" t="s">
        <v>22</v>
      </c>
      <c r="Z300" s="842" t="s">
        <v>22</v>
      </c>
      <c r="AA300" s="2942" t="s">
        <v>22</v>
      </c>
      <c r="AB300" s="2940" t="s">
        <v>22</v>
      </c>
      <c r="AC300" s="2377" t="s">
        <v>1059</v>
      </c>
      <c r="AD300" s="842" t="s">
        <v>22</v>
      </c>
      <c r="AE300" s="2377" t="s">
        <v>1148</v>
      </c>
      <c r="AF300" s="842" t="s">
        <v>22</v>
      </c>
      <c r="AG300" s="2942" t="s">
        <v>22</v>
      </c>
      <c r="AH300" s="2940" t="s">
        <v>22</v>
      </c>
      <c r="AI300" s="2377" t="s">
        <v>1064</v>
      </c>
      <c r="AJ300" s="842" t="s">
        <v>22</v>
      </c>
      <c r="AK300" s="2377" t="s">
        <v>22</v>
      </c>
      <c r="AL300" s="842" t="s">
        <v>22</v>
      </c>
      <c r="AM300" s="1549"/>
      <c r="AN300" s="1659"/>
      <c r="AO300" s="1659"/>
      <c r="AP300" s="1659"/>
      <c r="AQ300" s="1659"/>
      <c r="AR300" s="1659"/>
      <c r="AS300" s="1659"/>
      <c r="AT300" s="1659"/>
      <c r="AU300" s="1659"/>
      <c r="AV300" s="1659"/>
      <c r="AW300" s="699"/>
      <c r="AX300" s="1659">
        <v>0</v>
      </c>
    </row>
    <row s="1874" customFormat="1" customHeight="1" ht="15">
      <c r="A301" s="1659"/>
      <c r="B301" s="2421"/>
      <c r="C301" s="2422"/>
      <c r="D301" s="713" t="str">
        <f>B300&amp;".2"</f>
        <v>3.88.2</v>
      </c>
      <c r="E301" s="1691" t="s">
        <v>1040</v>
      </c>
      <c r="F301" s="2287" t="s">
        <v>390</v>
      </c>
      <c r="G301" s="1762" t="s">
        <v>22</v>
      </c>
      <c r="H301" s="842" t="s">
        <v>22</v>
      </c>
      <c r="I301" s="1762">
        <v>46139</v>
      </c>
      <c r="J301" s="842" t="s">
        <v>22</v>
      </c>
      <c r="K301" s="1762" t="s">
        <v>22</v>
      </c>
      <c r="L301" s="842" t="s">
        <v>22</v>
      </c>
      <c r="M301" s="2943" t="s">
        <v>22</v>
      </c>
      <c r="N301" s="2940" t="s">
        <v>22</v>
      </c>
      <c r="O301" s="1762">
        <v>46142</v>
      </c>
      <c r="P301" s="842" t="s">
        <v>22</v>
      </c>
      <c r="Q301" s="1762">
        <v>46126</v>
      </c>
      <c r="R301" s="842" t="s">
        <v>22</v>
      </c>
      <c r="S301" s="1762">
        <v>46135</v>
      </c>
      <c r="T301" s="842" t="s">
        <v>22</v>
      </c>
      <c r="U301" s="1762" t="s">
        <v>22</v>
      </c>
      <c r="V301" s="842" t="s">
        <v>22</v>
      </c>
      <c r="W301" s="1762" t="s">
        <v>22</v>
      </c>
      <c r="X301" s="842" t="s">
        <v>22</v>
      </c>
      <c r="Y301" s="1762" t="s">
        <v>22</v>
      </c>
      <c r="Z301" s="842" t="s">
        <v>22</v>
      </c>
      <c r="AA301" s="2943" t="s">
        <v>22</v>
      </c>
      <c r="AB301" s="2940" t="s">
        <v>22</v>
      </c>
      <c r="AC301" s="1762">
        <v>46146</v>
      </c>
      <c r="AD301" s="842" t="s">
        <v>22</v>
      </c>
      <c r="AE301" s="1762">
        <v>46158</v>
      </c>
      <c r="AF301" s="842" t="s">
        <v>22</v>
      </c>
      <c r="AG301" s="2943" t="s">
        <v>22</v>
      </c>
      <c r="AH301" s="2940" t="s">
        <v>22</v>
      </c>
      <c r="AI301" s="1762">
        <v>46146</v>
      </c>
      <c r="AJ301" s="842" t="s">
        <v>22</v>
      </c>
      <c r="AK301" s="1762" t="s">
        <v>22</v>
      </c>
      <c r="AL301" s="842" t="s">
        <v>22</v>
      </c>
      <c r="AM301" s="1549" t="s">
        <v>1041</v>
      </c>
      <c r="AN301" s="1659"/>
      <c r="AO301" s="1659"/>
      <c r="AP301" s="1659"/>
      <c r="AQ301" s="1659"/>
      <c r="AR301" s="1659"/>
      <c r="AS301" s="1659"/>
      <c r="AT301" s="1659"/>
      <c r="AU301" s="1659"/>
      <c r="AV301" s="1659"/>
      <c r="AW301" s="699"/>
      <c r="AX301" s="1659">
        <v>0</v>
      </c>
    </row>
    <row s="1874" customFormat="1" customHeight="1" ht="15">
      <c r="A302" s="1659"/>
      <c r="B302" s="2421"/>
      <c r="C302" s="2422"/>
      <c r="D302" s="713" t="str">
        <f>B300&amp;".3"</f>
        <v>3.88.3</v>
      </c>
      <c r="E302" s="1691" t="s">
        <v>1042</v>
      </c>
      <c r="F302" s="2287" t="s">
        <v>390</v>
      </c>
      <c r="G302" s="1762" t="s">
        <v>22</v>
      </c>
      <c r="H302" s="842" t="s">
        <v>22</v>
      </c>
      <c r="I302" s="1762" t="s">
        <v>22</v>
      </c>
      <c r="J302" s="842" t="s">
        <v>22</v>
      </c>
      <c r="K302" s="1762" t="s">
        <v>22</v>
      </c>
      <c r="L302" s="842" t="s">
        <v>22</v>
      </c>
      <c r="M302" s="2943" t="s">
        <v>22</v>
      </c>
      <c r="N302" s="2940" t="s">
        <v>22</v>
      </c>
      <c r="O302" s="1762" t="s">
        <v>22</v>
      </c>
      <c r="P302" s="842" t="s">
        <v>22</v>
      </c>
      <c r="Q302" s="1762" t="s">
        <v>22</v>
      </c>
      <c r="R302" s="842" t="s">
        <v>22</v>
      </c>
      <c r="S302" s="1762"/>
      <c r="T302" s="842" t="s">
        <v>22</v>
      </c>
      <c r="U302" s="1762" t="s">
        <v>22</v>
      </c>
      <c r="V302" s="842" t="s">
        <v>22</v>
      </c>
      <c r="W302" s="1762" t="s">
        <v>22</v>
      </c>
      <c r="X302" s="842" t="s">
        <v>22</v>
      </c>
      <c r="Y302" s="1762" t="s">
        <v>22</v>
      </c>
      <c r="Z302" s="842" t="s">
        <v>22</v>
      </c>
      <c r="AA302" s="2943" t="s">
        <v>22</v>
      </c>
      <c r="AB302" s="2940" t="s">
        <v>22</v>
      </c>
      <c r="AC302" s="1762" t="s">
        <v>22</v>
      </c>
      <c r="AD302" s="842" t="s">
        <v>22</v>
      </c>
      <c r="AE302" s="1762" t="s">
        <v>22</v>
      </c>
      <c r="AF302" s="842" t="s">
        <v>22</v>
      </c>
      <c r="AG302" s="2943" t="s">
        <v>22</v>
      </c>
      <c r="AH302" s="2940" t="s">
        <v>22</v>
      </c>
      <c r="AI302" s="1762" t="s">
        <v>22</v>
      </c>
      <c r="AJ302" s="842" t="s">
        <v>22</v>
      </c>
      <c r="AK302" s="1762" t="s">
        <v>22</v>
      </c>
      <c r="AL302" s="842" t="s">
        <v>22</v>
      </c>
      <c r="AM302" s="1549" t="s">
        <v>1043</v>
      </c>
      <c r="AN302" s="1659"/>
      <c r="AO302" s="1659"/>
      <c r="AP302" s="1659"/>
      <c r="AQ302" s="1659"/>
      <c r="AR302" s="1659"/>
      <c r="AS302" s="1659"/>
      <c r="AT302" s="1659"/>
      <c r="AU302" s="1659"/>
      <c r="AV302" s="1659"/>
      <c r="AW302" s="699"/>
      <c r="AX302" s="1659">
        <v>0</v>
      </c>
    </row>
    <row s="1874" customFormat="1" customHeight="1" ht="22.5">
      <c r="A303" s="1659"/>
      <c r="B303" s="2421" t="s">
        <v>1169</v>
      </c>
      <c r="C303" s="2422" t="s">
        <v>104</v>
      </c>
      <c r="D303" s="713" t="str">
        <f>B303&amp;".1"</f>
        <v>3.89.1</v>
      </c>
      <c r="E303" s="1691" t="s">
        <v>1039</v>
      </c>
      <c r="F303" s="2287" t="s">
        <v>390</v>
      </c>
      <c r="G303" s="2377" t="s">
        <v>22</v>
      </c>
      <c r="H303" s="842" t="s">
        <v>22</v>
      </c>
      <c r="I303" s="2377" t="s">
        <v>1059</v>
      </c>
      <c r="J303" s="842" t="s">
        <v>22</v>
      </c>
      <c r="K303" s="2377" t="s">
        <v>22</v>
      </c>
      <c r="L303" s="842" t="s">
        <v>22</v>
      </c>
      <c r="M303" s="2942" t="s">
        <v>22</v>
      </c>
      <c r="N303" s="2940" t="s">
        <v>22</v>
      </c>
      <c r="O303" s="2377" t="s">
        <v>1059</v>
      </c>
      <c r="P303" s="842" t="s">
        <v>22</v>
      </c>
      <c r="Q303" s="2377" t="s">
        <v>1061</v>
      </c>
      <c r="R303" s="842" t="s">
        <v>22</v>
      </c>
      <c r="S303" s="2377" t="s">
        <v>1059</v>
      </c>
      <c r="T303" s="842" t="s">
        <v>22</v>
      </c>
      <c r="U303" s="2377" t="s">
        <v>22</v>
      </c>
      <c r="V303" s="842" t="s">
        <v>22</v>
      </c>
      <c r="W303" s="2377" t="s">
        <v>22</v>
      </c>
      <c r="X303" s="842" t="s">
        <v>22</v>
      </c>
      <c r="Y303" s="2377" t="s">
        <v>22</v>
      </c>
      <c r="Z303" s="842" t="s">
        <v>22</v>
      </c>
      <c r="AA303" s="2942" t="s">
        <v>22</v>
      </c>
      <c r="AB303" s="2940" t="s">
        <v>22</v>
      </c>
      <c r="AC303" s="2377" t="s">
        <v>1059</v>
      </c>
      <c r="AD303" s="842" t="s">
        <v>22</v>
      </c>
      <c r="AE303" s="2377" t="s">
        <v>1148</v>
      </c>
      <c r="AF303" s="842" t="s">
        <v>22</v>
      </c>
      <c r="AG303" s="2942" t="s">
        <v>22</v>
      </c>
      <c r="AH303" s="2940" t="s">
        <v>22</v>
      </c>
      <c r="AI303" s="2377" t="s">
        <v>1059</v>
      </c>
      <c r="AJ303" s="842" t="s">
        <v>22</v>
      </c>
      <c r="AK303" s="2377" t="s">
        <v>22</v>
      </c>
      <c r="AL303" s="842" t="s">
        <v>22</v>
      </c>
      <c r="AM303" s="1549"/>
      <c r="AN303" s="1659"/>
      <c r="AO303" s="1659"/>
      <c r="AP303" s="1659"/>
      <c r="AQ303" s="1659"/>
      <c r="AR303" s="1659"/>
      <c r="AS303" s="1659"/>
      <c r="AT303" s="1659"/>
      <c r="AU303" s="1659"/>
      <c r="AV303" s="1659"/>
      <c r="AW303" s="699"/>
      <c r="AX303" s="1659">
        <v>0</v>
      </c>
    </row>
    <row s="1874" customFormat="1" customHeight="1" ht="15">
      <c r="A304" s="1659"/>
      <c r="B304" s="2421"/>
      <c r="C304" s="2422"/>
      <c r="D304" s="713" t="str">
        <f>B303&amp;".2"</f>
        <v>3.89.2</v>
      </c>
      <c r="E304" s="1691" t="s">
        <v>1040</v>
      </c>
      <c r="F304" s="2287" t="s">
        <v>390</v>
      </c>
      <c r="G304" s="1762" t="s">
        <v>22</v>
      </c>
      <c r="H304" s="842" t="s">
        <v>22</v>
      </c>
      <c r="I304" s="1762">
        <v>46139</v>
      </c>
      <c r="J304" s="842" t="s">
        <v>22</v>
      </c>
      <c r="K304" s="1762" t="s">
        <v>22</v>
      </c>
      <c r="L304" s="842" t="s">
        <v>22</v>
      </c>
      <c r="M304" s="2943" t="s">
        <v>22</v>
      </c>
      <c r="N304" s="2940" t="s">
        <v>22</v>
      </c>
      <c r="O304" s="1762">
        <v>46142</v>
      </c>
      <c r="P304" s="842" t="s">
        <v>22</v>
      </c>
      <c r="Q304" s="1762">
        <v>46127</v>
      </c>
      <c r="R304" s="842" t="s">
        <v>22</v>
      </c>
      <c r="S304" s="1762">
        <v>46135</v>
      </c>
      <c r="T304" s="842" t="s">
        <v>22</v>
      </c>
      <c r="U304" s="1762" t="s">
        <v>22</v>
      </c>
      <c r="V304" s="842" t="s">
        <v>22</v>
      </c>
      <c r="W304" s="1762" t="s">
        <v>22</v>
      </c>
      <c r="X304" s="842" t="s">
        <v>22</v>
      </c>
      <c r="Y304" s="1762" t="s">
        <v>22</v>
      </c>
      <c r="Z304" s="842" t="s">
        <v>22</v>
      </c>
      <c r="AA304" s="2943" t="s">
        <v>22</v>
      </c>
      <c r="AB304" s="2940" t="s">
        <v>22</v>
      </c>
      <c r="AC304" s="1762">
        <v>46146</v>
      </c>
      <c r="AD304" s="842" t="s">
        <v>22</v>
      </c>
      <c r="AE304" s="1762">
        <v>46162</v>
      </c>
      <c r="AF304" s="842" t="s">
        <v>22</v>
      </c>
      <c r="AG304" s="2943" t="s">
        <v>22</v>
      </c>
      <c r="AH304" s="2940" t="s">
        <v>22</v>
      </c>
      <c r="AI304" s="1762">
        <v>46146</v>
      </c>
      <c r="AJ304" s="842" t="s">
        <v>22</v>
      </c>
      <c r="AK304" s="1762" t="s">
        <v>22</v>
      </c>
      <c r="AL304" s="842" t="s">
        <v>22</v>
      </c>
      <c r="AM304" s="1549" t="s">
        <v>1041</v>
      </c>
      <c r="AN304" s="1659"/>
      <c r="AO304" s="1659"/>
      <c r="AP304" s="1659"/>
      <c r="AQ304" s="1659"/>
      <c r="AR304" s="1659"/>
      <c r="AS304" s="1659"/>
      <c r="AT304" s="1659"/>
      <c r="AU304" s="1659"/>
      <c r="AV304" s="1659"/>
      <c r="AW304" s="699"/>
      <c r="AX304" s="1659">
        <v>0</v>
      </c>
    </row>
    <row s="1874" customFormat="1" customHeight="1" ht="15">
      <c r="A305" s="1659"/>
      <c r="B305" s="2421"/>
      <c r="C305" s="2422"/>
      <c r="D305" s="713" t="str">
        <f>B303&amp;".3"</f>
        <v>3.89.3</v>
      </c>
      <c r="E305" s="1691" t="s">
        <v>1042</v>
      </c>
      <c r="F305" s="2287" t="s">
        <v>390</v>
      </c>
      <c r="G305" s="1762" t="s">
        <v>22</v>
      </c>
      <c r="H305" s="842" t="s">
        <v>22</v>
      </c>
      <c r="I305" s="1762" t="s">
        <v>22</v>
      </c>
      <c r="J305" s="842" t="s">
        <v>22</v>
      </c>
      <c r="K305" s="1762" t="s">
        <v>22</v>
      </c>
      <c r="L305" s="842" t="s">
        <v>22</v>
      </c>
      <c r="M305" s="2943" t="s">
        <v>22</v>
      </c>
      <c r="N305" s="2940" t="s">
        <v>22</v>
      </c>
      <c r="O305" s="1762" t="s">
        <v>22</v>
      </c>
      <c r="P305" s="842" t="s">
        <v>22</v>
      </c>
      <c r="Q305" s="1762" t="s">
        <v>22</v>
      </c>
      <c r="R305" s="842" t="s">
        <v>22</v>
      </c>
      <c r="S305" s="1762"/>
      <c r="T305" s="842" t="s">
        <v>22</v>
      </c>
      <c r="U305" s="1762" t="s">
        <v>22</v>
      </c>
      <c r="V305" s="842" t="s">
        <v>22</v>
      </c>
      <c r="W305" s="1762" t="s">
        <v>22</v>
      </c>
      <c r="X305" s="842" t="s">
        <v>22</v>
      </c>
      <c r="Y305" s="1762" t="s">
        <v>22</v>
      </c>
      <c r="Z305" s="842" t="s">
        <v>22</v>
      </c>
      <c r="AA305" s="2943" t="s">
        <v>22</v>
      </c>
      <c r="AB305" s="2940" t="s">
        <v>22</v>
      </c>
      <c r="AC305" s="1762" t="s">
        <v>22</v>
      </c>
      <c r="AD305" s="842" t="s">
        <v>22</v>
      </c>
      <c r="AE305" s="1762" t="s">
        <v>22</v>
      </c>
      <c r="AF305" s="842" t="s">
        <v>22</v>
      </c>
      <c r="AG305" s="2943" t="s">
        <v>22</v>
      </c>
      <c r="AH305" s="2940" t="s">
        <v>22</v>
      </c>
      <c r="AI305" s="1762" t="s">
        <v>22</v>
      </c>
      <c r="AJ305" s="842" t="s">
        <v>22</v>
      </c>
      <c r="AK305" s="1762" t="s">
        <v>22</v>
      </c>
      <c r="AL305" s="842" t="s">
        <v>22</v>
      </c>
      <c r="AM305" s="1549" t="s">
        <v>1043</v>
      </c>
      <c r="AN305" s="1659"/>
      <c r="AO305" s="1659"/>
      <c r="AP305" s="1659"/>
      <c r="AQ305" s="1659"/>
      <c r="AR305" s="1659"/>
      <c r="AS305" s="1659"/>
      <c r="AT305" s="1659"/>
      <c r="AU305" s="1659"/>
      <c r="AV305" s="1659"/>
      <c r="AW305" s="699"/>
      <c r="AX305" s="1659">
        <v>0</v>
      </c>
    </row>
    <row s="1874" customFormat="1" customHeight="1" ht="22.5">
      <c r="A306" s="1659"/>
      <c r="B306" s="2421" t="s">
        <v>1170</v>
      </c>
      <c r="C306" s="2422" t="s">
        <v>104</v>
      </c>
      <c r="D306" s="713" t="str">
        <f>B306&amp;".1"</f>
        <v>3.90.1</v>
      </c>
      <c r="E306" s="1691" t="s">
        <v>1039</v>
      </c>
      <c r="F306" s="2287" t="s">
        <v>390</v>
      </c>
      <c r="G306" s="2377" t="s">
        <v>22</v>
      </c>
      <c r="H306" s="842" t="s">
        <v>22</v>
      </c>
      <c r="I306" s="2377" t="s">
        <v>1059</v>
      </c>
      <c r="J306" s="842" t="s">
        <v>22</v>
      </c>
      <c r="K306" s="2377" t="s">
        <v>22</v>
      </c>
      <c r="L306" s="842" t="s">
        <v>22</v>
      </c>
      <c r="M306" s="2942" t="s">
        <v>22</v>
      </c>
      <c r="N306" s="2940" t="s">
        <v>22</v>
      </c>
      <c r="O306" s="2377" t="s">
        <v>1059</v>
      </c>
      <c r="P306" s="842" t="s">
        <v>22</v>
      </c>
      <c r="Q306" s="2377" t="s">
        <v>1059</v>
      </c>
      <c r="R306" s="842" t="s">
        <v>22</v>
      </c>
      <c r="S306" s="2377" t="s">
        <v>1059</v>
      </c>
      <c r="T306" s="842" t="s">
        <v>22</v>
      </c>
      <c r="U306" s="2377" t="s">
        <v>22</v>
      </c>
      <c r="V306" s="842" t="s">
        <v>22</v>
      </c>
      <c r="W306" s="2377" t="s">
        <v>22</v>
      </c>
      <c r="X306" s="842" t="s">
        <v>22</v>
      </c>
      <c r="Y306" s="2377" t="s">
        <v>22</v>
      </c>
      <c r="Z306" s="842" t="s">
        <v>22</v>
      </c>
      <c r="AA306" s="2942" t="s">
        <v>22</v>
      </c>
      <c r="AB306" s="2940" t="s">
        <v>22</v>
      </c>
      <c r="AC306" s="2377" t="s">
        <v>1059</v>
      </c>
      <c r="AD306" s="842" t="s">
        <v>22</v>
      </c>
      <c r="AE306" s="2377" t="s">
        <v>1148</v>
      </c>
      <c r="AF306" s="842" t="s">
        <v>22</v>
      </c>
      <c r="AG306" s="2942" t="s">
        <v>22</v>
      </c>
      <c r="AH306" s="2940" t="s">
        <v>22</v>
      </c>
      <c r="AI306" s="2377" t="s">
        <v>1064</v>
      </c>
      <c r="AJ306" s="842" t="s">
        <v>22</v>
      </c>
      <c r="AK306" s="2377" t="s">
        <v>22</v>
      </c>
      <c r="AL306" s="842" t="s">
        <v>22</v>
      </c>
      <c r="AM306" s="1549"/>
      <c r="AN306" s="1659"/>
      <c r="AO306" s="1659"/>
      <c r="AP306" s="1659"/>
      <c r="AQ306" s="1659"/>
      <c r="AR306" s="1659"/>
      <c r="AS306" s="1659"/>
      <c r="AT306" s="1659"/>
      <c r="AU306" s="1659"/>
      <c r="AV306" s="1659"/>
      <c r="AW306" s="699"/>
      <c r="AX306" s="1659">
        <v>0</v>
      </c>
    </row>
    <row s="1874" customFormat="1" customHeight="1" ht="15">
      <c r="A307" s="1659"/>
      <c r="B307" s="2421"/>
      <c r="C307" s="2422"/>
      <c r="D307" s="713" t="str">
        <f>B306&amp;".2"</f>
        <v>3.90.2</v>
      </c>
      <c r="E307" s="1691" t="s">
        <v>1040</v>
      </c>
      <c r="F307" s="2287" t="s">
        <v>390</v>
      </c>
      <c r="G307" s="1762" t="s">
        <v>22</v>
      </c>
      <c r="H307" s="842" t="s">
        <v>22</v>
      </c>
      <c r="I307" s="1762">
        <v>46139</v>
      </c>
      <c r="J307" s="842" t="s">
        <v>22</v>
      </c>
      <c r="K307" s="1762" t="s">
        <v>22</v>
      </c>
      <c r="L307" s="842" t="s">
        <v>22</v>
      </c>
      <c r="M307" s="2943" t="s">
        <v>22</v>
      </c>
      <c r="N307" s="2940" t="s">
        <v>22</v>
      </c>
      <c r="O307" s="1762">
        <v>46142</v>
      </c>
      <c r="P307" s="842" t="s">
        <v>22</v>
      </c>
      <c r="Q307" s="1762">
        <v>46127</v>
      </c>
      <c r="R307" s="842" t="s">
        <v>22</v>
      </c>
      <c r="S307" s="1762">
        <v>46135</v>
      </c>
      <c r="T307" s="842" t="s">
        <v>22</v>
      </c>
      <c r="U307" s="1762" t="s">
        <v>22</v>
      </c>
      <c r="V307" s="842" t="s">
        <v>22</v>
      </c>
      <c r="W307" s="1762" t="s">
        <v>22</v>
      </c>
      <c r="X307" s="842" t="s">
        <v>22</v>
      </c>
      <c r="Y307" s="1762" t="s">
        <v>22</v>
      </c>
      <c r="Z307" s="842" t="s">
        <v>22</v>
      </c>
      <c r="AA307" s="2943" t="s">
        <v>22</v>
      </c>
      <c r="AB307" s="2940" t="s">
        <v>22</v>
      </c>
      <c r="AC307" s="1762">
        <v>46147</v>
      </c>
      <c r="AD307" s="842" t="s">
        <v>22</v>
      </c>
      <c r="AE307" s="1762">
        <v>46167</v>
      </c>
      <c r="AF307" s="842" t="s">
        <v>22</v>
      </c>
      <c r="AG307" s="2943" t="s">
        <v>22</v>
      </c>
      <c r="AH307" s="2940" t="s">
        <v>22</v>
      </c>
      <c r="AI307" s="1762">
        <v>46146</v>
      </c>
      <c r="AJ307" s="842" t="s">
        <v>22</v>
      </c>
      <c r="AK307" s="1762" t="s">
        <v>22</v>
      </c>
      <c r="AL307" s="842" t="s">
        <v>22</v>
      </c>
      <c r="AM307" s="1549" t="s">
        <v>1041</v>
      </c>
      <c r="AN307" s="1659"/>
      <c r="AO307" s="1659"/>
      <c r="AP307" s="1659"/>
      <c r="AQ307" s="1659"/>
      <c r="AR307" s="1659"/>
      <c r="AS307" s="1659"/>
      <c r="AT307" s="1659"/>
      <c r="AU307" s="1659"/>
      <c r="AV307" s="1659"/>
      <c r="AW307" s="699"/>
      <c r="AX307" s="1659">
        <v>0</v>
      </c>
    </row>
    <row s="1874" customFormat="1" customHeight="1" ht="15">
      <c r="A308" s="1659"/>
      <c r="B308" s="2421"/>
      <c r="C308" s="2422"/>
      <c r="D308" s="713" t="str">
        <f>B306&amp;".3"</f>
        <v>3.90.3</v>
      </c>
      <c r="E308" s="1691" t="s">
        <v>1042</v>
      </c>
      <c r="F308" s="2287" t="s">
        <v>390</v>
      </c>
      <c r="G308" s="1762" t="s">
        <v>22</v>
      </c>
      <c r="H308" s="842" t="s">
        <v>22</v>
      </c>
      <c r="I308" s="1762" t="s">
        <v>22</v>
      </c>
      <c r="J308" s="842" t="s">
        <v>22</v>
      </c>
      <c r="K308" s="1762" t="s">
        <v>22</v>
      </c>
      <c r="L308" s="842" t="s">
        <v>22</v>
      </c>
      <c r="M308" s="2943" t="s">
        <v>22</v>
      </c>
      <c r="N308" s="2940" t="s">
        <v>22</v>
      </c>
      <c r="O308" s="1762" t="s">
        <v>22</v>
      </c>
      <c r="P308" s="842" t="s">
        <v>22</v>
      </c>
      <c r="Q308" s="1762" t="s">
        <v>22</v>
      </c>
      <c r="R308" s="842" t="s">
        <v>22</v>
      </c>
      <c r="S308" s="1762"/>
      <c r="T308" s="842" t="s">
        <v>22</v>
      </c>
      <c r="U308" s="1762" t="s">
        <v>22</v>
      </c>
      <c r="V308" s="842" t="s">
        <v>22</v>
      </c>
      <c r="W308" s="1762" t="s">
        <v>22</v>
      </c>
      <c r="X308" s="842" t="s">
        <v>22</v>
      </c>
      <c r="Y308" s="1762" t="s">
        <v>22</v>
      </c>
      <c r="Z308" s="842" t="s">
        <v>22</v>
      </c>
      <c r="AA308" s="2943" t="s">
        <v>22</v>
      </c>
      <c r="AB308" s="2940" t="s">
        <v>22</v>
      </c>
      <c r="AC308" s="1762" t="s">
        <v>22</v>
      </c>
      <c r="AD308" s="842" t="s">
        <v>22</v>
      </c>
      <c r="AE308" s="1762" t="s">
        <v>22</v>
      </c>
      <c r="AF308" s="842" t="s">
        <v>22</v>
      </c>
      <c r="AG308" s="2943" t="s">
        <v>22</v>
      </c>
      <c r="AH308" s="2940" t="s">
        <v>22</v>
      </c>
      <c r="AI308" s="1762" t="s">
        <v>22</v>
      </c>
      <c r="AJ308" s="842" t="s">
        <v>22</v>
      </c>
      <c r="AK308" s="1762" t="s">
        <v>22</v>
      </c>
      <c r="AL308" s="842" t="s">
        <v>22</v>
      </c>
      <c r="AM308" s="1549" t="s">
        <v>1043</v>
      </c>
      <c r="AN308" s="1659"/>
      <c r="AO308" s="1659"/>
      <c r="AP308" s="1659"/>
      <c r="AQ308" s="1659"/>
      <c r="AR308" s="1659"/>
      <c r="AS308" s="1659"/>
      <c r="AT308" s="1659"/>
      <c r="AU308" s="1659"/>
      <c r="AV308" s="1659"/>
      <c r="AW308" s="699"/>
      <c r="AX308" s="1659">
        <v>0</v>
      </c>
    </row>
    <row s="1874" customFormat="1" customHeight="1" ht="22.5">
      <c r="A309" s="1659"/>
      <c r="B309" s="2421" t="s">
        <v>1171</v>
      </c>
      <c r="C309" s="2422" t="s">
        <v>104</v>
      </c>
      <c r="D309" s="713" t="str">
        <f>B309&amp;".1"</f>
        <v>3.91.1</v>
      </c>
      <c r="E309" s="1691" t="s">
        <v>1039</v>
      </c>
      <c r="F309" s="2287" t="s">
        <v>390</v>
      </c>
      <c r="G309" s="2377" t="s">
        <v>22</v>
      </c>
      <c r="H309" s="842" t="s">
        <v>22</v>
      </c>
      <c r="I309" s="2377" t="s">
        <v>1059</v>
      </c>
      <c r="J309" s="842" t="s">
        <v>22</v>
      </c>
      <c r="K309" s="2377" t="s">
        <v>22</v>
      </c>
      <c r="L309" s="842" t="s">
        <v>22</v>
      </c>
      <c r="M309" s="2942" t="s">
        <v>22</v>
      </c>
      <c r="N309" s="2940" t="s">
        <v>22</v>
      </c>
      <c r="O309" s="2377" t="s">
        <v>1059</v>
      </c>
      <c r="P309" s="842" t="s">
        <v>22</v>
      </c>
      <c r="Q309" s="2377" t="s">
        <v>1059</v>
      </c>
      <c r="R309" s="842" t="s">
        <v>22</v>
      </c>
      <c r="S309" s="2377" t="s">
        <v>1059</v>
      </c>
      <c r="T309" s="842" t="s">
        <v>22</v>
      </c>
      <c r="U309" s="2377" t="s">
        <v>22</v>
      </c>
      <c r="V309" s="842" t="s">
        <v>22</v>
      </c>
      <c r="W309" s="2377" t="s">
        <v>22</v>
      </c>
      <c r="X309" s="842" t="s">
        <v>22</v>
      </c>
      <c r="Y309" s="2377" t="s">
        <v>22</v>
      </c>
      <c r="Z309" s="842" t="s">
        <v>22</v>
      </c>
      <c r="AA309" s="2942" t="s">
        <v>22</v>
      </c>
      <c r="AB309" s="2940" t="s">
        <v>22</v>
      </c>
      <c r="AC309" s="2377" t="s">
        <v>1148</v>
      </c>
      <c r="AD309" s="842" t="s">
        <v>22</v>
      </c>
      <c r="AE309" s="2377" t="s">
        <v>1148</v>
      </c>
      <c r="AF309" s="842" t="s">
        <v>22</v>
      </c>
      <c r="AG309" s="2942" t="s">
        <v>22</v>
      </c>
      <c r="AH309" s="2940" t="s">
        <v>22</v>
      </c>
      <c r="AI309" s="2377" t="s">
        <v>1059</v>
      </c>
      <c r="AJ309" s="842" t="s">
        <v>22</v>
      </c>
      <c r="AK309" s="2377" t="s">
        <v>22</v>
      </c>
      <c r="AL309" s="842" t="s">
        <v>22</v>
      </c>
      <c r="AM309" s="1549"/>
      <c r="AN309" s="1659"/>
      <c r="AO309" s="1659"/>
      <c r="AP309" s="1659"/>
      <c r="AQ309" s="1659"/>
      <c r="AR309" s="1659"/>
      <c r="AS309" s="1659"/>
      <c r="AT309" s="1659"/>
      <c r="AU309" s="1659"/>
      <c r="AV309" s="1659"/>
      <c r="AW309" s="699"/>
      <c r="AX309" s="1659">
        <v>0</v>
      </c>
    </row>
    <row s="1874" customFormat="1" customHeight="1" ht="15">
      <c r="A310" s="1659"/>
      <c r="B310" s="2421"/>
      <c r="C310" s="2422"/>
      <c r="D310" s="713" t="str">
        <f>B309&amp;".2"</f>
        <v>3.91.2</v>
      </c>
      <c r="E310" s="1691" t="s">
        <v>1040</v>
      </c>
      <c r="F310" s="2287" t="s">
        <v>390</v>
      </c>
      <c r="G310" s="1762" t="s">
        <v>22</v>
      </c>
      <c r="H310" s="842" t="s">
        <v>22</v>
      </c>
      <c r="I310" s="1762">
        <v>46139</v>
      </c>
      <c r="J310" s="842" t="s">
        <v>22</v>
      </c>
      <c r="K310" s="1762" t="s">
        <v>22</v>
      </c>
      <c r="L310" s="842" t="s">
        <v>22</v>
      </c>
      <c r="M310" s="2943" t="s">
        <v>22</v>
      </c>
      <c r="N310" s="2940" t="s">
        <v>22</v>
      </c>
      <c r="O310" s="1762">
        <v>46142</v>
      </c>
      <c r="P310" s="842" t="s">
        <v>22</v>
      </c>
      <c r="Q310" s="1762">
        <v>46127</v>
      </c>
      <c r="R310" s="842" t="s">
        <v>22</v>
      </c>
      <c r="S310" s="1762">
        <v>46135</v>
      </c>
      <c r="T310" s="842" t="s">
        <v>22</v>
      </c>
      <c r="U310" s="1762" t="s">
        <v>22</v>
      </c>
      <c r="V310" s="842" t="s">
        <v>22</v>
      </c>
      <c r="W310" s="1762" t="s">
        <v>22</v>
      </c>
      <c r="X310" s="842" t="s">
        <v>22</v>
      </c>
      <c r="Y310" s="1762" t="s">
        <v>22</v>
      </c>
      <c r="Z310" s="842" t="s">
        <v>22</v>
      </c>
      <c r="AA310" s="2943" t="s">
        <v>22</v>
      </c>
      <c r="AB310" s="2940" t="s">
        <v>22</v>
      </c>
      <c r="AC310" s="1762">
        <v>46148</v>
      </c>
      <c r="AD310" s="842" t="s">
        <v>22</v>
      </c>
      <c r="AE310" s="1762">
        <v>46174</v>
      </c>
      <c r="AF310" s="842" t="s">
        <v>22</v>
      </c>
      <c r="AG310" s="2943" t="s">
        <v>22</v>
      </c>
      <c r="AH310" s="2940" t="s">
        <v>22</v>
      </c>
      <c r="AI310" s="1762">
        <v>46146</v>
      </c>
      <c r="AJ310" s="842" t="s">
        <v>22</v>
      </c>
      <c r="AK310" s="1762" t="s">
        <v>22</v>
      </c>
      <c r="AL310" s="842" t="s">
        <v>22</v>
      </c>
      <c r="AM310" s="1549" t="s">
        <v>1041</v>
      </c>
      <c r="AN310" s="1659"/>
      <c r="AO310" s="1659"/>
      <c r="AP310" s="1659"/>
      <c r="AQ310" s="1659"/>
      <c r="AR310" s="1659"/>
      <c r="AS310" s="1659"/>
      <c r="AT310" s="1659"/>
      <c r="AU310" s="1659"/>
      <c r="AV310" s="1659"/>
      <c r="AW310" s="699"/>
      <c r="AX310" s="1659">
        <v>0</v>
      </c>
    </row>
    <row s="1874" customFormat="1" customHeight="1" ht="15">
      <c r="A311" s="1659"/>
      <c r="B311" s="2421"/>
      <c r="C311" s="2422"/>
      <c r="D311" s="713" t="str">
        <f>B309&amp;".3"</f>
        <v>3.91.3</v>
      </c>
      <c r="E311" s="1691" t="s">
        <v>1042</v>
      </c>
      <c r="F311" s="2287" t="s">
        <v>390</v>
      </c>
      <c r="G311" s="1762" t="s">
        <v>22</v>
      </c>
      <c r="H311" s="842" t="s">
        <v>22</v>
      </c>
      <c r="I311" s="1762" t="s">
        <v>22</v>
      </c>
      <c r="J311" s="842" t="s">
        <v>22</v>
      </c>
      <c r="K311" s="1762" t="s">
        <v>22</v>
      </c>
      <c r="L311" s="842" t="s">
        <v>22</v>
      </c>
      <c r="M311" s="2943" t="s">
        <v>22</v>
      </c>
      <c r="N311" s="2940" t="s">
        <v>22</v>
      </c>
      <c r="O311" s="1762" t="s">
        <v>22</v>
      </c>
      <c r="P311" s="842" t="s">
        <v>22</v>
      </c>
      <c r="Q311" s="1762" t="s">
        <v>22</v>
      </c>
      <c r="R311" s="842" t="s">
        <v>22</v>
      </c>
      <c r="S311" s="1762"/>
      <c r="T311" s="842" t="s">
        <v>22</v>
      </c>
      <c r="U311" s="1762" t="s">
        <v>22</v>
      </c>
      <c r="V311" s="842" t="s">
        <v>22</v>
      </c>
      <c r="W311" s="1762" t="s">
        <v>22</v>
      </c>
      <c r="X311" s="842" t="s">
        <v>22</v>
      </c>
      <c r="Y311" s="1762" t="s">
        <v>22</v>
      </c>
      <c r="Z311" s="842" t="s">
        <v>22</v>
      </c>
      <c r="AA311" s="2943" t="s">
        <v>22</v>
      </c>
      <c r="AB311" s="2940" t="s">
        <v>22</v>
      </c>
      <c r="AC311" s="1762" t="s">
        <v>22</v>
      </c>
      <c r="AD311" s="842" t="s">
        <v>22</v>
      </c>
      <c r="AE311" s="1762" t="s">
        <v>22</v>
      </c>
      <c r="AF311" s="842" t="s">
        <v>22</v>
      </c>
      <c r="AG311" s="2943" t="s">
        <v>22</v>
      </c>
      <c r="AH311" s="2940" t="s">
        <v>22</v>
      </c>
      <c r="AI311" s="1762" t="s">
        <v>22</v>
      </c>
      <c r="AJ311" s="842" t="s">
        <v>22</v>
      </c>
      <c r="AK311" s="1762" t="s">
        <v>22</v>
      </c>
      <c r="AL311" s="842" t="s">
        <v>22</v>
      </c>
      <c r="AM311" s="1549" t="s">
        <v>1043</v>
      </c>
      <c r="AN311" s="1659"/>
      <c r="AO311" s="1659"/>
      <c r="AP311" s="1659"/>
      <c r="AQ311" s="1659"/>
      <c r="AR311" s="1659"/>
      <c r="AS311" s="1659"/>
      <c r="AT311" s="1659"/>
      <c r="AU311" s="1659"/>
      <c r="AV311" s="1659"/>
      <c r="AW311" s="699"/>
      <c r="AX311" s="1659">
        <v>0</v>
      </c>
    </row>
    <row s="1874" customFormat="1" customHeight="1" ht="22.5">
      <c r="A312" s="1659"/>
      <c r="B312" s="2421" t="s">
        <v>1172</v>
      </c>
      <c r="C312" s="2422" t="s">
        <v>104</v>
      </c>
      <c r="D312" s="713" t="str">
        <f>B312&amp;".1"</f>
        <v>3.92.1</v>
      </c>
      <c r="E312" s="1691" t="s">
        <v>1039</v>
      </c>
      <c r="F312" s="2287" t="s">
        <v>390</v>
      </c>
      <c r="G312" s="2377" t="s">
        <v>22</v>
      </c>
      <c r="H312" s="842" t="s">
        <v>22</v>
      </c>
      <c r="I312" s="2377" t="s">
        <v>1059</v>
      </c>
      <c r="J312" s="842" t="s">
        <v>22</v>
      </c>
      <c r="K312" s="2377" t="s">
        <v>22</v>
      </c>
      <c r="L312" s="842" t="s">
        <v>22</v>
      </c>
      <c r="M312" s="2942" t="s">
        <v>22</v>
      </c>
      <c r="N312" s="2940" t="s">
        <v>22</v>
      </c>
      <c r="O312" s="2377" t="s">
        <v>1059</v>
      </c>
      <c r="P312" s="842" t="s">
        <v>22</v>
      </c>
      <c r="Q312" s="2377" t="s">
        <v>1059</v>
      </c>
      <c r="R312" s="842" t="s">
        <v>22</v>
      </c>
      <c r="S312" s="2377" t="s">
        <v>1059</v>
      </c>
      <c r="T312" s="842" t="s">
        <v>22</v>
      </c>
      <c r="U312" s="2377" t="s">
        <v>22</v>
      </c>
      <c r="V312" s="842" t="s">
        <v>22</v>
      </c>
      <c r="W312" s="2377" t="s">
        <v>22</v>
      </c>
      <c r="X312" s="842" t="s">
        <v>22</v>
      </c>
      <c r="Y312" s="2377" t="s">
        <v>22</v>
      </c>
      <c r="Z312" s="842" t="s">
        <v>22</v>
      </c>
      <c r="AA312" s="2942" t="s">
        <v>22</v>
      </c>
      <c r="AB312" s="2940" t="s">
        <v>22</v>
      </c>
      <c r="AC312" s="2377" t="s">
        <v>1148</v>
      </c>
      <c r="AD312" s="842" t="s">
        <v>22</v>
      </c>
      <c r="AE312" s="2377" t="s">
        <v>22</v>
      </c>
      <c r="AF312" s="842" t="s">
        <v>22</v>
      </c>
      <c r="AG312" s="2942" t="s">
        <v>22</v>
      </c>
      <c r="AH312" s="2940" t="s">
        <v>22</v>
      </c>
      <c r="AI312" s="2377" t="s">
        <v>1059</v>
      </c>
      <c r="AJ312" s="842" t="s">
        <v>22</v>
      </c>
      <c r="AK312" s="2377" t="s">
        <v>22</v>
      </c>
      <c r="AL312" s="842" t="s">
        <v>22</v>
      </c>
      <c r="AM312" s="1549"/>
      <c r="AN312" s="1659"/>
      <c r="AO312" s="1659"/>
      <c r="AP312" s="1659"/>
      <c r="AQ312" s="1659"/>
      <c r="AR312" s="1659"/>
      <c r="AS312" s="1659"/>
      <c r="AT312" s="1659"/>
      <c r="AU312" s="1659"/>
      <c r="AV312" s="1659"/>
      <c r="AW312" s="699"/>
      <c r="AX312" s="1659">
        <v>0</v>
      </c>
    </row>
    <row s="1874" customFormat="1" customHeight="1" ht="15">
      <c r="A313" s="1659"/>
      <c r="B313" s="2421"/>
      <c r="C313" s="2422"/>
      <c r="D313" s="713" t="str">
        <f>B312&amp;".2"</f>
        <v>3.92.2</v>
      </c>
      <c r="E313" s="1691" t="s">
        <v>1040</v>
      </c>
      <c r="F313" s="2287" t="s">
        <v>390</v>
      </c>
      <c r="G313" s="1762" t="s">
        <v>22</v>
      </c>
      <c r="H313" s="842" t="s">
        <v>22</v>
      </c>
      <c r="I313" s="1762">
        <v>46140</v>
      </c>
      <c r="J313" s="842" t="s">
        <v>22</v>
      </c>
      <c r="K313" s="1762" t="s">
        <v>22</v>
      </c>
      <c r="L313" s="842" t="s">
        <v>22</v>
      </c>
      <c r="M313" s="2943" t="s">
        <v>22</v>
      </c>
      <c r="N313" s="2940" t="s">
        <v>22</v>
      </c>
      <c r="O313" s="1762">
        <v>46148</v>
      </c>
      <c r="P313" s="842" t="s">
        <v>22</v>
      </c>
      <c r="Q313" s="1762">
        <v>46127</v>
      </c>
      <c r="R313" s="842" t="s">
        <v>22</v>
      </c>
      <c r="S313" s="1762">
        <v>46135</v>
      </c>
      <c r="T313" s="842" t="s">
        <v>22</v>
      </c>
      <c r="U313" s="1762" t="s">
        <v>22</v>
      </c>
      <c r="V313" s="842" t="s">
        <v>22</v>
      </c>
      <c r="W313" s="1762" t="s">
        <v>22</v>
      </c>
      <c r="X313" s="842" t="s">
        <v>22</v>
      </c>
      <c r="Y313" s="1762" t="s">
        <v>22</v>
      </c>
      <c r="Z313" s="842" t="s">
        <v>22</v>
      </c>
      <c r="AA313" s="2943" t="s">
        <v>22</v>
      </c>
      <c r="AB313" s="2940" t="s">
        <v>22</v>
      </c>
      <c r="AC313" s="1762">
        <v>46148</v>
      </c>
      <c r="AD313" s="842" t="s">
        <v>22</v>
      </c>
      <c r="AE313" s="1762" t="s">
        <v>22</v>
      </c>
      <c r="AF313" s="842" t="s">
        <v>22</v>
      </c>
      <c r="AG313" s="2943" t="s">
        <v>22</v>
      </c>
      <c r="AH313" s="2940" t="s">
        <v>22</v>
      </c>
      <c r="AI313" s="1762">
        <v>46146</v>
      </c>
      <c r="AJ313" s="842" t="s">
        <v>22</v>
      </c>
      <c r="AK313" s="1762" t="s">
        <v>22</v>
      </c>
      <c r="AL313" s="842" t="s">
        <v>22</v>
      </c>
      <c r="AM313" s="1549" t="s">
        <v>1041</v>
      </c>
      <c r="AN313" s="1659"/>
      <c r="AO313" s="1659"/>
      <c r="AP313" s="1659"/>
      <c r="AQ313" s="1659"/>
      <c r="AR313" s="1659"/>
      <c r="AS313" s="1659"/>
      <c r="AT313" s="1659"/>
      <c r="AU313" s="1659"/>
      <c r="AV313" s="1659"/>
      <c r="AW313" s="699"/>
      <c r="AX313" s="1659">
        <v>0</v>
      </c>
    </row>
    <row s="1874" customFormat="1" customHeight="1" ht="15">
      <c r="A314" s="1659"/>
      <c r="B314" s="2421"/>
      <c r="C314" s="2422"/>
      <c r="D314" s="713" t="str">
        <f>B312&amp;".3"</f>
        <v>3.92.3</v>
      </c>
      <c r="E314" s="1691" t="s">
        <v>1042</v>
      </c>
      <c r="F314" s="2287" t="s">
        <v>390</v>
      </c>
      <c r="G314" s="1762" t="s">
        <v>22</v>
      </c>
      <c r="H314" s="842" t="s">
        <v>22</v>
      </c>
      <c r="I314" s="1762" t="s">
        <v>22</v>
      </c>
      <c r="J314" s="842" t="s">
        <v>22</v>
      </c>
      <c r="K314" s="1762" t="s">
        <v>22</v>
      </c>
      <c r="L314" s="842" t="s">
        <v>22</v>
      </c>
      <c r="M314" s="2943" t="s">
        <v>22</v>
      </c>
      <c r="N314" s="2940" t="s">
        <v>22</v>
      </c>
      <c r="O314" s="1762" t="s">
        <v>22</v>
      </c>
      <c r="P314" s="842" t="s">
        <v>22</v>
      </c>
      <c r="Q314" s="1762" t="s">
        <v>22</v>
      </c>
      <c r="R314" s="842" t="s">
        <v>22</v>
      </c>
      <c r="S314" s="1762"/>
      <c r="T314" s="842" t="s">
        <v>22</v>
      </c>
      <c r="U314" s="1762" t="s">
        <v>22</v>
      </c>
      <c r="V314" s="842" t="s">
        <v>22</v>
      </c>
      <c r="W314" s="1762" t="s">
        <v>22</v>
      </c>
      <c r="X314" s="842" t="s">
        <v>22</v>
      </c>
      <c r="Y314" s="1762" t="s">
        <v>22</v>
      </c>
      <c r="Z314" s="842" t="s">
        <v>22</v>
      </c>
      <c r="AA314" s="2943" t="s">
        <v>22</v>
      </c>
      <c r="AB314" s="2940" t="s">
        <v>22</v>
      </c>
      <c r="AC314" s="1762" t="s">
        <v>22</v>
      </c>
      <c r="AD314" s="842" t="s">
        <v>22</v>
      </c>
      <c r="AE314" s="1762" t="s">
        <v>22</v>
      </c>
      <c r="AF314" s="842" t="s">
        <v>22</v>
      </c>
      <c r="AG314" s="2943" t="s">
        <v>22</v>
      </c>
      <c r="AH314" s="2940" t="s">
        <v>22</v>
      </c>
      <c r="AI314" s="1762" t="s">
        <v>22</v>
      </c>
      <c r="AJ314" s="842" t="s">
        <v>22</v>
      </c>
      <c r="AK314" s="1762" t="s">
        <v>22</v>
      </c>
      <c r="AL314" s="842" t="s">
        <v>22</v>
      </c>
      <c r="AM314" s="1549" t="s">
        <v>1043</v>
      </c>
      <c r="AN314" s="1659"/>
      <c r="AO314" s="1659"/>
      <c r="AP314" s="1659"/>
      <c r="AQ314" s="1659"/>
      <c r="AR314" s="1659"/>
      <c r="AS314" s="1659"/>
      <c r="AT314" s="1659"/>
      <c r="AU314" s="1659"/>
      <c r="AV314" s="1659"/>
      <c r="AW314" s="699"/>
      <c r="AX314" s="1659">
        <v>0</v>
      </c>
    </row>
    <row s="1874" customFormat="1" customHeight="1" ht="22.5">
      <c r="A315" s="1659"/>
      <c r="B315" s="2421" t="s">
        <v>1173</v>
      </c>
      <c r="C315" s="2422" t="s">
        <v>104</v>
      </c>
      <c r="D315" s="713" t="str">
        <f>B315&amp;".1"</f>
        <v>3.93.1</v>
      </c>
      <c r="E315" s="1691" t="s">
        <v>1039</v>
      </c>
      <c r="F315" s="2287" t="s">
        <v>390</v>
      </c>
      <c r="G315" s="2377" t="s">
        <v>22</v>
      </c>
      <c r="H315" s="842" t="s">
        <v>22</v>
      </c>
      <c r="I315" s="2377" t="s">
        <v>1059</v>
      </c>
      <c r="J315" s="842" t="s">
        <v>22</v>
      </c>
      <c r="K315" s="2377" t="s">
        <v>22</v>
      </c>
      <c r="L315" s="842" t="s">
        <v>22</v>
      </c>
      <c r="M315" s="2942" t="s">
        <v>22</v>
      </c>
      <c r="N315" s="2940" t="s">
        <v>22</v>
      </c>
      <c r="O315" s="2377" t="s">
        <v>1059</v>
      </c>
      <c r="P315" s="842" t="s">
        <v>22</v>
      </c>
      <c r="Q315" s="2377" t="s">
        <v>1059</v>
      </c>
      <c r="R315" s="842" t="s">
        <v>22</v>
      </c>
      <c r="S315" s="2377" t="s">
        <v>1059</v>
      </c>
      <c r="T315" s="842" t="s">
        <v>22</v>
      </c>
      <c r="U315" s="2377" t="s">
        <v>22</v>
      </c>
      <c r="V315" s="842" t="s">
        <v>22</v>
      </c>
      <c r="W315" s="2377" t="s">
        <v>22</v>
      </c>
      <c r="X315" s="842" t="s">
        <v>22</v>
      </c>
      <c r="Y315" s="2377" t="s">
        <v>22</v>
      </c>
      <c r="Z315" s="842" t="s">
        <v>22</v>
      </c>
      <c r="AA315" s="2942" t="s">
        <v>22</v>
      </c>
      <c r="AB315" s="2940" t="s">
        <v>22</v>
      </c>
      <c r="AC315" s="2377" t="s">
        <v>1148</v>
      </c>
      <c r="AD315" s="842" t="s">
        <v>22</v>
      </c>
      <c r="AE315" s="2377" t="s">
        <v>22</v>
      </c>
      <c r="AF315" s="842" t="s">
        <v>22</v>
      </c>
      <c r="AG315" s="2942" t="s">
        <v>22</v>
      </c>
      <c r="AH315" s="2940" t="s">
        <v>22</v>
      </c>
      <c r="AI315" s="2377" t="s">
        <v>1174</v>
      </c>
      <c r="AJ315" s="842" t="s">
        <v>22</v>
      </c>
      <c r="AK315" s="2377" t="s">
        <v>22</v>
      </c>
      <c r="AL315" s="842" t="s">
        <v>22</v>
      </c>
      <c r="AM315" s="1549"/>
      <c r="AN315" s="1659"/>
      <c r="AO315" s="1659"/>
      <c r="AP315" s="1659"/>
      <c r="AQ315" s="1659"/>
      <c r="AR315" s="1659"/>
      <c r="AS315" s="1659"/>
      <c r="AT315" s="1659"/>
      <c r="AU315" s="1659"/>
      <c r="AV315" s="1659"/>
      <c r="AW315" s="699"/>
      <c r="AX315" s="1659">
        <v>0</v>
      </c>
    </row>
    <row s="1874" customFormat="1" customHeight="1" ht="15">
      <c r="A316" s="1659"/>
      <c r="B316" s="2421"/>
      <c r="C316" s="2422"/>
      <c r="D316" s="713" t="str">
        <f>B315&amp;".2"</f>
        <v>3.93.2</v>
      </c>
      <c r="E316" s="1691" t="s">
        <v>1040</v>
      </c>
      <c r="F316" s="2287" t="s">
        <v>390</v>
      </c>
      <c r="G316" s="1762" t="s">
        <v>22</v>
      </c>
      <c r="H316" s="842" t="s">
        <v>22</v>
      </c>
      <c r="I316" s="1762">
        <v>46142</v>
      </c>
      <c r="J316" s="842" t="s">
        <v>22</v>
      </c>
      <c r="K316" s="1762" t="s">
        <v>22</v>
      </c>
      <c r="L316" s="842" t="s">
        <v>22</v>
      </c>
      <c r="M316" s="2943" t="s">
        <v>22</v>
      </c>
      <c r="N316" s="2940" t="s">
        <v>22</v>
      </c>
      <c r="O316" s="1762">
        <v>46148</v>
      </c>
      <c r="P316" s="842" t="s">
        <v>22</v>
      </c>
      <c r="Q316" s="1762">
        <v>46127</v>
      </c>
      <c r="R316" s="842" t="s">
        <v>22</v>
      </c>
      <c r="S316" s="1762">
        <v>46135</v>
      </c>
      <c r="T316" s="842" t="s">
        <v>22</v>
      </c>
      <c r="U316" s="1762" t="s">
        <v>22</v>
      </c>
      <c r="V316" s="842" t="s">
        <v>22</v>
      </c>
      <c r="W316" s="1762" t="s">
        <v>22</v>
      </c>
      <c r="X316" s="842" t="s">
        <v>22</v>
      </c>
      <c r="Y316" s="1762" t="s">
        <v>22</v>
      </c>
      <c r="Z316" s="842" t="s">
        <v>22</v>
      </c>
      <c r="AA316" s="2943" t="s">
        <v>22</v>
      </c>
      <c r="AB316" s="2940" t="s">
        <v>22</v>
      </c>
      <c r="AC316" s="1762">
        <v>46148</v>
      </c>
      <c r="AD316" s="842" t="s">
        <v>22</v>
      </c>
      <c r="AE316" s="1762" t="s">
        <v>22</v>
      </c>
      <c r="AF316" s="842" t="s">
        <v>22</v>
      </c>
      <c r="AG316" s="2943" t="s">
        <v>22</v>
      </c>
      <c r="AH316" s="2940" t="s">
        <v>22</v>
      </c>
      <c r="AI316" s="1762">
        <v>46146</v>
      </c>
      <c r="AJ316" s="842" t="s">
        <v>22</v>
      </c>
      <c r="AK316" s="1762" t="s">
        <v>22</v>
      </c>
      <c r="AL316" s="842" t="s">
        <v>22</v>
      </c>
      <c r="AM316" s="1549" t="s">
        <v>1041</v>
      </c>
      <c r="AN316" s="1659"/>
      <c r="AO316" s="1659"/>
      <c r="AP316" s="1659"/>
      <c r="AQ316" s="1659"/>
      <c r="AR316" s="1659"/>
      <c r="AS316" s="1659"/>
      <c r="AT316" s="1659"/>
      <c r="AU316" s="1659"/>
      <c r="AV316" s="1659"/>
      <c r="AW316" s="699"/>
      <c r="AX316" s="1659">
        <v>0</v>
      </c>
    </row>
    <row s="1874" customFormat="1" customHeight="1" ht="15">
      <c r="A317" s="1659"/>
      <c r="B317" s="2421"/>
      <c r="C317" s="2422"/>
      <c r="D317" s="713" t="str">
        <f>B315&amp;".3"</f>
        <v>3.93.3</v>
      </c>
      <c r="E317" s="1691" t="s">
        <v>1042</v>
      </c>
      <c r="F317" s="2287" t="s">
        <v>390</v>
      </c>
      <c r="G317" s="1762" t="s">
        <v>22</v>
      </c>
      <c r="H317" s="842" t="s">
        <v>22</v>
      </c>
      <c r="I317" s="1762" t="s">
        <v>22</v>
      </c>
      <c r="J317" s="842" t="s">
        <v>22</v>
      </c>
      <c r="K317" s="1762" t="s">
        <v>22</v>
      </c>
      <c r="L317" s="842" t="s">
        <v>22</v>
      </c>
      <c r="M317" s="2943" t="s">
        <v>22</v>
      </c>
      <c r="N317" s="2940" t="s">
        <v>22</v>
      </c>
      <c r="O317" s="1762" t="s">
        <v>22</v>
      </c>
      <c r="P317" s="842" t="s">
        <v>22</v>
      </c>
      <c r="Q317" s="1762" t="s">
        <v>22</v>
      </c>
      <c r="R317" s="842" t="s">
        <v>22</v>
      </c>
      <c r="S317" s="1762"/>
      <c r="T317" s="842" t="s">
        <v>22</v>
      </c>
      <c r="U317" s="1762" t="s">
        <v>22</v>
      </c>
      <c r="V317" s="842" t="s">
        <v>22</v>
      </c>
      <c r="W317" s="1762" t="s">
        <v>22</v>
      </c>
      <c r="X317" s="842" t="s">
        <v>22</v>
      </c>
      <c r="Y317" s="1762" t="s">
        <v>22</v>
      </c>
      <c r="Z317" s="842" t="s">
        <v>22</v>
      </c>
      <c r="AA317" s="2943" t="s">
        <v>22</v>
      </c>
      <c r="AB317" s="2940" t="s">
        <v>22</v>
      </c>
      <c r="AC317" s="1762" t="s">
        <v>22</v>
      </c>
      <c r="AD317" s="842" t="s">
        <v>22</v>
      </c>
      <c r="AE317" s="1762" t="s">
        <v>22</v>
      </c>
      <c r="AF317" s="842" t="s">
        <v>22</v>
      </c>
      <c r="AG317" s="2943" t="s">
        <v>22</v>
      </c>
      <c r="AH317" s="2940" t="s">
        <v>22</v>
      </c>
      <c r="AI317" s="1762" t="s">
        <v>22</v>
      </c>
      <c r="AJ317" s="842" t="s">
        <v>22</v>
      </c>
      <c r="AK317" s="1762" t="s">
        <v>22</v>
      </c>
      <c r="AL317" s="842" t="s">
        <v>22</v>
      </c>
      <c r="AM317" s="1549" t="s">
        <v>1043</v>
      </c>
      <c r="AN317" s="1659"/>
      <c r="AO317" s="1659"/>
      <c r="AP317" s="1659"/>
      <c r="AQ317" s="1659"/>
      <c r="AR317" s="1659"/>
      <c r="AS317" s="1659"/>
      <c r="AT317" s="1659"/>
      <c r="AU317" s="1659"/>
      <c r="AV317" s="1659"/>
      <c r="AW317" s="699"/>
      <c r="AX317" s="1659">
        <v>0</v>
      </c>
    </row>
    <row s="1874" customFormat="1" customHeight="1" ht="22.5">
      <c r="A318" s="1659"/>
      <c r="B318" s="2421" t="s">
        <v>1175</v>
      </c>
      <c r="C318" s="2422" t="s">
        <v>104</v>
      </c>
      <c r="D318" s="713" t="str">
        <f>B318&amp;".1"</f>
        <v>3.94.1</v>
      </c>
      <c r="E318" s="1691" t="s">
        <v>1039</v>
      </c>
      <c r="F318" s="2287" t="s">
        <v>390</v>
      </c>
      <c r="G318" s="2377" t="s">
        <v>22</v>
      </c>
      <c r="H318" s="842" t="s">
        <v>22</v>
      </c>
      <c r="I318" s="2377" t="s">
        <v>1059</v>
      </c>
      <c r="J318" s="842" t="s">
        <v>22</v>
      </c>
      <c r="K318" s="2377" t="s">
        <v>22</v>
      </c>
      <c r="L318" s="842" t="s">
        <v>22</v>
      </c>
      <c r="M318" s="2942" t="s">
        <v>22</v>
      </c>
      <c r="N318" s="2940" t="s">
        <v>22</v>
      </c>
      <c r="O318" s="2377" t="s">
        <v>1059</v>
      </c>
      <c r="P318" s="842" t="s">
        <v>22</v>
      </c>
      <c r="Q318" s="2377" t="s">
        <v>1059</v>
      </c>
      <c r="R318" s="842" t="s">
        <v>22</v>
      </c>
      <c r="S318" s="2377" t="s">
        <v>1059</v>
      </c>
      <c r="T318" s="842" t="s">
        <v>22</v>
      </c>
      <c r="U318" s="2377" t="s">
        <v>22</v>
      </c>
      <c r="V318" s="842" t="s">
        <v>22</v>
      </c>
      <c r="W318" s="2377" t="s">
        <v>22</v>
      </c>
      <c r="X318" s="842" t="s">
        <v>22</v>
      </c>
      <c r="Y318" s="2377" t="s">
        <v>22</v>
      </c>
      <c r="Z318" s="842" t="s">
        <v>22</v>
      </c>
      <c r="AA318" s="2942" t="s">
        <v>22</v>
      </c>
      <c r="AB318" s="2940" t="s">
        <v>22</v>
      </c>
      <c r="AC318" s="2377" t="s">
        <v>1148</v>
      </c>
      <c r="AD318" s="842" t="s">
        <v>22</v>
      </c>
      <c r="AE318" s="2377" t="s">
        <v>22</v>
      </c>
      <c r="AF318" s="842" t="s">
        <v>22</v>
      </c>
      <c r="AG318" s="2942" t="s">
        <v>22</v>
      </c>
      <c r="AH318" s="2940" t="s">
        <v>22</v>
      </c>
      <c r="AI318" s="2377" t="s">
        <v>1059</v>
      </c>
      <c r="AJ318" s="842" t="s">
        <v>22</v>
      </c>
      <c r="AK318" s="2377" t="s">
        <v>22</v>
      </c>
      <c r="AL318" s="842" t="s">
        <v>22</v>
      </c>
      <c r="AM318" s="1549"/>
      <c r="AN318" s="1659"/>
      <c r="AO318" s="1659"/>
      <c r="AP318" s="1659"/>
      <c r="AQ318" s="1659"/>
      <c r="AR318" s="1659"/>
      <c r="AS318" s="1659"/>
      <c r="AT318" s="1659"/>
      <c r="AU318" s="1659"/>
      <c r="AV318" s="1659"/>
      <c r="AW318" s="699"/>
      <c r="AX318" s="1659">
        <v>0</v>
      </c>
    </row>
    <row s="1874" customFormat="1" customHeight="1" ht="15">
      <c r="A319" s="1659"/>
      <c r="B319" s="2421"/>
      <c r="C319" s="2422"/>
      <c r="D319" s="713" t="str">
        <f>B318&amp;".2"</f>
        <v>3.94.2</v>
      </c>
      <c r="E319" s="1691" t="s">
        <v>1040</v>
      </c>
      <c r="F319" s="2287" t="s">
        <v>390</v>
      </c>
      <c r="G319" s="1762" t="s">
        <v>22</v>
      </c>
      <c r="H319" s="842" t="s">
        <v>22</v>
      </c>
      <c r="I319" s="1762">
        <v>46142</v>
      </c>
      <c r="J319" s="842" t="s">
        <v>22</v>
      </c>
      <c r="K319" s="1762" t="s">
        <v>22</v>
      </c>
      <c r="L319" s="842" t="s">
        <v>22</v>
      </c>
      <c r="M319" s="2943" t="s">
        <v>22</v>
      </c>
      <c r="N319" s="2940" t="s">
        <v>22</v>
      </c>
      <c r="O319" s="1762">
        <v>46148</v>
      </c>
      <c r="P319" s="842" t="s">
        <v>22</v>
      </c>
      <c r="Q319" s="1762">
        <v>46127</v>
      </c>
      <c r="R319" s="842" t="s">
        <v>22</v>
      </c>
      <c r="S319" s="1762">
        <v>46135</v>
      </c>
      <c r="T319" s="842" t="s">
        <v>22</v>
      </c>
      <c r="U319" s="1762" t="s">
        <v>22</v>
      </c>
      <c r="V319" s="842" t="s">
        <v>22</v>
      </c>
      <c r="W319" s="1762" t="s">
        <v>22</v>
      </c>
      <c r="X319" s="842" t="s">
        <v>22</v>
      </c>
      <c r="Y319" s="1762" t="s">
        <v>22</v>
      </c>
      <c r="Z319" s="842" t="s">
        <v>22</v>
      </c>
      <c r="AA319" s="2943" t="s">
        <v>22</v>
      </c>
      <c r="AB319" s="2940" t="s">
        <v>22</v>
      </c>
      <c r="AC319" s="1762">
        <v>46148</v>
      </c>
      <c r="AD319" s="842" t="s">
        <v>22</v>
      </c>
      <c r="AE319" s="1762" t="s">
        <v>22</v>
      </c>
      <c r="AF319" s="842" t="s">
        <v>22</v>
      </c>
      <c r="AG319" s="2943" t="s">
        <v>22</v>
      </c>
      <c r="AH319" s="2940" t="s">
        <v>22</v>
      </c>
      <c r="AI319" s="1762">
        <v>46146</v>
      </c>
      <c r="AJ319" s="842" t="s">
        <v>22</v>
      </c>
      <c r="AK319" s="1762" t="s">
        <v>22</v>
      </c>
      <c r="AL319" s="842" t="s">
        <v>22</v>
      </c>
      <c r="AM319" s="1549" t="s">
        <v>1041</v>
      </c>
      <c r="AN319" s="1659"/>
      <c r="AO319" s="1659"/>
      <c r="AP319" s="1659"/>
      <c r="AQ319" s="1659"/>
      <c r="AR319" s="1659"/>
      <c r="AS319" s="1659"/>
      <c r="AT319" s="1659"/>
      <c r="AU319" s="1659"/>
      <c r="AV319" s="1659"/>
      <c r="AW319" s="699"/>
      <c r="AX319" s="1659">
        <v>0</v>
      </c>
    </row>
    <row s="1874" customFormat="1" customHeight="1" ht="15">
      <c r="A320" s="1659"/>
      <c r="B320" s="2421"/>
      <c r="C320" s="2422"/>
      <c r="D320" s="713" t="str">
        <f>B318&amp;".3"</f>
        <v>3.94.3</v>
      </c>
      <c r="E320" s="1691" t="s">
        <v>1042</v>
      </c>
      <c r="F320" s="2287" t="s">
        <v>390</v>
      </c>
      <c r="G320" s="1762" t="s">
        <v>22</v>
      </c>
      <c r="H320" s="842" t="s">
        <v>22</v>
      </c>
      <c r="I320" s="1762" t="s">
        <v>22</v>
      </c>
      <c r="J320" s="842" t="s">
        <v>22</v>
      </c>
      <c r="K320" s="1762" t="s">
        <v>22</v>
      </c>
      <c r="L320" s="842" t="s">
        <v>22</v>
      </c>
      <c r="M320" s="2943" t="s">
        <v>22</v>
      </c>
      <c r="N320" s="2940" t="s">
        <v>22</v>
      </c>
      <c r="O320" s="1762" t="s">
        <v>22</v>
      </c>
      <c r="P320" s="842" t="s">
        <v>22</v>
      </c>
      <c r="Q320" s="1762" t="s">
        <v>22</v>
      </c>
      <c r="R320" s="842" t="s">
        <v>22</v>
      </c>
      <c r="S320" s="1762"/>
      <c r="T320" s="842" t="s">
        <v>22</v>
      </c>
      <c r="U320" s="1762" t="s">
        <v>22</v>
      </c>
      <c r="V320" s="842" t="s">
        <v>22</v>
      </c>
      <c r="W320" s="1762" t="s">
        <v>22</v>
      </c>
      <c r="X320" s="842" t="s">
        <v>22</v>
      </c>
      <c r="Y320" s="1762" t="s">
        <v>22</v>
      </c>
      <c r="Z320" s="842" t="s">
        <v>22</v>
      </c>
      <c r="AA320" s="2943" t="s">
        <v>22</v>
      </c>
      <c r="AB320" s="2940" t="s">
        <v>22</v>
      </c>
      <c r="AC320" s="1762" t="s">
        <v>22</v>
      </c>
      <c r="AD320" s="842" t="s">
        <v>22</v>
      </c>
      <c r="AE320" s="1762" t="s">
        <v>22</v>
      </c>
      <c r="AF320" s="842" t="s">
        <v>22</v>
      </c>
      <c r="AG320" s="2943" t="s">
        <v>22</v>
      </c>
      <c r="AH320" s="2940" t="s">
        <v>22</v>
      </c>
      <c r="AI320" s="1762" t="s">
        <v>22</v>
      </c>
      <c r="AJ320" s="842" t="s">
        <v>22</v>
      </c>
      <c r="AK320" s="1762" t="s">
        <v>22</v>
      </c>
      <c r="AL320" s="842" t="s">
        <v>22</v>
      </c>
      <c r="AM320" s="1549" t="s">
        <v>1043</v>
      </c>
      <c r="AN320" s="1659"/>
      <c r="AO320" s="1659"/>
      <c r="AP320" s="1659"/>
      <c r="AQ320" s="1659"/>
      <c r="AR320" s="1659"/>
      <c r="AS320" s="1659"/>
      <c r="AT320" s="1659"/>
      <c r="AU320" s="1659"/>
      <c r="AV320" s="1659"/>
      <c r="AW320" s="699"/>
      <c r="AX320" s="1659">
        <v>0</v>
      </c>
    </row>
    <row s="1874" customFormat="1" customHeight="1" ht="22.5">
      <c r="A321" s="1659"/>
      <c r="B321" s="2421" t="s">
        <v>1176</v>
      </c>
      <c r="C321" s="2422" t="s">
        <v>104</v>
      </c>
      <c r="D321" s="713" t="str">
        <f>B321&amp;".1"</f>
        <v>3.95.1</v>
      </c>
      <c r="E321" s="1691" t="s">
        <v>1039</v>
      </c>
      <c r="F321" s="2287" t="s">
        <v>390</v>
      </c>
      <c r="G321" s="2377" t="s">
        <v>22</v>
      </c>
      <c r="H321" s="842" t="s">
        <v>22</v>
      </c>
      <c r="I321" s="2377" t="s">
        <v>1059</v>
      </c>
      <c r="J321" s="842" t="s">
        <v>22</v>
      </c>
      <c r="K321" s="2377" t="s">
        <v>22</v>
      </c>
      <c r="L321" s="842" t="s">
        <v>22</v>
      </c>
      <c r="M321" s="2942" t="s">
        <v>22</v>
      </c>
      <c r="N321" s="2940" t="s">
        <v>22</v>
      </c>
      <c r="O321" s="2377" t="s">
        <v>1059</v>
      </c>
      <c r="P321" s="842" t="s">
        <v>22</v>
      </c>
      <c r="Q321" s="2377" t="s">
        <v>1059</v>
      </c>
      <c r="R321" s="842" t="s">
        <v>22</v>
      </c>
      <c r="S321" s="2377" t="s">
        <v>1059</v>
      </c>
      <c r="T321" s="842" t="s">
        <v>22</v>
      </c>
      <c r="U321" s="2377" t="s">
        <v>22</v>
      </c>
      <c r="V321" s="842" t="s">
        <v>22</v>
      </c>
      <c r="W321" s="2377" t="s">
        <v>22</v>
      </c>
      <c r="X321" s="842" t="s">
        <v>22</v>
      </c>
      <c r="Y321" s="2377" t="s">
        <v>22</v>
      </c>
      <c r="Z321" s="842" t="s">
        <v>22</v>
      </c>
      <c r="AA321" s="2942" t="s">
        <v>22</v>
      </c>
      <c r="AB321" s="2940" t="s">
        <v>22</v>
      </c>
      <c r="AC321" s="2377" t="s">
        <v>1148</v>
      </c>
      <c r="AD321" s="842" t="s">
        <v>22</v>
      </c>
      <c r="AE321" s="2377" t="s">
        <v>22</v>
      </c>
      <c r="AF321" s="842" t="s">
        <v>22</v>
      </c>
      <c r="AG321" s="2942" t="s">
        <v>22</v>
      </c>
      <c r="AH321" s="2940" t="s">
        <v>22</v>
      </c>
      <c r="AI321" s="2377" t="s">
        <v>1059</v>
      </c>
      <c r="AJ321" s="842" t="s">
        <v>22</v>
      </c>
      <c r="AK321" s="2377" t="s">
        <v>22</v>
      </c>
      <c r="AL321" s="842" t="s">
        <v>22</v>
      </c>
      <c r="AM321" s="1549"/>
      <c r="AN321" s="1659"/>
      <c r="AO321" s="1659"/>
      <c r="AP321" s="1659"/>
      <c r="AQ321" s="1659"/>
      <c r="AR321" s="1659"/>
      <c r="AS321" s="1659"/>
      <c r="AT321" s="1659"/>
      <c r="AU321" s="1659"/>
      <c r="AV321" s="1659"/>
      <c r="AW321" s="699"/>
      <c r="AX321" s="1659">
        <v>0</v>
      </c>
    </row>
    <row s="1874" customFormat="1" customHeight="1" ht="15">
      <c r="A322" s="1659"/>
      <c r="B322" s="2421"/>
      <c r="C322" s="2422"/>
      <c r="D322" s="713" t="str">
        <f>B321&amp;".2"</f>
        <v>3.95.2</v>
      </c>
      <c r="E322" s="1691" t="s">
        <v>1040</v>
      </c>
      <c r="F322" s="2287" t="s">
        <v>390</v>
      </c>
      <c r="G322" s="1762" t="s">
        <v>22</v>
      </c>
      <c r="H322" s="842" t="s">
        <v>22</v>
      </c>
      <c r="I322" s="1762">
        <v>46142</v>
      </c>
      <c r="J322" s="842" t="s">
        <v>22</v>
      </c>
      <c r="K322" s="1762" t="s">
        <v>22</v>
      </c>
      <c r="L322" s="842" t="s">
        <v>22</v>
      </c>
      <c r="M322" s="2943" t="s">
        <v>22</v>
      </c>
      <c r="N322" s="2940" t="s">
        <v>22</v>
      </c>
      <c r="O322" s="1762">
        <v>46148</v>
      </c>
      <c r="P322" s="842" t="s">
        <v>22</v>
      </c>
      <c r="Q322" s="1762">
        <v>46127</v>
      </c>
      <c r="R322" s="842" t="s">
        <v>22</v>
      </c>
      <c r="S322" s="1762">
        <v>46141</v>
      </c>
      <c r="T322" s="842" t="s">
        <v>22</v>
      </c>
      <c r="U322" s="1762" t="s">
        <v>22</v>
      </c>
      <c r="V322" s="842" t="s">
        <v>22</v>
      </c>
      <c r="W322" s="1762" t="s">
        <v>22</v>
      </c>
      <c r="X322" s="842" t="s">
        <v>22</v>
      </c>
      <c r="Y322" s="1762" t="s">
        <v>22</v>
      </c>
      <c r="Z322" s="842" t="s">
        <v>22</v>
      </c>
      <c r="AA322" s="2943" t="s">
        <v>22</v>
      </c>
      <c r="AB322" s="2940" t="s">
        <v>22</v>
      </c>
      <c r="AC322" s="1762">
        <v>46148</v>
      </c>
      <c r="AD322" s="842" t="s">
        <v>22</v>
      </c>
      <c r="AE322" s="1762" t="s">
        <v>22</v>
      </c>
      <c r="AF322" s="842" t="s">
        <v>22</v>
      </c>
      <c r="AG322" s="2943" t="s">
        <v>22</v>
      </c>
      <c r="AH322" s="2940" t="s">
        <v>22</v>
      </c>
      <c r="AI322" s="1762">
        <v>46146</v>
      </c>
      <c r="AJ322" s="842" t="s">
        <v>22</v>
      </c>
      <c r="AK322" s="1762" t="s">
        <v>22</v>
      </c>
      <c r="AL322" s="842" t="s">
        <v>22</v>
      </c>
      <c r="AM322" s="1549" t="s">
        <v>1041</v>
      </c>
      <c r="AN322" s="1659"/>
      <c r="AO322" s="1659"/>
      <c r="AP322" s="1659"/>
      <c r="AQ322" s="1659"/>
      <c r="AR322" s="1659"/>
      <c r="AS322" s="1659"/>
      <c r="AT322" s="1659"/>
      <c r="AU322" s="1659"/>
      <c r="AV322" s="1659"/>
      <c r="AW322" s="699"/>
      <c r="AX322" s="1659">
        <v>0</v>
      </c>
    </row>
    <row s="1874" customFormat="1" customHeight="1" ht="15">
      <c r="A323" s="1659"/>
      <c r="B323" s="2421"/>
      <c r="C323" s="2422"/>
      <c r="D323" s="713" t="str">
        <f>B321&amp;".3"</f>
        <v>3.95.3</v>
      </c>
      <c r="E323" s="1691" t="s">
        <v>1042</v>
      </c>
      <c r="F323" s="2287" t="s">
        <v>390</v>
      </c>
      <c r="G323" s="1762" t="s">
        <v>22</v>
      </c>
      <c r="H323" s="842" t="s">
        <v>22</v>
      </c>
      <c r="I323" s="1762" t="s">
        <v>22</v>
      </c>
      <c r="J323" s="842" t="s">
        <v>22</v>
      </c>
      <c r="K323" s="1762" t="s">
        <v>22</v>
      </c>
      <c r="L323" s="842" t="s">
        <v>22</v>
      </c>
      <c r="M323" s="2943" t="s">
        <v>22</v>
      </c>
      <c r="N323" s="2940" t="s">
        <v>22</v>
      </c>
      <c r="O323" s="1762" t="s">
        <v>22</v>
      </c>
      <c r="P323" s="842" t="s">
        <v>22</v>
      </c>
      <c r="Q323" s="1762" t="s">
        <v>22</v>
      </c>
      <c r="R323" s="842" t="s">
        <v>22</v>
      </c>
      <c r="S323" s="1762"/>
      <c r="T323" s="842" t="s">
        <v>22</v>
      </c>
      <c r="U323" s="1762" t="s">
        <v>22</v>
      </c>
      <c r="V323" s="842" t="s">
        <v>22</v>
      </c>
      <c r="W323" s="1762" t="s">
        <v>22</v>
      </c>
      <c r="X323" s="842" t="s">
        <v>22</v>
      </c>
      <c r="Y323" s="1762" t="s">
        <v>22</v>
      </c>
      <c r="Z323" s="842" t="s">
        <v>22</v>
      </c>
      <c r="AA323" s="2943" t="s">
        <v>22</v>
      </c>
      <c r="AB323" s="2940" t="s">
        <v>22</v>
      </c>
      <c r="AC323" s="1762" t="s">
        <v>22</v>
      </c>
      <c r="AD323" s="842" t="s">
        <v>22</v>
      </c>
      <c r="AE323" s="1762" t="s">
        <v>22</v>
      </c>
      <c r="AF323" s="842" t="s">
        <v>22</v>
      </c>
      <c r="AG323" s="2943" t="s">
        <v>22</v>
      </c>
      <c r="AH323" s="2940" t="s">
        <v>22</v>
      </c>
      <c r="AI323" s="1762" t="s">
        <v>22</v>
      </c>
      <c r="AJ323" s="842" t="s">
        <v>22</v>
      </c>
      <c r="AK323" s="1762" t="s">
        <v>22</v>
      </c>
      <c r="AL323" s="842" t="s">
        <v>22</v>
      </c>
      <c r="AM323" s="1549" t="s">
        <v>1043</v>
      </c>
      <c r="AN323" s="1659"/>
      <c r="AO323" s="1659"/>
      <c r="AP323" s="1659"/>
      <c r="AQ323" s="1659"/>
      <c r="AR323" s="1659"/>
      <c r="AS323" s="1659"/>
      <c r="AT323" s="1659"/>
      <c r="AU323" s="1659"/>
      <c r="AV323" s="1659"/>
      <c r="AW323" s="699"/>
      <c r="AX323" s="1659">
        <v>0</v>
      </c>
    </row>
    <row s="1874" customFormat="1" customHeight="1" ht="22.5">
      <c r="A324" s="1659"/>
      <c r="B324" s="2421" t="s">
        <v>1177</v>
      </c>
      <c r="C324" s="2422" t="s">
        <v>104</v>
      </c>
      <c r="D324" s="713" t="str">
        <f>B324&amp;".1"</f>
        <v>3.96.1</v>
      </c>
      <c r="E324" s="1691" t="s">
        <v>1039</v>
      </c>
      <c r="F324" s="2287" t="s">
        <v>390</v>
      </c>
      <c r="G324" s="2377" t="s">
        <v>22</v>
      </c>
      <c r="H324" s="842" t="s">
        <v>22</v>
      </c>
      <c r="I324" s="2377" t="s">
        <v>1059</v>
      </c>
      <c r="J324" s="842" t="s">
        <v>22</v>
      </c>
      <c r="K324" s="2377" t="s">
        <v>22</v>
      </c>
      <c r="L324" s="842" t="s">
        <v>22</v>
      </c>
      <c r="M324" s="2942" t="s">
        <v>22</v>
      </c>
      <c r="N324" s="2940" t="s">
        <v>22</v>
      </c>
      <c r="O324" s="2377" t="s">
        <v>1059</v>
      </c>
      <c r="P324" s="842" t="s">
        <v>22</v>
      </c>
      <c r="Q324" s="2377" t="s">
        <v>1059</v>
      </c>
      <c r="R324" s="842" t="s">
        <v>22</v>
      </c>
      <c r="S324" s="2377" t="s">
        <v>1178</v>
      </c>
      <c r="T324" s="842" t="s">
        <v>22</v>
      </c>
      <c r="U324" s="2377" t="s">
        <v>22</v>
      </c>
      <c r="V324" s="842" t="s">
        <v>22</v>
      </c>
      <c r="W324" s="2377" t="s">
        <v>22</v>
      </c>
      <c r="X324" s="842" t="s">
        <v>22</v>
      </c>
      <c r="Y324" s="2377" t="s">
        <v>22</v>
      </c>
      <c r="Z324" s="842" t="s">
        <v>22</v>
      </c>
      <c r="AA324" s="2942" t="s">
        <v>22</v>
      </c>
      <c r="AB324" s="2940" t="s">
        <v>22</v>
      </c>
      <c r="AC324" s="2377" t="s">
        <v>1148</v>
      </c>
      <c r="AD324" s="842" t="s">
        <v>22</v>
      </c>
      <c r="AE324" s="2377" t="s">
        <v>22</v>
      </c>
      <c r="AF324" s="842" t="s">
        <v>22</v>
      </c>
      <c r="AG324" s="2942" t="s">
        <v>22</v>
      </c>
      <c r="AH324" s="2940" t="s">
        <v>22</v>
      </c>
      <c r="AI324" s="2377" t="s">
        <v>1148</v>
      </c>
      <c r="AJ324" s="842" t="s">
        <v>22</v>
      </c>
      <c r="AK324" s="2377" t="s">
        <v>22</v>
      </c>
      <c r="AL324" s="842" t="s">
        <v>22</v>
      </c>
      <c r="AM324" s="1549"/>
      <c r="AN324" s="1659"/>
      <c r="AO324" s="1659"/>
      <c r="AP324" s="1659"/>
      <c r="AQ324" s="1659"/>
      <c r="AR324" s="1659"/>
      <c r="AS324" s="1659"/>
      <c r="AT324" s="1659"/>
      <c r="AU324" s="1659"/>
      <c r="AV324" s="1659"/>
      <c r="AW324" s="699"/>
      <c r="AX324" s="1659">
        <v>0</v>
      </c>
    </row>
    <row s="1874" customFormat="1" customHeight="1" ht="15">
      <c r="A325" s="1659"/>
      <c r="B325" s="2421"/>
      <c r="C325" s="2422"/>
      <c r="D325" s="713" t="str">
        <f>B324&amp;".2"</f>
        <v>3.96.2</v>
      </c>
      <c r="E325" s="1691" t="s">
        <v>1040</v>
      </c>
      <c r="F325" s="2287" t="s">
        <v>390</v>
      </c>
      <c r="G325" s="1762" t="s">
        <v>22</v>
      </c>
      <c r="H325" s="842" t="s">
        <v>22</v>
      </c>
      <c r="I325" s="1762">
        <v>46142</v>
      </c>
      <c r="J325" s="842" t="s">
        <v>22</v>
      </c>
      <c r="K325" s="1762" t="s">
        <v>22</v>
      </c>
      <c r="L325" s="842" t="s">
        <v>22</v>
      </c>
      <c r="M325" s="2943" t="s">
        <v>22</v>
      </c>
      <c r="N325" s="2940" t="s">
        <v>22</v>
      </c>
      <c r="O325" s="1762">
        <v>46148</v>
      </c>
      <c r="P325" s="842" t="s">
        <v>22</v>
      </c>
      <c r="Q325" s="1762">
        <v>46127</v>
      </c>
      <c r="R325" s="842" t="s">
        <v>22</v>
      </c>
      <c r="S325" s="1762">
        <v>46141</v>
      </c>
      <c r="T325" s="842" t="s">
        <v>22</v>
      </c>
      <c r="U325" s="1762" t="s">
        <v>22</v>
      </c>
      <c r="V325" s="842" t="s">
        <v>22</v>
      </c>
      <c r="W325" s="1762" t="s">
        <v>22</v>
      </c>
      <c r="X325" s="842" t="s">
        <v>22</v>
      </c>
      <c r="Y325" s="1762" t="s">
        <v>22</v>
      </c>
      <c r="Z325" s="842" t="s">
        <v>22</v>
      </c>
      <c r="AA325" s="2943" t="s">
        <v>22</v>
      </c>
      <c r="AB325" s="2940" t="s">
        <v>22</v>
      </c>
      <c r="AC325" s="1762">
        <v>46148</v>
      </c>
      <c r="AD325" s="842" t="s">
        <v>22</v>
      </c>
      <c r="AE325" s="1762" t="s">
        <v>22</v>
      </c>
      <c r="AF325" s="842" t="s">
        <v>22</v>
      </c>
      <c r="AG325" s="2943" t="s">
        <v>22</v>
      </c>
      <c r="AH325" s="2940" t="s">
        <v>22</v>
      </c>
      <c r="AI325" s="1762">
        <v>46146</v>
      </c>
      <c r="AJ325" s="842" t="s">
        <v>22</v>
      </c>
      <c r="AK325" s="1762" t="s">
        <v>22</v>
      </c>
      <c r="AL325" s="842" t="s">
        <v>22</v>
      </c>
      <c r="AM325" s="1549" t="s">
        <v>1041</v>
      </c>
      <c r="AN325" s="1659"/>
      <c r="AO325" s="1659"/>
      <c r="AP325" s="1659"/>
      <c r="AQ325" s="1659"/>
      <c r="AR325" s="1659"/>
      <c r="AS325" s="1659"/>
      <c r="AT325" s="1659"/>
      <c r="AU325" s="1659"/>
      <c r="AV325" s="1659"/>
      <c r="AW325" s="699"/>
      <c r="AX325" s="1659">
        <v>0</v>
      </c>
    </row>
    <row s="1874" customFormat="1" customHeight="1" ht="15">
      <c r="A326" s="1659"/>
      <c r="B326" s="2421"/>
      <c r="C326" s="2422"/>
      <c r="D326" s="713" t="str">
        <f>B324&amp;".3"</f>
        <v>3.96.3</v>
      </c>
      <c r="E326" s="1691" t="s">
        <v>1042</v>
      </c>
      <c r="F326" s="2287" t="s">
        <v>390</v>
      </c>
      <c r="G326" s="1762" t="s">
        <v>22</v>
      </c>
      <c r="H326" s="842" t="s">
        <v>22</v>
      </c>
      <c r="I326" s="1762" t="s">
        <v>22</v>
      </c>
      <c r="J326" s="842" t="s">
        <v>22</v>
      </c>
      <c r="K326" s="1762" t="s">
        <v>22</v>
      </c>
      <c r="L326" s="842" t="s">
        <v>22</v>
      </c>
      <c r="M326" s="2943" t="s">
        <v>22</v>
      </c>
      <c r="N326" s="2940" t="s">
        <v>22</v>
      </c>
      <c r="O326" s="1762" t="s">
        <v>22</v>
      </c>
      <c r="P326" s="842" t="s">
        <v>22</v>
      </c>
      <c r="Q326" s="1762" t="s">
        <v>22</v>
      </c>
      <c r="R326" s="842" t="s">
        <v>22</v>
      </c>
      <c r="S326" s="1762"/>
      <c r="T326" s="842" t="s">
        <v>22</v>
      </c>
      <c r="U326" s="1762" t="s">
        <v>22</v>
      </c>
      <c r="V326" s="842" t="s">
        <v>22</v>
      </c>
      <c r="W326" s="1762" t="s">
        <v>22</v>
      </c>
      <c r="X326" s="842" t="s">
        <v>22</v>
      </c>
      <c r="Y326" s="1762" t="s">
        <v>22</v>
      </c>
      <c r="Z326" s="842" t="s">
        <v>22</v>
      </c>
      <c r="AA326" s="2943" t="s">
        <v>22</v>
      </c>
      <c r="AB326" s="2940" t="s">
        <v>22</v>
      </c>
      <c r="AC326" s="1762" t="s">
        <v>22</v>
      </c>
      <c r="AD326" s="842" t="s">
        <v>22</v>
      </c>
      <c r="AE326" s="1762" t="s">
        <v>22</v>
      </c>
      <c r="AF326" s="842" t="s">
        <v>22</v>
      </c>
      <c r="AG326" s="2943" t="s">
        <v>22</v>
      </c>
      <c r="AH326" s="2940" t="s">
        <v>22</v>
      </c>
      <c r="AI326" s="1762" t="s">
        <v>22</v>
      </c>
      <c r="AJ326" s="842" t="s">
        <v>22</v>
      </c>
      <c r="AK326" s="1762" t="s">
        <v>22</v>
      </c>
      <c r="AL326" s="842" t="s">
        <v>22</v>
      </c>
      <c r="AM326" s="1549" t="s">
        <v>1043</v>
      </c>
      <c r="AN326" s="1659"/>
      <c r="AO326" s="1659"/>
      <c r="AP326" s="1659"/>
      <c r="AQ326" s="1659"/>
      <c r="AR326" s="1659"/>
      <c r="AS326" s="1659"/>
      <c r="AT326" s="1659"/>
      <c r="AU326" s="1659"/>
      <c r="AV326" s="1659"/>
      <c r="AW326" s="699"/>
      <c r="AX326" s="1659">
        <v>0</v>
      </c>
    </row>
    <row s="1874" customFormat="1" customHeight="1" ht="22.5">
      <c r="A327" s="1659"/>
      <c r="B327" s="2421" t="s">
        <v>1179</v>
      </c>
      <c r="C327" s="2422" t="s">
        <v>104</v>
      </c>
      <c r="D327" s="713" t="str">
        <f>B327&amp;".1"</f>
        <v>3.97.1</v>
      </c>
      <c r="E327" s="1691" t="s">
        <v>1039</v>
      </c>
      <c r="F327" s="2287" t="s">
        <v>390</v>
      </c>
      <c r="G327" s="2377" t="s">
        <v>22</v>
      </c>
      <c r="H327" s="842" t="s">
        <v>22</v>
      </c>
      <c r="I327" s="2377" t="s">
        <v>1059</v>
      </c>
      <c r="J327" s="842" t="s">
        <v>22</v>
      </c>
      <c r="K327" s="2377" t="s">
        <v>22</v>
      </c>
      <c r="L327" s="842" t="s">
        <v>22</v>
      </c>
      <c r="M327" s="2942" t="s">
        <v>22</v>
      </c>
      <c r="N327" s="2940" t="s">
        <v>22</v>
      </c>
      <c r="O327" s="2377" t="s">
        <v>1059</v>
      </c>
      <c r="P327" s="842" t="s">
        <v>22</v>
      </c>
      <c r="Q327" s="2377" t="s">
        <v>1059</v>
      </c>
      <c r="R327" s="842" t="s">
        <v>22</v>
      </c>
      <c r="S327" s="2377" t="s">
        <v>1059</v>
      </c>
      <c r="T327" s="842" t="s">
        <v>22</v>
      </c>
      <c r="U327" s="2377" t="s">
        <v>22</v>
      </c>
      <c r="V327" s="842" t="s">
        <v>22</v>
      </c>
      <c r="W327" s="2377" t="s">
        <v>22</v>
      </c>
      <c r="X327" s="842" t="s">
        <v>22</v>
      </c>
      <c r="Y327" s="2377" t="s">
        <v>22</v>
      </c>
      <c r="Z327" s="842" t="s">
        <v>22</v>
      </c>
      <c r="AA327" s="2942" t="s">
        <v>22</v>
      </c>
      <c r="AB327" s="2940" t="s">
        <v>22</v>
      </c>
      <c r="AC327" s="2377" t="s">
        <v>1148</v>
      </c>
      <c r="AD327" s="842" t="s">
        <v>22</v>
      </c>
      <c r="AE327" s="2377" t="s">
        <v>22</v>
      </c>
      <c r="AF327" s="842" t="s">
        <v>22</v>
      </c>
      <c r="AG327" s="2942" t="s">
        <v>22</v>
      </c>
      <c r="AH327" s="2940" t="s">
        <v>22</v>
      </c>
      <c r="AI327" s="2377" t="s">
        <v>1059</v>
      </c>
      <c r="AJ327" s="842" t="s">
        <v>22</v>
      </c>
      <c r="AK327" s="2377" t="s">
        <v>22</v>
      </c>
      <c r="AL327" s="842" t="s">
        <v>22</v>
      </c>
      <c r="AM327" s="1549"/>
      <c r="AN327" s="1659"/>
      <c r="AO327" s="1659"/>
      <c r="AP327" s="1659"/>
      <c r="AQ327" s="1659"/>
      <c r="AR327" s="1659"/>
      <c r="AS327" s="1659"/>
      <c r="AT327" s="1659"/>
      <c r="AU327" s="1659"/>
      <c r="AV327" s="1659"/>
      <c r="AW327" s="699"/>
      <c r="AX327" s="1659">
        <v>0</v>
      </c>
    </row>
    <row s="1874" customFormat="1" customHeight="1" ht="15">
      <c r="A328" s="1659"/>
      <c r="B328" s="2421"/>
      <c r="C328" s="2422"/>
      <c r="D328" s="713" t="str">
        <f>B327&amp;".2"</f>
        <v>3.97.2</v>
      </c>
      <c r="E328" s="1691" t="s">
        <v>1040</v>
      </c>
      <c r="F328" s="2287" t="s">
        <v>390</v>
      </c>
      <c r="G328" s="1762" t="s">
        <v>22</v>
      </c>
      <c r="H328" s="842" t="s">
        <v>22</v>
      </c>
      <c r="I328" s="1762">
        <v>46142</v>
      </c>
      <c r="J328" s="842" t="s">
        <v>22</v>
      </c>
      <c r="K328" s="1762" t="s">
        <v>22</v>
      </c>
      <c r="L328" s="842" t="s">
        <v>22</v>
      </c>
      <c r="M328" s="2943" t="s">
        <v>22</v>
      </c>
      <c r="N328" s="2940" t="s">
        <v>22</v>
      </c>
      <c r="O328" s="1762">
        <v>46148</v>
      </c>
      <c r="P328" s="842" t="s">
        <v>22</v>
      </c>
      <c r="Q328" s="1762">
        <v>46127</v>
      </c>
      <c r="R328" s="842" t="s">
        <v>22</v>
      </c>
      <c r="S328" s="1762">
        <v>46142</v>
      </c>
      <c r="T328" s="842" t="s">
        <v>22</v>
      </c>
      <c r="U328" s="1762" t="s">
        <v>22</v>
      </c>
      <c r="V328" s="842" t="s">
        <v>22</v>
      </c>
      <c r="W328" s="1762" t="s">
        <v>22</v>
      </c>
      <c r="X328" s="842" t="s">
        <v>22</v>
      </c>
      <c r="Y328" s="1762" t="s">
        <v>22</v>
      </c>
      <c r="Z328" s="842" t="s">
        <v>22</v>
      </c>
      <c r="AA328" s="2943" t="s">
        <v>22</v>
      </c>
      <c r="AB328" s="2940" t="s">
        <v>22</v>
      </c>
      <c r="AC328" s="1762">
        <v>46148</v>
      </c>
      <c r="AD328" s="842" t="s">
        <v>22</v>
      </c>
      <c r="AE328" s="1762" t="s">
        <v>22</v>
      </c>
      <c r="AF328" s="842" t="s">
        <v>22</v>
      </c>
      <c r="AG328" s="2943" t="s">
        <v>22</v>
      </c>
      <c r="AH328" s="2940" t="s">
        <v>22</v>
      </c>
      <c r="AI328" s="1762">
        <v>46147</v>
      </c>
      <c r="AJ328" s="842" t="s">
        <v>22</v>
      </c>
      <c r="AK328" s="1762" t="s">
        <v>22</v>
      </c>
      <c r="AL328" s="842" t="s">
        <v>22</v>
      </c>
      <c r="AM328" s="1549" t="s">
        <v>1041</v>
      </c>
      <c r="AN328" s="1659"/>
      <c r="AO328" s="1659"/>
      <c r="AP328" s="1659"/>
      <c r="AQ328" s="1659"/>
      <c r="AR328" s="1659"/>
      <c r="AS328" s="1659"/>
      <c r="AT328" s="1659"/>
      <c r="AU328" s="1659"/>
      <c r="AV328" s="1659"/>
      <c r="AW328" s="699"/>
      <c r="AX328" s="1659">
        <v>0</v>
      </c>
    </row>
    <row s="1874" customFormat="1" customHeight="1" ht="15">
      <c r="A329" s="1659"/>
      <c r="B329" s="2421"/>
      <c r="C329" s="2422"/>
      <c r="D329" s="713" t="str">
        <f>B327&amp;".3"</f>
        <v>3.97.3</v>
      </c>
      <c r="E329" s="1691" t="s">
        <v>1042</v>
      </c>
      <c r="F329" s="2287" t="s">
        <v>390</v>
      </c>
      <c r="G329" s="1762" t="s">
        <v>22</v>
      </c>
      <c r="H329" s="842" t="s">
        <v>22</v>
      </c>
      <c r="I329" s="1762" t="s">
        <v>22</v>
      </c>
      <c r="J329" s="842" t="s">
        <v>22</v>
      </c>
      <c r="K329" s="1762" t="s">
        <v>22</v>
      </c>
      <c r="L329" s="842" t="s">
        <v>22</v>
      </c>
      <c r="M329" s="2943" t="s">
        <v>22</v>
      </c>
      <c r="N329" s="2940" t="s">
        <v>22</v>
      </c>
      <c r="O329" s="1762" t="s">
        <v>22</v>
      </c>
      <c r="P329" s="842" t="s">
        <v>22</v>
      </c>
      <c r="Q329" s="1762" t="s">
        <v>22</v>
      </c>
      <c r="R329" s="842" t="s">
        <v>22</v>
      </c>
      <c r="S329" s="1762"/>
      <c r="T329" s="842" t="s">
        <v>22</v>
      </c>
      <c r="U329" s="1762" t="s">
        <v>22</v>
      </c>
      <c r="V329" s="842" t="s">
        <v>22</v>
      </c>
      <c r="W329" s="1762" t="s">
        <v>22</v>
      </c>
      <c r="X329" s="842" t="s">
        <v>22</v>
      </c>
      <c r="Y329" s="1762" t="s">
        <v>22</v>
      </c>
      <c r="Z329" s="842" t="s">
        <v>22</v>
      </c>
      <c r="AA329" s="2943" t="s">
        <v>22</v>
      </c>
      <c r="AB329" s="2940" t="s">
        <v>22</v>
      </c>
      <c r="AC329" s="1762" t="s">
        <v>22</v>
      </c>
      <c r="AD329" s="842" t="s">
        <v>22</v>
      </c>
      <c r="AE329" s="1762" t="s">
        <v>22</v>
      </c>
      <c r="AF329" s="842" t="s">
        <v>22</v>
      </c>
      <c r="AG329" s="2943" t="s">
        <v>22</v>
      </c>
      <c r="AH329" s="2940" t="s">
        <v>22</v>
      </c>
      <c r="AI329" s="1762" t="s">
        <v>22</v>
      </c>
      <c r="AJ329" s="842" t="s">
        <v>22</v>
      </c>
      <c r="AK329" s="1762" t="s">
        <v>22</v>
      </c>
      <c r="AL329" s="842" t="s">
        <v>22</v>
      </c>
      <c r="AM329" s="1549" t="s">
        <v>1043</v>
      </c>
      <c r="AN329" s="1659"/>
      <c r="AO329" s="1659"/>
      <c r="AP329" s="1659"/>
      <c r="AQ329" s="1659"/>
      <c r="AR329" s="1659"/>
      <c r="AS329" s="1659"/>
      <c r="AT329" s="1659"/>
      <c r="AU329" s="1659"/>
      <c r="AV329" s="1659"/>
      <c r="AW329" s="699"/>
      <c r="AX329" s="1659">
        <v>0</v>
      </c>
    </row>
    <row s="1874" customFormat="1" customHeight="1" ht="22.5">
      <c r="A330" s="1659"/>
      <c r="B330" s="2421" t="s">
        <v>1180</v>
      </c>
      <c r="C330" s="2422" t="s">
        <v>104</v>
      </c>
      <c r="D330" s="713" t="str">
        <f>B330&amp;".1"</f>
        <v>3.98.1</v>
      </c>
      <c r="E330" s="1691" t="s">
        <v>1039</v>
      </c>
      <c r="F330" s="2287" t="s">
        <v>390</v>
      </c>
      <c r="G330" s="2377" t="s">
        <v>22</v>
      </c>
      <c r="H330" s="842" t="s">
        <v>22</v>
      </c>
      <c r="I330" s="2377" t="s">
        <v>1059</v>
      </c>
      <c r="J330" s="842" t="s">
        <v>22</v>
      </c>
      <c r="K330" s="2377" t="s">
        <v>22</v>
      </c>
      <c r="L330" s="842" t="s">
        <v>22</v>
      </c>
      <c r="M330" s="2942" t="s">
        <v>22</v>
      </c>
      <c r="N330" s="2940" t="s">
        <v>22</v>
      </c>
      <c r="O330" s="2377" t="s">
        <v>1059</v>
      </c>
      <c r="P330" s="842" t="s">
        <v>22</v>
      </c>
      <c r="Q330" s="2377" t="s">
        <v>1059</v>
      </c>
      <c r="R330" s="842" t="s">
        <v>22</v>
      </c>
      <c r="S330" s="2377" t="s">
        <v>1059</v>
      </c>
      <c r="T330" s="842" t="s">
        <v>22</v>
      </c>
      <c r="U330" s="2377" t="s">
        <v>22</v>
      </c>
      <c r="V330" s="842" t="s">
        <v>22</v>
      </c>
      <c r="W330" s="2377" t="s">
        <v>22</v>
      </c>
      <c r="X330" s="842" t="s">
        <v>22</v>
      </c>
      <c r="Y330" s="2377" t="s">
        <v>22</v>
      </c>
      <c r="Z330" s="842" t="s">
        <v>22</v>
      </c>
      <c r="AA330" s="2942" t="s">
        <v>22</v>
      </c>
      <c r="AB330" s="2940" t="s">
        <v>22</v>
      </c>
      <c r="AC330" s="2377" t="s">
        <v>1148</v>
      </c>
      <c r="AD330" s="842" t="s">
        <v>22</v>
      </c>
      <c r="AE330" s="2377" t="s">
        <v>22</v>
      </c>
      <c r="AF330" s="842" t="s">
        <v>22</v>
      </c>
      <c r="AG330" s="2942" t="s">
        <v>22</v>
      </c>
      <c r="AH330" s="2940" t="s">
        <v>22</v>
      </c>
      <c r="AI330" s="2377" t="s">
        <v>1064</v>
      </c>
      <c r="AJ330" s="842" t="s">
        <v>22</v>
      </c>
      <c r="AK330" s="2377" t="s">
        <v>22</v>
      </c>
      <c r="AL330" s="842" t="s">
        <v>22</v>
      </c>
      <c r="AM330" s="1549"/>
      <c r="AN330" s="1659"/>
      <c r="AO330" s="1659"/>
      <c r="AP330" s="1659"/>
      <c r="AQ330" s="1659"/>
      <c r="AR330" s="1659"/>
      <c r="AS330" s="1659"/>
      <c r="AT330" s="1659"/>
      <c r="AU330" s="1659"/>
      <c r="AV330" s="1659"/>
      <c r="AW330" s="699"/>
      <c r="AX330" s="1659">
        <v>0</v>
      </c>
    </row>
    <row s="1874" customFormat="1" customHeight="1" ht="15">
      <c r="A331" s="1659"/>
      <c r="B331" s="2421"/>
      <c r="C331" s="2422"/>
      <c r="D331" s="713" t="str">
        <f>B330&amp;".2"</f>
        <v>3.98.2</v>
      </c>
      <c r="E331" s="1691" t="s">
        <v>1040</v>
      </c>
      <c r="F331" s="2287" t="s">
        <v>390</v>
      </c>
      <c r="G331" s="1762" t="s">
        <v>22</v>
      </c>
      <c r="H331" s="842" t="s">
        <v>22</v>
      </c>
      <c r="I331" s="1762">
        <v>46142</v>
      </c>
      <c r="J331" s="842" t="s">
        <v>22</v>
      </c>
      <c r="K331" s="1762" t="s">
        <v>22</v>
      </c>
      <c r="L331" s="842" t="s">
        <v>22</v>
      </c>
      <c r="M331" s="2943" t="s">
        <v>22</v>
      </c>
      <c r="N331" s="2940" t="s">
        <v>22</v>
      </c>
      <c r="O331" s="1762">
        <v>46148</v>
      </c>
      <c r="P331" s="842" t="s">
        <v>22</v>
      </c>
      <c r="Q331" s="1762">
        <v>46127</v>
      </c>
      <c r="R331" s="842" t="s">
        <v>22</v>
      </c>
      <c r="S331" s="1762">
        <v>46142</v>
      </c>
      <c r="T331" s="842" t="s">
        <v>22</v>
      </c>
      <c r="U331" s="1762" t="s">
        <v>22</v>
      </c>
      <c r="V331" s="842" t="s">
        <v>22</v>
      </c>
      <c r="W331" s="1762" t="s">
        <v>22</v>
      </c>
      <c r="X331" s="842" t="s">
        <v>22</v>
      </c>
      <c r="Y331" s="1762" t="s">
        <v>22</v>
      </c>
      <c r="Z331" s="842" t="s">
        <v>22</v>
      </c>
      <c r="AA331" s="2943" t="s">
        <v>22</v>
      </c>
      <c r="AB331" s="2940" t="s">
        <v>22</v>
      </c>
      <c r="AC331" s="1762">
        <v>46148</v>
      </c>
      <c r="AD331" s="842" t="s">
        <v>22</v>
      </c>
      <c r="AE331" s="1762" t="s">
        <v>22</v>
      </c>
      <c r="AF331" s="842" t="s">
        <v>22</v>
      </c>
      <c r="AG331" s="2943" t="s">
        <v>22</v>
      </c>
      <c r="AH331" s="2940" t="s">
        <v>22</v>
      </c>
      <c r="AI331" s="1762">
        <v>46147</v>
      </c>
      <c r="AJ331" s="842" t="s">
        <v>22</v>
      </c>
      <c r="AK331" s="1762" t="s">
        <v>22</v>
      </c>
      <c r="AL331" s="842" t="s">
        <v>22</v>
      </c>
      <c r="AM331" s="1549" t="s">
        <v>1041</v>
      </c>
      <c r="AN331" s="1659"/>
      <c r="AO331" s="1659"/>
      <c r="AP331" s="1659"/>
      <c r="AQ331" s="1659"/>
      <c r="AR331" s="1659"/>
      <c r="AS331" s="1659"/>
      <c r="AT331" s="1659"/>
      <c r="AU331" s="1659"/>
      <c r="AV331" s="1659"/>
      <c r="AW331" s="699"/>
      <c r="AX331" s="1659">
        <v>0</v>
      </c>
    </row>
    <row s="1874" customFormat="1" customHeight="1" ht="15">
      <c r="A332" s="1659"/>
      <c r="B332" s="2421"/>
      <c r="C332" s="2422"/>
      <c r="D332" s="713" t="str">
        <f>B330&amp;".3"</f>
        <v>3.98.3</v>
      </c>
      <c r="E332" s="1691" t="s">
        <v>1042</v>
      </c>
      <c r="F332" s="2287" t="s">
        <v>390</v>
      </c>
      <c r="G332" s="1762" t="s">
        <v>22</v>
      </c>
      <c r="H332" s="842" t="s">
        <v>22</v>
      </c>
      <c r="I332" s="1762" t="s">
        <v>22</v>
      </c>
      <c r="J332" s="842" t="s">
        <v>22</v>
      </c>
      <c r="K332" s="1762" t="s">
        <v>22</v>
      </c>
      <c r="L332" s="842" t="s">
        <v>22</v>
      </c>
      <c r="M332" s="2943" t="s">
        <v>22</v>
      </c>
      <c r="N332" s="2940" t="s">
        <v>22</v>
      </c>
      <c r="O332" s="1762" t="s">
        <v>22</v>
      </c>
      <c r="P332" s="842" t="s">
        <v>22</v>
      </c>
      <c r="Q332" s="1762" t="s">
        <v>22</v>
      </c>
      <c r="R332" s="842" t="s">
        <v>22</v>
      </c>
      <c r="S332" s="1762"/>
      <c r="T332" s="842" t="s">
        <v>22</v>
      </c>
      <c r="U332" s="1762" t="s">
        <v>22</v>
      </c>
      <c r="V332" s="842" t="s">
        <v>22</v>
      </c>
      <c r="W332" s="1762" t="s">
        <v>22</v>
      </c>
      <c r="X332" s="842" t="s">
        <v>22</v>
      </c>
      <c r="Y332" s="1762" t="s">
        <v>22</v>
      </c>
      <c r="Z332" s="842" t="s">
        <v>22</v>
      </c>
      <c r="AA332" s="2943" t="s">
        <v>22</v>
      </c>
      <c r="AB332" s="2940" t="s">
        <v>22</v>
      </c>
      <c r="AC332" s="1762" t="s">
        <v>22</v>
      </c>
      <c r="AD332" s="842" t="s">
        <v>22</v>
      </c>
      <c r="AE332" s="1762" t="s">
        <v>22</v>
      </c>
      <c r="AF332" s="842" t="s">
        <v>22</v>
      </c>
      <c r="AG332" s="2943" t="s">
        <v>22</v>
      </c>
      <c r="AH332" s="2940" t="s">
        <v>22</v>
      </c>
      <c r="AI332" s="1762" t="s">
        <v>22</v>
      </c>
      <c r="AJ332" s="842" t="s">
        <v>22</v>
      </c>
      <c r="AK332" s="1762" t="s">
        <v>22</v>
      </c>
      <c r="AL332" s="842" t="s">
        <v>22</v>
      </c>
      <c r="AM332" s="1549" t="s">
        <v>1043</v>
      </c>
      <c r="AN332" s="1659"/>
      <c r="AO332" s="1659"/>
      <c r="AP332" s="1659"/>
      <c r="AQ332" s="1659"/>
      <c r="AR332" s="1659"/>
      <c r="AS332" s="1659"/>
      <c r="AT332" s="1659"/>
      <c r="AU332" s="1659"/>
      <c r="AV332" s="1659"/>
      <c r="AW332" s="699"/>
      <c r="AX332" s="1659">
        <v>0</v>
      </c>
    </row>
    <row s="1874" customFormat="1" customHeight="1" ht="22.5">
      <c r="A333" s="1659"/>
      <c r="B333" s="2421" t="s">
        <v>1181</v>
      </c>
      <c r="C333" s="2422" t="s">
        <v>104</v>
      </c>
      <c r="D333" s="713" t="str">
        <f>B333&amp;".1"</f>
        <v>3.99.1</v>
      </c>
      <c r="E333" s="1691" t="s">
        <v>1039</v>
      </c>
      <c r="F333" s="2287" t="s">
        <v>390</v>
      </c>
      <c r="G333" s="2377" t="s">
        <v>22</v>
      </c>
      <c r="H333" s="842" t="s">
        <v>22</v>
      </c>
      <c r="I333" s="2377" t="s">
        <v>1059</v>
      </c>
      <c r="J333" s="842" t="s">
        <v>22</v>
      </c>
      <c r="K333" s="2377" t="s">
        <v>22</v>
      </c>
      <c r="L333" s="842" t="s">
        <v>22</v>
      </c>
      <c r="M333" s="2942" t="s">
        <v>22</v>
      </c>
      <c r="N333" s="2940" t="s">
        <v>22</v>
      </c>
      <c r="O333" s="2377" t="s">
        <v>22</v>
      </c>
      <c r="P333" s="842" t="s">
        <v>22</v>
      </c>
      <c r="Q333" s="2377" t="s">
        <v>1059</v>
      </c>
      <c r="R333" s="842" t="s">
        <v>22</v>
      </c>
      <c r="S333" s="2377" t="s">
        <v>1059</v>
      </c>
      <c r="T333" s="842" t="s">
        <v>22</v>
      </c>
      <c r="U333" s="2377" t="s">
        <v>22</v>
      </c>
      <c r="V333" s="842" t="s">
        <v>22</v>
      </c>
      <c r="W333" s="2377" t="s">
        <v>22</v>
      </c>
      <c r="X333" s="842" t="s">
        <v>22</v>
      </c>
      <c r="Y333" s="2377" t="s">
        <v>22</v>
      </c>
      <c r="Z333" s="842" t="s">
        <v>22</v>
      </c>
      <c r="AA333" s="2942" t="s">
        <v>22</v>
      </c>
      <c r="AB333" s="2940" t="s">
        <v>22</v>
      </c>
      <c r="AC333" s="2377" t="s">
        <v>1148</v>
      </c>
      <c r="AD333" s="842" t="s">
        <v>22</v>
      </c>
      <c r="AE333" s="2377" t="s">
        <v>22</v>
      </c>
      <c r="AF333" s="842" t="s">
        <v>22</v>
      </c>
      <c r="AG333" s="2942" t="s">
        <v>22</v>
      </c>
      <c r="AH333" s="2940" t="s">
        <v>22</v>
      </c>
      <c r="AI333" s="2377" t="s">
        <v>1059</v>
      </c>
      <c r="AJ333" s="842" t="s">
        <v>22</v>
      </c>
      <c r="AK333" s="2377" t="s">
        <v>22</v>
      </c>
      <c r="AL333" s="842" t="s">
        <v>22</v>
      </c>
      <c r="AM333" s="1549"/>
      <c r="AN333" s="1659"/>
      <c r="AO333" s="1659"/>
      <c r="AP333" s="1659"/>
      <c r="AQ333" s="1659"/>
      <c r="AR333" s="1659"/>
      <c r="AS333" s="1659"/>
      <c r="AT333" s="1659"/>
      <c r="AU333" s="1659"/>
      <c r="AV333" s="1659"/>
      <c r="AW333" s="699"/>
      <c r="AX333" s="1659">
        <v>0</v>
      </c>
    </row>
    <row s="1874" customFormat="1" customHeight="1" ht="15">
      <c r="A334" s="1659"/>
      <c r="B334" s="2421"/>
      <c r="C334" s="2422"/>
      <c r="D334" s="713" t="str">
        <f>B333&amp;".2"</f>
        <v>3.99.2</v>
      </c>
      <c r="E334" s="1691" t="s">
        <v>1040</v>
      </c>
      <c r="F334" s="2287" t="s">
        <v>390</v>
      </c>
      <c r="G334" s="1762" t="s">
        <v>22</v>
      </c>
      <c r="H334" s="842" t="s">
        <v>22</v>
      </c>
      <c r="I334" s="1762">
        <v>46142</v>
      </c>
      <c r="J334" s="842" t="s">
        <v>22</v>
      </c>
      <c r="K334" s="1762" t="s">
        <v>22</v>
      </c>
      <c r="L334" s="842" t="s">
        <v>22</v>
      </c>
      <c r="M334" s="2943" t="s">
        <v>22</v>
      </c>
      <c r="N334" s="2940" t="s">
        <v>22</v>
      </c>
      <c r="O334" s="1762" t="s">
        <v>22</v>
      </c>
      <c r="P334" s="842" t="s">
        <v>22</v>
      </c>
      <c r="Q334" s="1762">
        <v>46127</v>
      </c>
      <c r="R334" s="842" t="s">
        <v>22</v>
      </c>
      <c r="S334" s="1762">
        <v>46142</v>
      </c>
      <c r="T334" s="842" t="s">
        <v>22</v>
      </c>
      <c r="U334" s="1762" t="s">
        <v>22</v>
      </c>
      <c r="V334" s="842" t="s">
        <v>22</v>
      </c>
      <c r="W334" s="1762" t="s">
        <v>22</v>
      </c>
      <c r="X334" s="842" t="s">
        <v>22</v>
      </c>
      <c r="Y334" s="1762" t="s">
        <v>22</v>
      </c>
      <c r="Z334" s="842" t="s">
        <v>22</v>
      </c>
      <c r="AA334" s="2943" t="s">
        <v>22</v>
      </c>
      <c r="AB334" s="2940" t="s">
        <v>22</v>
      </c>
      <c r="AC334" s="1762">
        <v>46164</v>
      </c>
      <c r="AD334" s="842" t="s">
        <v>22</v>
      </c>
      <c r="AE334" s="1762" t="s">
        <v>22</v>
      </c>
      <c r="AF334" s="842" t="s">
        <v>22</v>
      </c>
      <c r="AG334" s="2943" t="s">
        <v>22</v>
      </c>
      <c r="AH334" s="2940" t="s">
        <v>22</v>
      </c>
      <c r="AI334" s="1762">
        <v>46147</v>
      </c>
      <c r="AJ334" s="842" t="s">
        <v>22</v>
      </c>
      <c r="AK334" s="1762" t="s">
        <v>22</v>
      </c>
      <c r="AL334" s="842" t="s">
        <v>22</v>
      </c>
      <c r="AM334" s="1549" t="s">
        <v>1041</v>
      </c>
      <c r="AN334" s="1659"/>
      <c r="AO334" s="1659"/>
      <c r="AP334" s="1659"/>
      <c r="AQ334" s="1659"/>
      <c r="AR334" s="1659"/>
      <c r="AS334" s="1659"/>
      <c r="AT334" s="1659"/>
      <c r="AU334" s="1659"/>
      <c r="AV334" s="1659"/>
      <c r="AW334" s="699"/>
      <c r="AX334" s="1659">
        <v>0</v>
      </c>
    </row>
    <row s="1874" customFormat="1" customHeight="1" ht="15">
      <c r="A335" s="1659"/>
      <c r="B335" s="2421"/>
      <c r="C335" s="2422"/>
      <c r="D335" s="713" t="str">
        <f>B333&amp;".3"</f>
        <v>3.99.3</v>
      </c>
      <c r="E335" s="1691" t="s">
        <v>1042</v>
      </c>
      <c r="F335" s="2287" t="s">
        <v>390</v>
      </c>
      <c r="G335" s="1762" t="s">
        <v>22</v>
      </c>
      <c r="H335" s="842" t="s">
        <v>22</v>
      </c>
      <c r="I335" s="1762" t="s">
        <v>22</v>
      </c>
      <c r="J335" s="842" t="s">
        <v>22</v>
      </c>
      <c r="K335" s="1762" t="s">
        <v>22</v>
      </c>
      <c r="L335" s="842" t="s">
        <v>22</v>
      </c>
      <c r="M335" s="2943" t="s">
        <v>22</v>
      </c>
      <c r="N335" s="2940" t="s">
        <v>22</v>
      </c>
      <c r="O335" s="1762" t="s">
        <v>22</v>
      </c>
      <c r="P335" s="842" t="s">
        <v>22</v>
      </c>
      <c r="Q335" s="1762" t="s">
        <v>22</v>
      </c>
      <c r="R335" s="842" t="s">
        <v>22</v>
      </c>
      <c r="S335" s="1762"/>
      <c r="T335" s="842" t="s">
        <v>22</v>
      </c>
      <c r="U335" s="1762" t="s">
        <v>22</v>
      </c>
      <c r="V335" s="842" t="s">
        <v>22</v>
      </c>
      <c r="W335" s="1762" t="s">
        <v>22</v>
      </c>
      <c r="X335" s="842" t="s">
        <v>22</v>
      </c>
      <c r="Y335" s="1762" t="s">
        <v>22</v>
      </c>
      <c r="Z335" s="842" t="s">
        <v>22</v>
      </c>
      <c r="AA335" s="2943" t="s">
        <v>22</v>
      </c>
      <c r="AB335" s="2940" t="s">
        <v>22</v>
      </c>
      <c r="AC335" s="1762" t="s">
        <v>22</v>
      </c>
      <c r="AD335" s="842" t="s">
        <v>22</v>
      </c>
      <c r="AE335" s="1762" t="s">
        <v>22</v>
      </c>
      <c r="AF335" s="842" t="s">
        <v>22</v>
      </c>
      <c r="AG335" s="2943" t="s">
        <v>22</v>
      </c>
      <c r="AH335" s="2940" t="s">
        <v>22</v>
      </c>
      <c r="AI335" s="1762" t="s">
        <v>22</v>
      </c>
      <c r="AJ335" s="842" t="s">
        <v>22</v>
      </c>
      <c r="AK335" s="1762" t="s">
        <v>22</v>
      </c>
      <c r="AL335" s="842" t="s">
        <v>22</v>
      </c>
      <c r="AM335" s="1549" t="s">
        <v>1043</v>
      </c>
      <c r="AN335" s="1659"/>
      <c r="AO335" s="1659"/>
      <c r="AP335" s="1659"/>
      <c r="AQ335" s="1659"/>
      <c r="AR335" s="1659"/>
      <c r="AS335" s="1659"/>
      <c r="AT335" s="1659"/>
      <c r="AU335" s="1659"/>
      <c r="AV335" s="1659"/>
      <c r="AW335" s="699"/>
      <c r="AX335" s="1659">
        <v>0</v>
      </c>
    </row>
    <row s="1874" customFormat="1" customHeight="1" ht="22.5">
      <c r="A336" s="1659"/>
      <c r="B336" s="2421" t="s">
        <v>1182</v>
      </c>
      <c r="C336" s="2422" t="s">
        <v>104</v>
      </c>
      <c r="D336" s="713" t="str">
        <f>B336&amp;".1"</f>
        <v>3.100.1</v>
      </c>
      <c r="E336" s="1691" t="s">
        <v>1039</v>
      </c>
      <c r="F336" s="2287" t="s">
        <v>390</v>
      </c>
      <c r="G336" s="2377" t="s">
        <v>22</v>
      </c>
      <c r="H336" s="842" t="s">
        <v>22</v>
      </c>
      <c r="I336" s="2377" t="s">
        <v>1059</v>
      </c>
      <c r="J336" s="842" t="s">
        <v>22</v>
      </c>
      <c r="K336" s="2377" t="s">
        <v>22</v>
      </c>
      <c r="L336" s="842" t="s">
        <v>22</v>
      </c>
      <c r="M336" s="2942" t="s">
        <v>22</v>
      </c>
      <c r="N336" s="2940" t="s">
        <v>22</v>
      </c>
      <c r="O336" s="2377" t="s">
        <v>22</v>
      </c>
      <c r="P336" s="842" t="s">
        <v>22</v>
      </c>
      <c r="Q336" s="2377" t="s">
        <v>1059</v>
      </c>
      <c r="R336" s="842" t="s">
        <v>22</v>
      </c>
      <c r="S336" s="2377" t="s">
        <v>1059</v>
      </c>
      <c r="T336" s="842" t="s">
        <v>22</v>
      </c>
      <c r="U336" s="2377" t="s">
        <v>22</v>
      </c>
      <c r="V336" s="842" t="s">
        <v>22</v>
      </c>
      <c r="W336" s="2377" t="s">
        <v>22</v>
      </c>
      <c r="X336" s="842" t="s">
        <v>22</v>
      </c>
      <c r="Y336" s="2377" t="s">
        <v>22</v>
      </c>
      <c r="Z336" s="842" t="s">
        <v>22</v>
      </c>
      <c r="AA336" s="2942" t="s">
        <v>22</v>
      </c>
      <c r="AB336" s="2940" t="s">
        <v>22</v>
      </c>
      <c r="AC336" s="2377" t="s">
        <v>1148</v>
      </c>
      <c r="AD336" s="842" t="s">
        <v>22</v>
      </c>
      <c r="AE336" s="2377" t="s">
        <v>22</v>
      </c>
      <c r="AF336" s="842" t="s">
        <v>22</v>
      </c>
      <c r="AG336" s="2942" t="s">
        <v>22</v>
      </c>
      <c r="AH336" s="2940" t="s">
        <v>22</v>
      </c>
      <c r="AI336" s="2377" t="s">
        <v>1148</v>
      </c>
      <c r="AJ336" s="842" t="s">
        <v>22</v>
      </c>
      <c r="AK336" s="2377" t="s">
        <v>22</v>
      </c>
      <c r="AL336" s="842" t="s">
        <v>22</v>
      </c>
      <c r="AM336" s="1549"/>
      <c r="AN336" s="1659"/>
      <c r="AO336" s="1659"/>
      <c r="AP336" s="1659"/>
      <c r="AQ336" s="1659"/>
      <c r="AR336" s="1659"/>
      <c r="AS336" s="1659"/>
      <c r="AT336" s="1659"/>
      <c r="AU336" s="1659"/>
      <c r="AV336" s="1659"/>
      <c r="AW336" s="699"/>
      <c r="AX336" s="1659">
        <v>0</v>
      </c>
    </row>
    <row s="1874" customFormat="1" customHeight="1" ht="15">
      <c r="A337" s="1659"/>
      <c r="B337" s="2421"/>
      <c r="C337" s="2422"/>
      <c r="D337" s="713" t="str">
        <f>B336&amp;".2"</f>
        <v>3.100.2</v>
      </c>
      <c r="E337" s="1691" t="s">
        <v>1040</v>
      </c>
      <c r="F337" s="2287" t="s">
        <v>390</v>
      </c>
      <c r="G337" s="1762" t="s">
        <v>22</v>
      </c>
      <c r="H337" s="842" t="s">
        <v>22</v>
      </c>
      <c r="I337" s="1762">
        <v>46142</v>
      </c>
      <c r="J337" s="842" t="s">
        <v>22</v>
      </c>
      <c r="K337" s="1762" t="s">
        <v>22</v>
      </c>
      <c r="L337" s="842" t="s">
        <v>22</v>
      </c>
      <c r="M337" s="2943" t="s">
        <v>22</v>
      </c>
      <c r="N337" s="2940" t="s">
        <v>22</v>
      </c>
      <c r="O337" s="1762" t="s">
        <v>22</v>
      </c>
      <c r="P337" s="842" t="s">
        <v>22</v>
      </c>
      <c r="Q337" s="1762">
        <v>46127</v>
      </c>
      <c r="R337" s="842" t="s">
        <v>22</v>
      </c>
      <c r="S337" s="1762">
        <v>46142</v>
      </c>
      <c r="T337" s="842" t="s">
        <v>22</v>
      </c>
      <c r="U337" s="1762" t="s">
        <v>22</v>
      </c>
      <c r="V337" s="842" t="s">
        <v>22</v>
      </c>
      <c r="W337" s="1762" t="s">
        <v>22</v>
      </c>
      <c r="X337" s="842" t="s">
        <v>22</v>
      </c>
      <c r="Y337" s="1762" t="s">
        <v>22</v>
      </c>
      <c r="Z337" s="842" t="s">
        <v>22</v>
      </c>
      <c r="AA337" s="2943" t="s">
        <v>22</v>
      </c>
      <c r="AB337" s="2940" t="s">
        <v>22</v>
      </c>
      <c r="AC337" s="1762">
        <v>46174</v>
      </c>
      <c r="AD337" s="842" t="s">
        <v>22</v>
      </c>
      <c r="AE337" s="1762" t="s">
        <v>22</v>
      </c>
      <c r="AF337" s="842" t="s">
        <v>22</v>
      </c>
      <c r="AG337" s="2943" t="s">
        <v>22</v>
      </c>
      <c r="AH337" s="2940" t="s">
        <v>22</v>
      </c>
      <c r="AI337" s="1762">
        <v>46148</v>
      </c>
      <c r="AJ337" s="842" t="s">
        <v>22</v>
      </c>
      <c r="AK337" s="1762" t="s">
        <v>22</v>
      </c>
      <c r="AL337" s="842" t="s">
        <v>22</v>
      </c>
      <c r="AM337" s="1549" t="s">
        <v>1041</v>
      </c>
      <c r="AN337" s="1659"/>
      <c r="AO337" s="1659"/>
      <c r="AP337" s="1659"/>
      <c r="AQ337" s="1659"/>
      <c r="AR337" s="1659"/>
      <c r="AS337" s="1659"/>
      <c r="AT337" s="1659"/>
      <c r="AU337" s="1659"/>
      <c r="AV337" s="1659"/>
      <c r="AW337" s="699"/>
      <c r="AX337" s="1659">
        <v>0</v>
      </c>
    </row>
    <row s="1874" customFormat="1" customHeight="1" ht="15">
      <c r="A338" s="1659"/>
      <c r="B338" s="2421"/>
      <c r="C338" s="2422"/>
      <c r="D338" s="713" t="str">
        <f>B336&amp;".3"</f>
        <v>3.100.3</v>
      </c>
      <c r="E338" s="1691" t="s">
        <v>1042</v>
      </c>
      <c r="F338" s="2287" t="s">
        <v>390</v>
      </c>
      <c r="G338" s="1762" t="s">
        <v>22</v>
      </c>
      <c r="H338" s="842" t="s">
        <v>22</v>
      </c>
      <c r="I338" s="1762" t="s">
        <v>22</v>
      </c>
      <c r="J338" s="842" t="s">
        <v>22</v>
      </c>
      <c r="K338" s="1762" t="s">
        <v>22</v>
      </c>
      <c r="L338" s="842" t="s">
        <v>22</v>
      </c>
      <c r="M338" s="2943" t="s">
        <v>22</v>
      </c>
      <c r="N338" s="2940" t="s">
        <v>22</v>
      </c>
      <c r="O338" s="1762" t="s">
        <v>22</v>
      </c>
      <c r="P338" s="842" t="s">
        <v>22</v>
      </c>
      <c r="Q338" s="1762" t="s">
        <v>22</v>
      </c>
      <c r="R338" s="842" t="s">
        <v>22</v>
      </c>
      <c r="S338" s="1762"/>
      <c r="T338" s="842" t="s">
        <v>22</v>
      </c>
      <c r="U338" s="1762" t="s">
        <v>22</v>
      </c>
      <c r="V338" s="842" t="s">
        <v>22</v>
      </c>
      <c r="W338" s="1762" t="s">
        <v>22</v>
      </c>
      <c r="X338" s="842" t="s">
        <v>22</v>
      </c>
      <c r="Y338" s="1762" t="s">
        <v>22</v>
      </c>
      <c r="Z338" s="842" t="s">
        <v>22</v>
      </c>
      <c r="AA338" s="2943" t="s">
        <v>22</v>
      </c>
      <c r="AB338" s="2940" t="s">
        <v>22</v>
      </c>
      <c r="AC338" s="1762" t="s">
        <v>22</v>
      </c>
      <c r="AD338" s="842" t="s">
        <v>22</v>
      </c>
      <c r="AE338" s="1762" t="s">
        <v>22</v>
      </c>
      <c r="AF338" s="842" t="s">
        <v>22</v>
      </c>
      <c r="AG338" s="2943" t="s">
        <v>22</v>
      </c>
      <c r="AH338" s="2940" t="s">
        <v>22</v>
      </c>
      <c r="AI338" s="1762" t="s">
        <v>22</v>
      </c>
      <c r="AJ338" s="842" t="s">
        <v>22</v>
      </c>
      <c r="AK338" s="1762" t="s">
        <v>22</v>
      </c>
      <c r="AL338" s="842" t="s">
        <v>22</v>
      </c>
      <c r="AM338" s="1549" t="s">
        <v>1043</v>
      </c>
      <c r="AN338" s="1659"/>
      <c r="AO338" s="1659"/>
      <c r="AP338" s="1659"/>
      <c r="AQ338" s="1659"/>
      <c r="AR338" s="1659"/>
      <c r="AS338" s="1659"/>
      <c r="AT338" s="1659"/>
      <c r="AU338" s="1659"/>
      <c r="AV338" s="1659"/>
      <c r="AW338" s="699"/>
      <c r="AX338" s="1659">
        <v>0</v>
      </c>
    </row>
    <row s="1874" customFormat="1" customHeight="1" ht="22.5">
      <c r="A339" s="1659"/>
      <c r="B339" s="2421" t="s">
        <v>1183</v>
      </c>
      <c r="C339" s="2422" t="s">
        <v>104</v>
      </c>
      <c r="D339" s="713" t="str">
        <f>B339&amp;".1"</f>
        <v>3.101.1</v>
      </c>
      <c r="E339" s="1691" t="s">
        <v>1039</v>
      </c>
      <c r="F339" s="2287" t="s">
        <v>390</v>
      </c>
      <c r="G339" s="2377" t="s">
        <v>22</v>
      </c>
      <c r="H339" s="842" t="s">
        <v>22</v>
      </c>
      <c r="I339" s="2377" t="s">
        <v>1059</v>
      </c>
      <c r="J339" s="842" t="s">
        <v>22</v>
      </c>
      <c r="K339" s="2377" t="s">
        <v>22</v>
      </c>
      <c r="L339" s="842" t="s">
        <v>22</v>
      </c>
      <c r="M339" s="2942" t="s">
        <v>22</v>
      </c>
      <c r="N339" s="2940" t="s">
        <v>22</v>
      </c>
      <c r="O339" s="2377" t="s">
        <v>22</v>
      </c>
      <c r="P339" s="842" t="s">
        <v>22</v>
      </c>
      <c r="Q339" s="2377" t="s">
        <v>1059</v>
      </c>
      <c r="R339" s="842" t="s">
        <v>22</v>
      </c>
      <c r="S339" s="2377" t="s">
        <v>1059</v>
      </c>
      <c r="T339" s="842" t="s">
        <v>22</v>
      </c>
      <c r="U339" s="2377" t="s">
        <v>22</v>
      </c>
      <c r="V339" s="842" t="s">
        <v>22</v>
      </c>
      <c r="W339" s="2377" t="s">
        <v>22</v>
      </c>
      <c r="X339" s="842" t="s">
        <v>22</v>
      </c>
      <c r="Y339" s="2377" t="s">
        <v>22</v>
      </c>
      <c r="Z339" s="842" t="s">
        <v>22</v>
      </c>
      <c r="AA339" s="2942" t="s">
        <v>22</v>
      </c>
      <c r="AB339" s="2940" t="s">
        <v>22</v>
      </c>
      <c r="AC339" s="2377" t="s">
        <v>1148</v>
      </c>
      <c r="AD339" s="842" t="s">
        <v>22</v>
      </c>
      <c r="AE339" s="2377" t="s">
        <v>22</v>
      </c>
      <c r="AF339" s="842" t="s">
        <v>22</v>
      </c>
      <c r="AG339" s="2942" t="s">
        <v>22</v>
      </c>
      <c r="AH339" s="2940" t="s">
        <v>22</v>
      </c>
      <c r="AI339" s="2377" t="s">
        <v>1148</v>
      </c>
      <c r="AJ339" s="842" t="s">
        <v>22</v>
      </c>
      <c r="AK339" s="2377" t="s">
        <v>22</v>
      </c>
      <c r="AL339" s="842" t="s">
        <v>22</v>
      </c>
      <c r="AM339" s="1549"/>
      <c r="AN339" s="1659"/>
      <c r="AO339" s="1659"/>
      <c r="AP339" s="1659"/>
      <c r="AQ339" s="1659"/>
      <c r="AR339" s="1659"/>
      <c r="AS339" s="1659"/>
      <c r="AT339" s="1659"/>
      <c r="AU339" s="1659"/>
      <c r="AV339" s="1659"/>
      <c r="AW339" s="699"/>
      <c r="AX339" s="1659">
        <v>0</v>
      </c>
    </row>
    <row s="1874" customFormat="1" customHeight="1" ht="15">
      <c r="A340" s="1659"/>
      <c r="B340" s="2421"/>
      <c r="C340" s="2422"/>
      <c r="D340" s="713" t="str">
        <f>B339&amp;".2"</f>
        <v>3.101.2</v>
      </c>
      <c r="E340" s="1691" t="s">
        <v>1040</v>
      </c>
      <c r="F340" s="2287" t="s">
        <v>390</v>
      </c>
      <c r="G340" s="1762" t="s">
        <v>22</v>
      </c>
      <c r="H340" s="842" t="s">
        <v>22</v>
      </c>
      <c r="I340" s="1762">
        <v>46142</v>
      </c>
      <c r="J340" s="842" t="s">
        <v>22</v>
      </c>
      <c r="K340" s="1762" t="s">
        <v>22</v>
      </c>
      <c r="L340" s="842" t="s">
        <v>22</v>
      </c>
      <c r="M340" s="2943" t="s">
        <v>22</v>
      </c>
      <c r="N340" s="2940" t="s">
        <v>22</v>
      </c>
      <c r="O340" s="1762" t="s">
        <v>22</v>
      </c>
      <c r="P340" s="842" t="s">
        <v>22</v>
      </c>
      <c r="Q340" s="1762">
        <v>46128</v>
      </c>
      <c r="R340" s="842" t="s">
        <v>22</v>
      </c>
      <c r="S340" s="1762">
        <v>46142</v>
      </c>
      <c r="T340" s="842" t="s">
        <v>22</v>
      </c>
      <c r="U340" s="1762" t="s">
        <v>22</v>
      </c>
      <c r="V340" s="842" t="s">
        <v>22</v>
      </c>
      <c r="W340" s="1762" t="s">
        <v>22</v>
      </c>
      <c r="X340" s="842" t="s">
        <v>22</v>
      </c>
      <c r="Y340" s="1762" t="s">
        <v>22</v>
      </c>
      <c r="Z340" s="842" t="s">
        <v>22</v>
      </c>
      <c r="AA340" s="2943" t="s">
        <v>22</v>
      </c>
      <c r="AB340" s="2940" t="s">
        <v>22</v>
      </c>
      <c r="AC340" s="1762">
        <v>46176</v>
      </c>
      <c r="AD340" s="842" t="s">
        <v>22</v>
      </c>
      <c r="AE340" s="1762" t="s">
        <v>22</v>
      </c>
      <c r="AF340" s="842" t="s">
        <v>22</v>
      </c>
      <c r="AG340" s="2943" t="s">
        <v>22</v>
      </c>
      <c r="AH340" s="2940" t="s">
        <v>22</v>
      </c>
      <c r="AI340" s="1762">
        <v>46148</v>
      </c>
      <c r="AJ340" s="842" t="s">
        <v>22</v>
      </c>
      <c r="AK340" s="1762" t="s">
        <v>22</v>
      </c>
      <c r="AL340" s="842" t="s">
        <v>22</v>
      </c>
      <c r="AM340" s="1549" t="s">
        <v>1041</v>
      </c>
      <c r="AN340" s="1659"/>
      <c r="AO340" s="1659"/>
      <c r="AP340" s="1659"/>
      <c r="AQ340" s="1659"/>
      <c r="AR340" s="1659"/>
      <c r="AS340" s="1659"/>
      <c r="AT340" s="1659"/>
      <c r="AU340" s="1659"/>
      <c r="AV340" s="1659"/>
      <c r="AW340" s="699"/>
      <c r="AX340" s="1659">
        <v>0</v>
      </c>
    </row>
    <row s="1874" customFormat="1" customHeight="1" ht="15">
      <c r="A341" s="1659"/>
      <c r="B341" s="2421"/>
      <c r="C341" s="2422"/>
      <c r="D341" s="713" t="str">
        <f>B339&amp;".3"</f>
        <v>3.101.3</v>
      </c>
      <c r="E341" s="1691" t="s">
        <v>1042</v>
      </c>
      <c r="F341" s="2287" t="s">
        <v>390</v>
      </c>
      <c r="G341" s="1762" t="s">
        <v>22</v>
      </c>
      <c r="H341" s="842" t="s">
        <v>22</v>
      </c>
      <c r="I341" s="1762" t="s">
        <v>22</v>
      </c>
      <c r="J341" s="842" t="s">
        <v>22</v>
      </c>
      <c r="K341" s="1762" t="s">
        <v>22</v>
      </c>
      <c r="L341" s="842" t="s">
        <v>22</v>
      </c>
      <c r="M341" s="2943" t="s">
        <v>22</v>
      </c>
      <c r="N341" s="2940" t="s">
        <v>22</v>
      </c>
      <c r="O341" s="1762" t="s">
        <v>22</v>
      </c>
      <c r="P341" s="842" t="s">
        <v>22</v>
      </c>
      <c r="Q341" s="1762" t="s">
        <v>22</v>
      </c>
      <c r="R341" s="842" t="s">
        <v>22</v>
      </c>
      <c r="S341" s="1762"/>
      <c r="T341" s="842" t="s">
        <v>22</v>
      </c>
      <c r="U341" s="1762" t="s">
        <v>22</v>
      </c>
      <c r="V341" s="842" t="s">
        <v>22</v>
      </c>
      <c r="W341" s="1762" t="s">
        <v>22</v>
      </c>
      <c r="X341" s="842" t="s">
        <v>22</v>
      </c>
      <c r="Y341" s="1762" t="s">
        <v>22</v>
      </c>
      <c r="Z341" s="842" t="s">
        <v>22</v>
      </c>
      <c r="AA341" s="2943" t="s">
        <v>22</v>
      </c>
      <c r="AB341" s="2940" t="s">
        <v>22</v>
      </c>
      <c r="AC341" s="1762" t="s">
        <v>22</v>
      </c>
      <c r="AD341" s="842" t="s">
        <v>22</v>
      </c>
      <c r="AE341" s="1762" t="s">
        <v>22</v>
      </c>
      <c r="AF341" s="842" t="s">
        <v>22</v>
      </c>
      <c r="AG341" s="2943" t="s">
        <v>22</v>
      </c>
      <c r="AH341" s="2940" t="s">
        <v>22</v>
      </c>
      <c r="AI341" s="1762" t="s">
        <v>22</v>
      </c>
      <c r="AJ341" s="842" t="s">
        <v>22</v>
      </c>
      <c r="AK341" s="1762" t="s">
        <v>22</v>
      </c>
      <c r="AL341" s="842" t="s">
        <v>22</v>
      </c>
      <c r="AM341" s="1549" t="s">
        <v>1043</v>
      </c>
      <c r="AN341" s="1659"/>
      <c r="AO341" s="1659"/>
      <c r="AP341" s="1659"/>
      <c r="AQ341" s="1659"/>
      <c r="AR341" s="1659"/>
      <c r="AS341" s="1659"/>
      <c r="AT341" s="1659"/>
      <c r="AU341" s="1659"/>
      <c r="AV341" s="1659"/>
      <c r="AW341" s="699"/>
      <c r="AX341" s="1659">
        <v>0</v>
      </c>
    </row>
    <row s="1874" customFormat="1" customHeight="1" ht="22.5">
      <c r="A342" s="1659"/>
      <c r="B342" s="2421" t="s">
        <v>1184</v>
      </c>
      <c r="C342" s="2422" t="s">
        <v>104</v>
      </c>
      <c r="D342" s="713" t="str">
        <f>B342&amp;".1"</f>
        <v>3.102.1</v>
      </c>
      <c r="E342" s="1691" t="s">
        <v>1039</v>
      </c>
      <c r="F342" s="2287" t="s">
        <v>390</v>
      </c>
      <c r="G342" s="2377" t="s">
        <v>22</v>
      </c>
      <c r="H342" s="842" t="s">
        <v>22</v>
      </c>
      <c r="I342" s="2377" t="s">
        <v>1059</v>
      </c>
      <c r="J342" s="842" t="s">
        <v>22</v>
      </c>
      <c r="K342" s="2377" t="s">
        <v>22</v>
      </c>
      <c r="L342" s="842" t="s">
        <v>22</v>
      </c>
      <c r="M342" s="2942" t="s">
        <v>22</v>
      </c>
      <c r="N342" s="2940" t="s">
        <v>22</v>
      </c>
      <c r="O342" s="2377" t="s">
        <v>22</v>
      </c>
      <c r="P342" s="842" t="s">
        <v>22</v>
      </c>
      <c r="Q342" s="2377" t="s">
        <v>1059</v>
      </c>
      <c r="R342" s="842" t="s">
        <v>22</v>
      </c>
      <c r="S342" s="2377" t="s">
        <v>1059</v>
      </c>
      <c r="T342" s="842" t="s">
        <v>22</v>
      </c>
      <c r="U342" s="2377" t="s">
        <v>22</v>
      </c>
      <c r="V342" s="842" t="s">
        <v>22</v>
      </c>
      <c r="W342" s="2377" t="s">
        <v>22</v>
      </c>
      <c r="X342" s="842" t="s">
        <v>22</v>
      </c>
      <c r="Y342" s="2377" t="s">
        <v>22</v>
      </c>
      <c r="Z342" s="842" t="s">
        <v>22</v>
      </c>
      <c r="AA342" s="2942" t="s">
        <v>22</v>
      </c>
      <c r="AB342" s="2940" t="s">
        <v>22</v>
      </c>
      <c r="AC342" s="2377" t="s">
        <v>1148</v>
      </c>
      <c r="AD342" s="842" t="s">
        <v>22</v>
      </c>
      <c r="AE342" s="2377" t="s">
        <v>22</v>
      </c>
      <c r="AF342" s="842" t="s">
        <v>22</v>
      </c>
      <c r="AG342" s="2942" t="s">
        <v>22</v>
      </c>
      <c r="AH342" s="2940" t="s">
        <v>22</v>
      </c>
      <c r="AI342" s="2377" t="s">
        <v>1148</v>
      </c>
      <c r="AJ342" s="842" t="s">
        <v>22</v>
      </c>
      <c r="AK342" s="2377" t="s">
        <v>22</v>
      </c>
      <c r="AL342" s="842" t="s">
        <v>22</v>
      </c>
      <c r="AM342" s="1549"/>
      <c r="AN342" s="1659"/>
      <c r="AO342" s="1659"/>
      <c r="AP342" s="1659"/>
      <c r="AQ342" s="1659"/>
      <c r="AR342" s="1659"/>
      <c r="AS342" s="1659"/>
      <c r="AT342" s="1659"/>
      <c r="AU342" s="1659"/>
      <c r="AV342" s="1659"/>
      <c r="AW342" s="699"/>
      <c r="AX342" s="1659">
        <v>0</v>
      </c>
    </row>
    <row s="1874" customFormat="1" customHeight="1" ht="15">
      <c r="A343" s="1659"/>
      <c r="B343" s="2421"/>
      <c r="C343" s="2422"/>
      <c r="D343" s="713" t="str">
        <f>B342&amp;".2"</f>
        <v>3.102.2</v>
      </c>
      <c r="E343" s="1691" t="s">
        <v>1040</v>
      </c>
      <c r="F343" s="2287" t="s">
        <v>390</v>
      </c>
      <c r="G343" s="1762" t="s">
        <v>22</v>
      </c>
      <c r="H343" s="842" t="s">
        <v>22</v>
      </c>
      <c r="I343" s="1762">
        <v>46142</v>
      </c>
      <c r="J343" s="842" t="s">
        <v>22</v>
      </c>
      <c r="K343" s="1762" t="s">
        <v>22</v>
      </c>
      <c r="L343" s="842" t="s">
        <v>22</v>
      </c>
      <c r="M343" s="2943" t="s">
        <v>22</v>
      </c>
      <c r="N343" s="2940" t="s">
        <v>22</v>
      </c>
      <c r="O343" s="1762" t="s">
        <v>22</v>
      </c>
      <c r="P343" s="842" t="s">
        <v>22</v>
      </c>
      <c r="Q343" s="1762">
        <v>46128</v>
      </c>
      <c r="R343" s="842" t="s">
        <v>22</v>
      </c>
      <c r="S343" s="1762">
        <v>46142</v>
      </c>
      <c r="T343" s="842" t="s">
        <v>22</v>
      </c>
      <c r="U343" s="1762" t="s">
        <v>22</v>
      </c>
      <c r="V343" s="842" t="s">
        <v>22</v>
      </c>
      <c r="W343" s="1762" t="s">
        <v>22</v>
      </c>
      <c r="X343" s="842" t="s">
        <v>22</v>
      </c>
      <c r="Y343" s="1762" t="s">
        <v>22</v>
      </c>
      <c r="Z343" s="842" t="s">
        <v>22</v>
      </c>
      <c r="AA343" s="2943" t="s">
        <v>22</v>
      </c>
      <c r="AB343" s="2940" t="s">
        <v>22</v>
      </c>
      <c r="AC343" s="1762">
        <v>46177</v>
      </c>
      <c r="AD343" s="842" t="s">
        <v>22</v>
      </c>
      <c r="AE343" s="1762" t="s">
        <v>22</v>
      </c>
      <c r="AF343" s="842" t="s">
        <v>22</v>
      </c>
      <c r="AG343" s="2943" t="s">
        <v>22</v>
      </c>
      <c r="AH343" s="2940" t="s">
        <v>22</v>
      </c>
      <c r="AI343" s="1762">
        <v>46148</v>
      </c>
      <c r="AJ343" s="842" t="s">
        <v>22</v>
      </c>
      <c r="AK343" s="1762" t="s">
        <v>22</v>
      </c>
      <c r="AL343" s="842" t="s">
        <v>22</v>
      </c>
      <c r="AM343" s="1549" t="s">
        <v>1041</v>
      </c>
      <c r="AN343" s="1659"/>
      <c r="AO343" s="1659"/>
      <c r="AP343" s="1659"/>
      <c r="AQ343" s="1659"/>
      <c r="AR343" s="1659"/>
      <c r="AS343" s="1659"/>
      <c r="AT343" s="1659"/>
      <c r="AU343" s="1659"/>
      <c r="AV343" s="1659"/>
      <c r="AW343" s="699"/>
      <c r="AX343" s="1659">
        <v>0</v>
      </c>
    </row>
    <row s="1874" customFormat="1" customHeight="1" ht="15">
      <c r="A344" s="1659"/>
      <c r="B344" s="2421"/>
      <c r="C344" s="2422"/>
      <c r="D344" s="713" t="str">
        <f>B342&amp;".3"</f>
        <v>3.102.3</v>
      </c>
      <c r="E344" s="1691" t="s">
        <v>1042</v>
      </c>
      <c r="F344" s="2287" t="s">
        <v>390</v>
      </c>
      <c r="G344" s="1762" t="s">
        <v>22</v>
      </c>
      <c r="H344" s="842" t="s">
        <v>22</v>
      </c>
      <c r="I344" s="1762" t="s">
        <v>22</v>
      </c>
      <c r="J344" s="842" t="s">
        <v>22</v>
      </c>
      <c r="K344" s="1762" t="s">
        <v>22</v>
      </c>
      <c r="L344" s="842" t="s">
        <v>22</v>
      </c>
      <c r="M344" s="2943" t="s">
        <v>22</v>
      </c>
      <c r="N344" s="2940" t="s">
        <v>22</v>
      </c>
      <c r="O344" s="1762" t="s">
        <v>22</v>
      </c>
      <c r="P344" s="842" t="s">
        <v>22</v>
      </c>
      <c r="Q344" s="1762" t="s">
        <v>22</v>
      </c>
      <c r="R344" s="842" t="s">
        <v>22</v>
      </c>
      <c r="S344" s="1762"/>
      <c r="T344" s="842" t="s">
        <v>22</v>
      </c>
      <c r="U344" s="1762" t="s">
        <v>22</v>
      </c>
      <c r="V344" s="842" t="s">
        <v>22</v>
      </c>
      <c r="W344" s="1762" t="s">
        <v>22</v>
      </c>
      <c r="X344" s="842" t="s">
        <v>22</v>
      </c>
      <c r="Y344" s="1762" t="s">
        <v>22</v>
      </c>
      <c r="Z344" s="842" t="s">
        <v>22</v>
      </c>
      <c r="AA344" s="2943" t="s">
        <v>22</v>
      </c>
      <c r="AB344" s="2940" t="s">
        <v>22</v>
      </c>
      <c r="AC344" s="1762"/>
      <c r="AD344" s="842" t="s">
        <v>22</v>
      </c>
      <c r="AE344" s="1762" t="s">
        <v>22</v>
      </c>
      <c r="AF344" s="842" t="s">
        <v>22</v>
      </c>
      <c r="AG344" s="2943" t="s">
        <v>22</v>
      </c>
      <c r="AH344" s="2940" t="s">
        <v>22</v>
      </c>
      <c r="AI344" s="1762" t="s">
        <v>22</v>
      </c>
      <c r="AJ344" s="842" t="s">
        <v>22</v>
      </c>
      <c r="AK344" s="1762" t="s">
        <v>22</v>
      </c>
      <c r="AL344" s="842" t="s">
        <v>22</v>
      </c>
      <c r="AM344" s="1549" t="s">
        <v>1043</v>
      </c>
      <c r="AN344" s="1659"/>
      <c r="AO344" s="1659"/>
      <c r="AP344" s="1659"/>
      <c r="AQ344" s="1659"/>
      <c r="AR344" s="1659"/>
      <c r="AS344" s="1659"/>
      <c r="AT344" s="1659"/>
      <c r="AU344" s="1659"/>
      <c r="AV344" s="1659"/>
      <c r="AW344" s="699"/>
      <c r="AX344" s="1659">
        <v>0</v>
      </c>
    </row>
    <row s="1874" customFormat="1" customHeight="1" ht="22.5">
      <c r="A345" s="1659"/>
      <c r="B345" s="2421" t="s">
        <v>1185</v>
      </c>
      <c r="C345" s="2422" t="s">
        <v>104</v>
      </c>
      <c r="D345" s="713" t="str">
        <f>B345&amp;".1"</f>
        <v>3.103.1</v>
      </c>
      <c r="E345" s="1691" t="s">
        <v>1039</v>
      </c>
      <c r="F345" s="2287" t="s">
        <v>390</v>
      </c>
      <c r="G345" s="2377" t="s">
        <v>22</v>
      </c>
      <c r="H345" s="842" t="s">
        <v>22</v>
      </c>
      <c r="I345" s="2377" t="s">
        <v>1059</v>
      </c>
      <c r="J345" s="842" t="s">
        <v>22</v>
      </c>
      <c r="K345" s="2377" t="s">
        <v>22</v>
      </c>
      <c r="L345" s="842" t="s">
        <v>22</v>
      </c>
      <c r="M345" s="2942" t="s">
        <v>22</v>
      </c>
      <c r="N345" s="2940" t="s">
        <v>22</v>
      </c>
      <c r="O345" s="2377" t="s">
        <v>22</v>
      </c>
      <c r="P345" s="842" t="s">
        <v>22</v>
      </c>
      <c r="Q345" s="2377" t="s">
        <v>1059</v>
      </c>
      <c r="R345" s="842" t="s">
        <v>22</v>
      </c>
      <c r="S345" s="2377" t="s">
        <v>1059</v>
      </c>
      <c r="T345" s="842" t="s">
        <v>22</v>
      </c>
      <c r="U345" s="2377" t="s">
        <v>22</v>
      </c>
      <c r="V345" s="842" t="s">
        <v>22</v>
      </c>
      <c r="W345" s="2377" t="s">
        <v>22</v>
      </c>
      <c r="X345" s="842" t="s">
        <v>22</v>
      </c>
      <c r="Y345" s="2377" t="s">
        <v>22</v>
      </c>
      <c r="Z345" s="842" t="s">
        <v>22</v>
      </c>
      <c r="AA345" s="2942" t="s">
        <v>22</v>
      </c>
      <c r="AB345" s="2940" t="s">
        <v>22</v>
      </c>
      <c r="AC345" s="2377" t="s">
        <v>22</v>
      </c>
      <c r="AD345" s="842" t="s">
        <v>22</v>
      </c>
      <c r="AE345" s="2377" t="s">
        <v>22</v>
      </c>
      <c r="AF345" s="842" t="s">
        <v>22</v>
      </c>
      <c r="AG345" s="2942" t="s">
        <v>22</v>
      </c>
      <c r="AH345" s="2940" t="s">
        <v>22</v>
      </c>
      <c r="AI345" s="2377" t="s">
        <v>1148</v>
      </c>
      <c r="AJ345" s="842" t="s">
        <v>22</v>
      </c>
      <c r="AK345" s="2377" t="s">
        <v>22</v>
      </c>
      <c r="AL345" s="842" t="s">
        <v>22</v>
      </c>
      <c r="AM345" s="1549"/>
      <c r="AN345" s="1659"/>
      <c r="AO345" s="1659"/>
      <c r="AP345" s="1659"/>
      <c r="AQ345" s="1659"/>
      <c r="AR345" s="1659"/>
      <c r="AS345" s="1659"/>
      <c r="AT345" s="1659"/>
      <c r="AU345" s="1659"/>
      <c r="AV345" s="1659"/>
      <c r="AW345" s="699"/>
      <c r="AX345" s="1659">
        <v>0</v>
      </c>
    </row>
    <row s="1874" customFormat="1" customHeight="1" ht="15">
      <c r="A346" s="1659"/>
      <c r="B346" s="2421"/>
      <c r="C346" s="2422"/>
      <c r="D346" s="713" t="str">
        <f>B345&amp;".2"</f>
        <v>3.103.2</v>
      </c>
      <c r="E346" s="1691" t="s">
        <v>1040</v>
      </c>
      <c r="F346" s="2287" t="s">
        <v>390</v>
      </c>
      <c r="G346" s="1762" t="s">
        <v>22</v>
      </c>
      <c r="H346" s="842" t="s">
        <v>22</v>
      </c>
      <c r="I346" s="1762">
        <v>46142</v>
      </c>
      <c r="J346" s="842" t="s">
        <v>22</v>
      </c>
      <c r="K346" s="1762" t="s">
        <v>22</v>
      </c>
      <c r="L346" s="842" t="s">
        <v>22</v>
      </c>
      <c r="M346" s="2943" t="s">
        <v>22</v>
      </c>
      <c r="N346" s="2940" t="s">
        <v>22</v>
      </c>
      <c r="O346" s="1762" t="s">
        <v>22</v>
      </c>
      <c r="P346" s="842" t="s">
        <v>22</v>
      </c>
      <c r="Q346" s="1762">
        <v>46128</v>
      </c>
      <c r="R346" s="842" t="s">
        <v>22</v>
      </c>
      <c r="S346" s="1762">
        <v>46142</v>
      </c>
      <c r="T346" s="842" t="s">
        <v>22</v>
      </c>
      <c r="U346" s="1762" t="s">
        <v>22</v>
      </c>
      <c r="V346" s="842" t="s">
        <v>22</v>
      </c>
      <c r="W346" s="1762" t="s">
        <v>22</v>
      </c>
      <c r="X346" s="842" t="s">
        <v>22</v>
      </c>
      <c r="Y346" s="1762" t="s">
        <v>22</v>
      </c>
      <c r="Z346" s="842" t="s">
        <v>22</v>
      </c>
      <c r="AA346" s="2943" t="s">
        <v>22</v>
      </c>
      <c r="AB346" s="2940" t="s">
        <v>22</v>
      </c>
      <c r="AC346" s="1762" t="s">
        <v>22</v>
      </c>
      <c r="AD346" s="842" t="s">
        <v>22</v>
      </c>
      <c r="AE346" s="1762" t="s">
        <v>22</v>
      </c>
      <c r="AF346" s="842" t="s">
        <v>22</v>
      </c>
      <c r="AG346" s="2943" t="s">
        <v>22</v>
      </c>
      <c r="AH346" s="2940" t="s">
        <v>22</v>
      </c>
      <c r="AI346" s="1762">
        <v>46148</v>
      </c>
      <c r="AJ346" s="842" t="s">
        <v>22</v>
      </c>
      <c r="AK346" s="1762" t="s">
        <v>22</v>
      </c>
      <c r="AL346" s="842" t="s">
        <v>22</v>
      </c>
      <c r="AM346" s="1549" t="s">
        <v>1041</v>
      </c>
      <c r="AN346" s="1659"/>
      <c r="AO346" s="1659"/>
      <c r="AP346" s="1659"/>
      <c r="AQ346" s="1659"/>
      <c r="AR346" s="1659"/>
      <c r="AS346" s="1659"/>
      <c r="AT346" s="1659"/>
      <c r="AU346" s="1659"/>
      <c r="AV346" s="1659"/>
      <c r="AW346" s="699"/>
      <c r="AX346" s="1659">
        <v>0</v>
      </c>
    </row>
    <row s="1874" customFormat="1" customHeight="1" ht="15">
      <c r="A347" s="1659"/>
      <c r="B347" s="2421"/>
      <c r="C347" s="2422"/>
      <c r="D347" s="713" t="str">
        <f>B345&amp;".3"</f>
        <v>3.103.3</v>
      </c>
      <c r="E347" s="1691" t="s">
        <v>1042</v>
      </c>
      <c r="F347" s="2287" t="s">
        <v>390</v>
      </c>
      <c r="G347" s="1762" t="s">
        <v>22</v>
      </c>
      <c r="H347" s="842" t="s">
        <v>22</v>
      </c>
      <c r="I347" s="1762" t="s">
        <v>22</v>
      </c>
      <c r="J347" s="842" t="s">
        <v>22</v>
      </c>
      <c r="K347" s="1762" t="s">
        <v>22</v>
      </c>
      <c r="L347" s="842" t="s">
        <v>22</v>
      </c>
      <c r="M347" s="2943" t="s">
        <v>22</v>
      </c>
      <c r="N347" s="2940" t="s">
        <v>22</v>
      </c>
      <c r="O347" s="1762" t="s">
        <v>22</v>
      </c>
      <c r="P347" s="842" t="s">
        <v>22</v>
      </c>
      <c r="Q347" s="1762" t="s">
        <v>22</v>
      </c>
      <c r="R347" s="842" t="s">
        <v>22</v>
      </c>
      <c r="S347" s="1762"/>
      <c r="T347" s="842" t="s">
        <v>22</v>
      </c>
      <c r="U347" s="1762" t="s">
        <v>22</v>
      </c>
      <c r="V347" s="842" t="s">
        <v>22</v>
      </c>
      <c r="W347" s="1762" t="s">
        <v>22</v>
      </c>
      <c r="X347" s="842" t="s">
        <v>22</v>
      </c>
      <c r="Y347" s="1762" t="s">
        <v>22</v>
      </c>
      <c r="Z347" s="842" t="s">
        <v>22</v>
      </c>
      <c r="AA347" s="2943" t="s">
        <v>22</v>
      </c>
      <c r="AB347" s="2940" t="s">
        <v>22</v>
      </c>
      <c r="AC347" s="1762" t="s">
        <v>22</v>
      </c>
      <c r="AD347" s="842" t="s">
        <v>22</v>
      </c>
      <c r="AE347" s="1762" t="s">
        <v>22</v>
      </c>
      <c r="AF347" s="842" t="s">
        <v>22</v>
      </c>
      <c r="AG347" s="2943" t="s">
        <v>22</v>
      </c>
      <c r="AH347" s="2940" t="s">
        <v>22</v>
      </c>
      <c r="AI347" s="1762" t="s">
        <v>22</v>
      </c>
      <c r="AJ347" s="842" t="s">
        <v>22</v>
      </c>
      <c r="AK347" s="1762" t="s">
        <v>22</v>
      </c>
      <c r="AL347" s="842" t="s">
        <v>22</v>
      </c>
      <c r="AM347" s="1549" t="s">
        <v>1043</v>
      </c>
      <c r="AN347" s="1659"/>
      <c r="AO347" s="1659"/>
      <c r="AP347" s="1659"/>
      <c r="AQ347" s="1659"/>
      <c r="AR347" s="1659"/>
      <c r="AS347" s="1659"/>
      <c r="AT347" s="1659"/>
      <c r="AU347" s="1659"/>
      <c r="AV347" s="1659"/>
      <c r="AW347" s="699"/>
      <c r="AX347" s="1659">
        <v>0</v>
      </c>
    </row>
    <row s="1874" customFormat="1" customHeight="1" ht="22.5">
      <c r="A348" s="1659"/>
      <c r="B348" s="2421" t="s">
        <v>1186</v>
      </c>
      <c r="C348" s="2422" t="s">
        <v>104</v>
      </c>
      <c r="D348" s="713" t="str">
        <f>B348&amp;".1"</f>
        <v>3.104.1</v>
      </c>
      <c r="E348" s="1691" t="s">
        <v>1039</v>
      </c>
      <c r="F348" s="2287" t="s">
        <v>390</v>
      </c>
      <c r="G348" s="2377" t="s">
        <v>22</v>
      </c>
      <c r="H348" s="842" t="s">
        <v>22</v>
      </c>
      <c r="I348" s="2377" t="s">
        <v>1059</v>
      </c>
      <c r="J348" s="842" t="s">
        <v>22</v>
      </c>
      <c r="K348" s="2377" t="s">
        <v>22</v>
      </c>
      <c r="L348" s="842" t="s">
        <v>22</v>
      </c>
      <c r="M348" s="2942" t="s">
        <v>22</v>
      </c>
      <c r="N348" s="2940" t="s">
        <v>22</v>
      </c>
      <c r="O348" s="2377" t="s">
        <v>22</v>
      </c>
      <c r="P348" s="842" t="s">
        <v>22</v>
      </c>
      <c r="Q348" s="2377" t="s">
        <v>1059</v>
      </c>
      <c r="R348" s="842" t="s">
        <v>22</v>
      </c>
      <c r="S348" s="2377" t="s">
        <v>1059</v>
      </c>
      <c r="T348" s="842" t="s">
        <v>22</v>
      </c>
      <c r="U348" s="2377" t="s">
        <v>22</v>
      </c>
      <c r="V348" s="842" t="s">
        <v>22</v>
      </c>
      <c r="W348" s="2377" t="s">
        <v>22</v>
      </c>
      <c r="X348" s="842" t="s">
        <v>22</v>
      </c>
      <c r="Y348" s="2377" t="s">
        <v>22</v>
      </c>
      <c r="Z348" s="842" t="s">
        <v>22</v>
      </c>
      <c r="AA348" s="2942" t="s">
        <v>22</v>
      </c>
      <c r="AB348" s="2940" t="s">
        <v>22</v>
      </c>
      <c r="AC348" s="2377" t="s">
        <v>22</v>
      </c>
      <c r="AD348" s="842" t="s">
        <v>22</v>
      </c>
      <c r="AE348" s="2377" t="s">
        <v>22</v>
      </c>
      <c r="AF348" s="842" t="s">
        <v>22</v>
      </c>
      <c r="AG348" s="2942" t="s">
        <v>22</v>
      </c>
      <c r="AH348" s="2940" t="s">
        <v>22</v>
      </c>
      <c r="AI348" s="2377" t="s">
        <v>1148</v>
      </c>
      <c r="AJ348" s="842" t="s">
        <v>22</v>
      </c>
      <c r="AK348" s="2377" t="s">
        <v>22</v>
      </c>
      <c r="AL348" s="842" t="s">
        <v>22</v>
      </c>
      <c r="AM348" s="1549"/>
      <c r="AN348" s="1659"/>
      <c r="AO348" s="1659"/>
      <c r="AP348" s="1659"/>
      <c r="AQ348" s="1659"/>
      <c r="AR348" s="1659"/>
      <c r="AS348" s="1659"/>
      <c r="AT348" s="1659"/>
      <c r="AU348" s="1659"/>
      <c r="AV348" s="1659"/>
      <c r="AW348" s="699"/>
      <c r="AX348" s="1659">
        <v>0</v>
      </c>
    </row>
    <row s="1874" customFormat="1" customHeight="1" ht="15">
      <c r="A349" s="1659"/>
      <c r="B349" s="2421"/>
      <c r="C349" s="2422"/>
      <c r="D349" s="713" t="str">
        <f>B348&amp;".2"</f>
        <v>3.104.2</v>
      </c>
      <c r="E349" s="1691" t="s">
        <v>1040</v>
      </c>
      <c r="F349" s="2287" t="s">
        <v>390</v>
      </c>
      <c r="G349" s="1762" t="s">
        <v>22</v>
      </c>
      <c r="H349" s="842" t="s">
        <v>22</v>
      </c>
      <c r="I349" s="1762">
        <v>46142</v>
      </c>
      <c r="J349" s="842" t="s">
        <v>22</v>
      </c>
      <c r="K349" s="1762" t="s">
        <v>22</v>
      </c>
      <c r="L349" s="842" t="s">
        <v>22</v>
      </c>
      <c r="M349" s="2943" t="s">
        <v>22</v>
      </c>
      <c r="N349" s="2940" t="s">
        <v>22</v>
      </c>
      <c r="O349" s="1762" t="s">
        <v>22</v>
      </c>
      <c r="P349" s="842" t="s">
        <v>22</v>
      </c>
      <c r="Q349" s="1762">
        <v>46128</v>
      </c>
      <c r="R349" s="842" t="s">
        <v>22</v>
      </c>
      <c r="S349" s="1762">
        <v>46142</v>
      </c>
      <c r="T349" s="842" t="s">
        <v>22</v>
      </c>
      <c r="U349" s="1762" t="s">
        <v>22</v>
      </c>
      <c r="V349" s="842" t="s">
        <v>22</v>
      </c>
      <c r="W349" s="1762" t="s">
        <v>22</v>
      </c>
      <c r="X349" s="842" t="s">
        <v>22</v>
      </c>
      <c r="Y349" s="1762" t="s">
        <v>22</v>
      </c>
      <c r="Z349" s="842" t="s">
        <v>22</v>
      </c>
      <c r="AA349" s="2943" t="s">
        <v>22</v>
      </c>
      <c r="AB349" s="2940" t="s">
        <v>22</v>
      </c>
      <c r="AC349" s="1762" t="s">
        <v>22</v>
      </c>
      <c r="AD349" s="842" t="s">
        <v>22</v>
      </c>
      <c r="AE349" s="1762" t="s">
        <v>22</v>
      </c>
      <c r="AF349" s="842" t="s">
        <v>22</v>
      </c>
      <c r="AG349" s="2943" t="s">
        <v>22</v>
      </c>
      <c r="AH349" s="2940" t="s">
        <v>22</v>
      </c>
      <c r="AI349" s="1762">
        <v>46148</v>
      </c>
      <c r="AJ349" s="842" t="s">
        <v>22</v>
      </c>
      <c r="AK349" s="1762" t="s">
        <v>22</v>
      </c>
      <c r="AL349" s="842" t="s">
        <v>22</v>
      </c>
      <c r="AM349" s="1549" t="s">
        <v>1041</v>
      </c>
      <c r="AN349" s="1659"/>
      <c r="AO349" s="1659"/>
      <c r="AP349" s="1659"/>
      <c r="AQ349" s="1659"/>
      <c r="AR349" s="1659"/>
      <c r="AS349" s="1659"/>
      <c r="AT349" s="1659"/>
      <c r="AU349" s="1659"/>
      <c r="AV349" s="1659"/>
      <c r="AW349" s="699"/>
      <c r="AX349" s="1659">
        <v>0</v>
      </c>
    </row>
    <row s="1874" customFormat="1" customHeight="1" ht="15">
      <c r="A350" s="1659"/>
      <c r="B350" s="2421"/>
      <c r="C350" s="2422"/>
      <c r="D350" s="713" t="str">
        <f>B348&amp;".3"</f>
        <v>3.104.3</v>
      </c>
      <c r="E350" s="1691" t="s">
        <v>1042</v>
      </c>
      <c r="F350" s="2287" t="s">
        <v>390</v>
      </c>
      <c r="G350" s="1762" t="s">
        <v>22</v>
      </c>
      <c r="H350" s="842" t="s">
        <v>22</v>
      </c>
      <c r="I350" s="1762" t="s">
        <v>22</v>
      </c>
      <c r="J350" s="842" t="s">
        <v>22</v>
      </c>
      <c r="K350" s="1762" t="s">
        <v>22</v>
      </c>
      <c r="L350" s="842" t="s">
        <v>22</v>
      </c>
      <c r="M350" s="2943" t="s">
        <v>22</v>
      </c>
      <c r="N350" s="2940" t="s">
        <v>22</v>
      </c>
      <c r="O350" s="1762" t="s">
        <v>22</v>
      </c>
      <c r="P350" s="842" t="s">
        <v>22</v>
      </c>
      <c r="Q350" s="1762" t="s">
        <v>22</v>
      </c>
      <c r="R350" s="842" t="s">
        <v>22</v>
      </c>
      <c r="S350" s="1762"/>
      <c r="T350" s="842" t="s">
        <v>22</v>
      </c>
      <c r="U350" s="1762" t="s">
        <v>22</v>
      </c>
      <c r="V350" s="842" t="s">
        <v>22</v>
      </c>
      <c r="W350" s="1762" t="s">
        <v>22</v>
      </c>
      <c r="X350" s="842" t="s">
        <v>22</v>
      </c>
      <c r="Y350" s="1762" t="s">
        <v>22</v>
      </c>
      <c r="Z350" s="842" t="s">
        <v>22</v>
      </c>
      <c r="AA350" s="2943" t="s">
        <v>22</v>
      </c>
      <c r="AB350" s="2940" t="s">
        <v>22</v>
      </c>
      <c r="AC350" s="1762" t="s">
        <v>22</v>
      </c>
      <c r="AD350" s="842" t="s">
        <v>22</v>
      </c>
      <c r="AE350" s="1762" t="s">
        <v>22</v>
      </c>
      <c r="AF350" s="842" t="s">
        <v>22</v>
      </c>
      <c r="AG350" s="2943" t="s">
        <v>22</v>
      </c>
      <c r="AH350" s="2940" t="s">
        <v>22</v>
      </c>
      <c r="AI350" s="1762" t="s">
        <v>22</v>
      </c>
      <c r="AJ350" s="842" t="s">
        <v>22</v>
      </c>
      <c r="AK350" s="1762" t="s">
        <v>22</v>
      </c>
      <c r="AL350" s="842" t="s">
        <v>22</v>
      </c>
      <c r="AM350" s="1549" t="s">
        <v>1043</v>
      </c>
      <c r="AN350" s="1659"/>
      <c r="AO350" s="1659"/>
      <c r="AP350" s="1659"/>
      <c r="AQ350" s="1659"/>
      <c r="AR350" s="1659"/>
      <c r="AS350" s="1659"/>
      <c r="AT350" s="1659"/>
      <c r="AU350" s="1659"/>
      <c r="AV350" s="1659"/>
      <c r="AW350" s="699"/>
      <c r="AX350" s="1659">
        <v>0</v>
      </c>
    </row>
    <row s="1874" customFormat="1" customHeight="1" ht="22.5">
      <c r="A351" s="1659"/>
      <c r="B351" s="2421" t="s">
        <v>1187</v>
      </c>
      <c r="C351" s="2422" t="s">
        <v>104</v>
      </c>
      <c r="D351" s="713" t="str">
        <f>B351&amp;".1"</f>
        <v>3.105.1</v>
      </c>
      <c r="E351" s="1691" t="s">
        <v>1039</v>
      </c>
      <c r="F351" s="2287" t="s">
        <v>390</v>
      </c>
      <c r="G351" s="2377" t="s">
        <v>22</v>
      </c>
      <c r="H351" s="842" t="s">
        <v>22</v>
      </c>
      <c r="I351" s="2377" t="s">
        <v>1059</v>
      </c>
      <c r="J351" s="842" t="s">
        <v>22</v>
      </c>
      <c r="K351" s="2377" t="s">
        <v>22</v>
      </c>
      <c r="L351" s="842" t="s">
        <v>22</v>
      </c>
      <c r="M351" s="2942" t="s">
        <v>22</v>
      </c>
      <c r="N351" s="2940" t="s">
        <v>22</v>
      </c>
      <c r="O351" s="2377" t="s">
        <v>22</v>
      </c>
      <c r="P351" s="842" t="s">
        <v>22</v>
      </c>
      <c r="Q351" s="2377" t="s">
        <v>1059</v>
      </c>
      <c r="R351" s="842" t="s">
        <v>22</v>
      </c>
      <c r="S351" s="2377" t="s">
        <v>1059</v>
      </c>
      <c r="T351" s="842" t="s">
        <v>22</v>
      </c>
      <c r="U351" s="2377" t="s">
        <v>22</v>
      </c>
      <c r="V351" s="842" t="s">
        <v>22</v>
      </c>
      <c r="W351" s="2377" t="s">
        <v>22</v>
      </c>
      <c r="X351" s="842" t="s">
        <v>22</v>
      </c>
      <c r="Y351" s="2377" t="s">
        <v>22</v>
      </c>
      <c r="Z351" s="842" t="s">
        <v>22</v>
      </c>
      <c r="AA351" s="2942" t="s">
        <v>22</v>
      </c>
      <c r="AB351" s="2940" t="s">
        <v>22</v>
      </c>
      <c r="AC351" s="2377" t="s">
        <v>22</v>
      </c>
      <c r="AD351" s="842" t="s">
        <v>22</v>
      </c>
      <c r="AE351" s="2377" t="s">
        <v>22</v>
      </c>
      <c r="AF351" s="842" t="s">
        <v>22</v>
      </c>
      <c r="AG351" s="2942" t="s">
        <v>22</v>
      </c>
      <c r="AH351" s="2940" t="s">
        <v>22</v>
      </c>
      <c r="AI351" s="2377" t="s">
        <v>1148</v>
      </c>
      <c r="AJ351" s="842" t="s">
        <v>22</v>
      </c>
      <c r="AK351" s="2377" t="s">
        <v>22</v>
      </c>
      <c r="AL351" s="842" t="s">
        <v>22</v>
      </c>
      <c r="AM351" s="1549"/>
      <c r="AN351" s="1659"/>
      <c r="AO351" s="1659"/>
      <c r="AP351" s="1659"/>
      <c r="AQ351" s="1659"/>
      <c r="AR351" s="1659"/>
      <c r="AS351" s="1659"/>
      <c r="AT351" s="1659"/>
      <c r="AU351" s="1659"/>
      <c r="AV351" s="1659"/>
      <c r="AW351" s="699"/>
      <c r="AX351" s="1659">
        <v>0</v>
      </c>
    </row>
    <row s="1874" customFormat="1" customHeight="1" ht="15">
      <c r="A352" s="1659"/>
      <c r="B352" s="2421"/>
      <c r="C352" s="2422"/>
      <c r="D352" s="713" t="str">
        <f>B351&amp;".2"</f>
        <v>3.105.2</v>
      </c>
      <c r="E352" s="1691" t="s">
        <v>1040</v>
      </c>
      <c r="F352" s="2287" t="s">
        <v>390</v>
      </c>
      <c r="G352" s="1762" t="s">
        <v>22</v>
      </c>
      <c r="H352" s="842" t="s">
        <v>22</v>
      </c>
      <c r="I352" s="1762">
        <v>46142</v>
      </c>
      <c r="J352" s="842" t="s">
        <v>22</v>
      </c>
      <c r="K352" s="1762" t="s">
        <v>22</v>
      </c>
      <c r="L352" s="842" t="s">
        <v>22</v>
      </c>
      <c r="M352" s="2943" t="s">
        <v>22</v>
      </c>
      <c r="N352" s="2940" t="s">
        <v>22</v>
      </c>
      <c r="O352" s="1762" t="s">
        <v>22</v>
      </c>
      <c r="P352" s="842" t="s">
        <v>22</v>
      </c>
      <c r="Q352" s="1762">
        <v>46128</v>
      </c>
      <c r="R352" s="842" t="s">
        <v>22</v>
      </c>
      <c r="S352" s="1762">
        <v>46142</v>
      </c>
      <c r="T352" s="842" t="s">
        <v>22</v>
      </c>
      <c r="U352" s="1762" t="s">
        <v>22</v>
      </c>
      <c r="V352" s="842" t="s">
        <v>22</v>
      </c>
      <c r="W352" s="1762" t="s">
        <v>22</v>
      </c>
      <c r="X352" s="842" t="s">
        <v>22</v>
      </c>
      <c r="Y352" s="1762" t="s">
        <v>22</v>
      </c>
      <c r="Z352" s="842" t="s">
        <v>22</v>
      </c>
      <c r="AA352" s="2943" t="s">
        <v>22</v>
      </c>
      <c r="AB352" s="2940" t="s">
        <v>22</v>
      </c>
      <c r="AC352" s="1762" t="s">
        <v>22</v>
      </c>
      <c r="AD352" s="842" t="s">
        <v>22</v>
      </c>
      <c r="AE352" s="1762" t="s">
        <v>22</v>
      </c>
      <c r="AF352" s="842" t="s">
        <v>22</v>
      </c>
      <c r="AG352" s="2943" t="s">
        <v>22</v>
      </c>
      <c r="AH352" s="2940" t="s">
        <v>22</v>
      </c>
      <c r="AI352" s="1762">
        <v>46148</v>
      </c>
      <c r="AJ352" s="842" t="s">
        <v>22</v>
      </c>
      <c r="AK352" s="1762" t="s">
        <v>22</v>
      </c>
      <c r="AL352" s="842" t="s">
        <v>22</v>
      </c>
      <c r="AM352" s="1549" t="s">
        <v>1041</v>
      </c>
      <c r="AN352" s="1659"/>
      <c r="AO352" s="1659"/>
      <c r="AP352" s="1659"/>
      <c r="AQ352" s="1659"/>
      <c r="AR352" s="1659"/>
      <c r="AS352" s="1659"/>
      <c r="AT352" s="1659"/>
      <c r="AU352" s="1659"/>
      <c r="AV352" s="1659"/>
      <c r="AW352" s="699"/>
      <c r="AX352" s="1659">
        <v>0</v>
      </c>
    </row>
    <row s="1874" customFormat="1" customHeight="1" ht="15">
      <c r="A353" s="1659"/>
      <c r="B353" s="2421"/>
      <c r="C353" s="2422"/>
      <c r="D353" s="713" t="str">
        <f>B351&amp;".3"</f>
        <v>3.105.3</v>
      </c>
      <c r="E353" s="1691" t="s">
        <v>1042</v>
      </c>
      <c r="F353" s="2287" t="s">
        <v>390</v>
      </c>
      <c r="G353" s="1762" t="s">
        <v>22</v>
      </c>
      <c r="H353" s="842" t="s">
        <v>22</v>
      </c>
      <c r="I353" s="1762" t="s">
        <v>22</v>
      </c>
      <c r="J353" s="842" t="s">
        <v>22</v>
      </c>
      <c r="K353" s="1762" t="s">
        <v>22</v>
      </c>
      <c r="L353" s="842" t="s">
        <v>22</v>
      </c>
      <c r="M353" s="2943" t="s">
        <v>22</v>
      </c>
      <c r="N353" s="2940" t="s">
        <v>22</v>
      </c>
      <c r="O353" s="1762" t="s">
        <v>22</v>
      </c>
      <c r="P353" s="842" t="s">
        <v>22</v>
      </c>
      <c r="Q353" s="1762" t="s">
        <v>22</v>
      </c>
      <c r="R353" s="842" t="s">
        <v>22</v>
      </c>
      <c r="S353" s="1762"/>
      <c r="T353" s="842" t="s">
        <v>22</v>
      </c>
      <c r="U353" s="1762" t="s">
        <v>22</v>
      </c>
      <c r="V353" s="842" t="s">
        <v>22</v>
      </c>
      <c r="W353" s="1762" t="s">
        <v>22</v>
      </c>
      <c r="X353" s="842" t="s">
        <v>22</v>
      </c>
      <c r="Y353" s="1762" t="s">
        <v>22</v>
      </c>
      <c r="Z353" s="842" t="s">
        <v>22</v>
      </c>
      <c r="AA353" s="2943" t="s">
        <v>22</v>
      </c>
      <c r="AB353" s="2940" t="s">
        <v>22</v>
      </c>
      <c r="AC353" s="1762" t="s">
        <v>22</v>
      </c>
      <c r="AD353" s="842" t="s">
        <v>22</v>
      </c>
      <c r="AE353" s="1762" t="s">
        <v>22</v>
      </c>
      <c r="AF353" s="842" t="s">
        <v>22</v>
      </c>
      <c r="AG353" s="2943" t="s">
        <v>22</v>
      </c>
      <c r="AH353" s="2940" t="s">
        <v>22</v>
      </c>
      <c r="AI353" s="1762" t="s">
        <v>22</v>
      </c>
      <c r="AJ353" s="842" t="s">
        <v>22</v>
      </c>
      <c r="AK353" s="1762" t="s">
        <v>22</v>
      </c>
      <c r="AL353" s="842" t="s">
        <v>22</v>
      </c>
      <c r="AM353" s="1549" t="s">
        <v>1043</v>
      </c>
      <c r="AN353" s="1659"/>
      <c r="AO353" s="1659"/>
      <c r="AP353" s="1659"/>
      <c r="AQ353" s="1659"/>
      <c r="AR353" s="1659"/>
      <c r="AS353" s="1659"/>
      <c r="AT353" s="1659"/>
      <c r="AU353" s="1659"/>
      <c r="AV353" s="1659"/>
      <c r="AW353" s="699"/>
      <c r="AX353" s="1659">
        <v>0</v>
      </c>
    </row>
    <row s="1874" customFormat="1" customHeight="1" ht="22.5">
      <c r="A354" s="1659"/>
      <c r="B354" s="2421" t="s">
        <v>1188</v>
      </c>
      <c r="C354" s="2422" t="s">
        <v>104</v>
      </c>
      <c r="D354" s="713" t="str">
        <f>B354&amp;".1"</f>
        <v>3.106.1</v>
      </c>
      <c r="E354" s="1691" t="s">
        <v>1039</v>
      </c>
      <c r="F354" s="2287" t="s">
        <v>390</v>
      </c>
      <c r="G354" s="2377" t="s">
        <v>22</v>
      </c>
      <c r="H354" s="842" t="s">
        <v>22</v>
      </c>
      <c r="I354" s="2377" t="s">
        <v>1059</v>
      </c>
      <c r="J354" s="842" t="s">
        <v>22</v>
      </c>
      <c r="K354" s="2377" t="s">
        <v>22</v>
      </c>
      <c r="L354" s="842" t="s">
        <v>22</v>
      </c>
      <c r="M354" s="2942" t="s">
        <v>22</v>
      </c>
      <c r="N354" s="2940" t="s">
        <v>22</v>
      </c>
      <c r="O354" s="2377" t="s">
        <v>22</v>
      </c>
      <c r="P354" s="842" t="s">
        <v>22</v>
      </c>
      <c r="Q354" s="2377" t="s">
        <v>1059</v>
      </c>
      <c r="R354" s="842" t="s">
        <v>22</v>
      </c>
      <c r="S354" s="2377" t="s">
        <v>1059</v>
      </c>
      <c r="T354" s="842" t="s">
        <v>22</v>
      </c>
      <c r="U354" s="2377" t="s">
        <v>22</v>
      </c>
      <c r="V354" s="842" t="s">
        <v>22</v>
      </c>
      <c r="W354" s="2377" t="s">
        <v>22</v>
      </c>
      <c r="X354" s="842" t="s">
        <v>22</v>
      </c>
      <c r="Y354" s="2377" t="s">
        <v>22</v>
      </c>
      <c r="Z354" s="842" t="s">
        <v>22</v>
      </c>
      <c r="AA354" s="2942" t="s">
        <v>22</v>
      </c>
      <c r="AB354" s="2940" t="s">
        <v>22</v>
      </c>
      <c r="AC354" s="2377" t="s">
        <v>22</v>
      </c>
      <c r="AD354" s="842" t="s">
        <v>22</v>
      </c>
      <c r="AE354" s="2377" t="s">
        <v>22</v>
      </c>
      <c r="AF354" s="842" t="s">
        <v>22</v>
      </c>
      <c r="AG354" s="2942" t="s">
        <v>22</v>
      </c>
      <c r="AH354" s="2940" t="s">
        <v>22</v>
      </c>
      <c r="AI354" s="2377" t="s">
        <v>1148</v>
      </c>
      <c r="AJ354" s="842" t="s">
        <v>22</v>
      </c>
      <c r="AK354" s="2377" t="s">
        <v>22</v>
      </c>
      <c r="AL354" s="842" t="s">
        <v>22</v>
      </c>
      <c r="AM354" s="1549"/>
      <c r="AN354" s="1659"/>
      <c r="AO354" s="1659"/>
      <c r="AP354" s="1659"/>
      <c r="AQ354" s="1659"/>
      <c r="AR354" s="1659"/>
      <c r="AS354" s="1659"/>
      <c r="AT354" s="1659"/>
      <c r="AU354" s="1659"/>
      <c r="AV354" s="1659"/>
      <c r="AW354" s="699"/>
      <c r="AX354" s="1659">
        <v>0</v>
      </c>
    </row>
    <row s="1874" customFormat="1" customHeight="1" ht="15">
      <c r="A355" s="1659"/>
      <c r="B355" s="2421"/>
      <c r="C355" s="2422"/>
      <c r="D355" s="713" t="str">
        <f>B354&amp;".2"</f>
        <v>3.106.2</v>
      </c>
      <c r="E355" s="1691" t="s">
        <v>1040</v>
      </c>
      <c r="F355" s="2287" t="s">
        <v>390</v>
      </c>
      <c r="G355" s="1762" t="s">
        <v>22</v>
      </c>
      <c r="H355" s="842" t="s">
        <v>22</v>
      </c>
      <c r="I355" s="1762">
        <v>46146</v>
      </c>
      <c r="J355" s="842" t="s">
        <v>22</v>
      </c>
      <c r="K355" s="1762" t="s">
        <v>22</v>
      </c>
      <c r="L355" s="842" t="s">
        <v>22</v>
      </c>
      <c r="M355" s="2943" t="s">
        <v>22</v>
      </c>
      <c r="N355" s="2940" t="s">
        <v>22</v>
      </c>
      <c r="O355" s="1762" t="s">
        <v>22</v>
      </c>
      <c r="P355" s="842" t="s">
        <v>22</v>
      </c>
      <c r="Q355" s="1762">
        <v>46128</v>
      </c>
      <c r="R355" s="842" t="s">
        <v>22</v>
      </c>
      <c r="S355" s="1762">
        <v>46142</v>
      </c>
      <c r="T355" s="842" t="s">
        <v>22</v>
      </c>
      <c r="U355" s="1762" t="s">
        <v>22</v>
      </c>
      <c r="V355" s="842" t="s">
        <v>22</v>
      </c>
      <c r="W355" s="1762" t="s">
        <v>22</v>
      </c>
      <c r="X355" s="842" t="s">
        <v>22</v>
      </c>
      <c r="Y355" s="1762" t="s">
        <v>22</v>
      </c>
      <c r="Z355" s="842" t="s">
        <v>22</v>
      </c>
      <c r="AA355" s="2943" t="s">
        <v>22</v>
      </c>
      <c r="AB355" s="2940" t="s">
        <v>22</v>
      </c>
      <c r="AC355" s="1762" t="s">
        <v>22</v>
      </c>
      <c r="AD355" s="842" t="s">
        <v>22</v>
      </c>
      <c r="AE355" s="1762" t="s">
        <v>22</v>
      </c>
      <c r="AF355" s="842" t="s">
        <v>22</v>
      </c>
      <c r="AG355" s="2943" t="s">
        <v>22</v>
      </c>
      <c r="AH355" s="2940" t="s">
        <v>22</v>
      </c>
      <c r="AI355" s="1762">
        <v>46148</v>
      </c>
      <c r="AJ355" s="842" t="s">
        <v>22</v>
      </c>
      <c r="AK355" s="1762" t="s">
        <v>22</v>
      </c>
      <c r="AL355" s="842" t="s">
        <v>22</v>
      </c>
      <c r="AM355" s="1549" t="s">
        <v>1041</v>
      </c>
      <c r="AN355" s="1659"/>
      <c r="AO355" s="1659"/>
      <c r="AP355" s="1659"/>
      <c r="AQ355" s="1659"/>
      <c r="AR355" s="1659"/>
      <c r="AS355" s="1659"/>
      <c r="AT355" s="1659"/>
      <c r="AU355" s="1659"/>
      <c r="AV355" s="1659"/>
      <c r="AW355" s="699"/>
      <c r="AX355" s="1659">
        <v>0</v>
      </c>
    </row>
    <row s="1874" customFormat="1" customHeight="1" ht="15">
      <c r="A356" s="1659"/>
      <c r="B356" s="2421"/>
      <c r="C356" s="2422"/>
      <c r="D356" s="713" t="str">
        <f>B354&amp;".3"</f>
        <v>3.106.3</v>
      </c>
      <c r="E356" s="1691" t="s">
        <v>1042</v>
      </c>
      <c r="F356" s="2287" t="s">
        <v>390</v>
      </c>
      <c r="G356" s="1762" t="s">
        <v>22</v>
      </c>
      <c r="H356" s="842" t="s">
        <v>22</v>
      </c>
      <c r="I356" s="1762" t="s">
        <v>22</v>
      </c>
      <c r="J356" s="842" t="s">
        <v>22</v>
      </c>
      <c r="K356" s="1762" t="s">
        <v>22</v>
      </c>
      <c r="L356" s="842" t="s">
        <v>22</v>
      </c>
      <c r="M356" s="2943" t="s">
        <v>22</v>
      </c>
      <c r="N356" s="2940" t="s">
        <v>22</v>
      </c>
      <c r="O356" s="1762" t="s">
        <v>22</v>
      </c>
      <c r="P356" s="842" t="s">
        <v>22</v>
      </c>
      <c r="Q356" s="1762" t="s">
        <v>22</v>
      </c>
      <c r="R356" s="842" t="s">
        <v>22</v>
      </c>
      <c r="S356" s="1762"/>
      <c r="T356" s="842" t="s">
        <v>22</v>
      </c>
      <c r="U356" s="1762" t="s">
        <v>22</v>
      </c>
      <c r="V356" s="842" t="s">
        <v>22</v>
      </c>
      <c r="W356" s="1762" t="s">
        <v>22</v>
      </c>
      <c r="X356" s="842" t="s">
        <v>22</v>
      </c>
      <c r="Y356" s="1762" t="s">
        <v>22</v>
      </c>
      <c r="Z356" s="842" t="s">
        <v>22</v>
      </c>
      <c r="AA356" s="2943" t="s">
        <v>22</v>
      </c>
      <c r="AB356" s="2940" t="s">
        <v>22</v>
      </c>
      <c r="AC356" s="1762" t="s">
        <v>22</v>
      </c>
      <c r="AD356" s="842" t="s">
        <v>22</v>
      </c>
      <c r="AE356" s="1762" t="s">
        <v>22</v>
      </c>
      <c r="AF356" s="842" t="s">
        <v>22</v>
      </c>
      <c r="AG356" s="2943" t="s">
        <v>22</v>
      </c>
      <c r="AH356" s="2940" t="s">
        <v>22</v>
      </c>
      <c r="AI356" s="1762" t="s">
        <v>22</v>
      </c>
      <c r="AJ356" s="842" t="s">
        <v>22</v>
      </c>
      <c r="AK356" s="1762" t="s">
        <v>22</v>
      </c>
      <c r="AL356" s="842" t="s">
        <v>22</v>
      </c>
      <c r="AM356" s="1549" t="s">
        <v>1043</v>
      </c>
      <c r="AN356" s="1659"/>
      <c r="AO356" s="1659"/>
      <c r="AP356" s="1659"/>
      <c r="AQ356" s="1659"/>
      <c r="AR356" s="1659"/>
      <c r="AS356" s="1659"/>
      <c r="AT356" s="1659"/>
      <c r="AU356" s="1659"/>
      <c r="AV356" s="1659"/>
      <c r="AW356" s="699"/>
      <c r="AX356" s="1659">
        <v>0</v>
      </c>
    </row>
    <row s="1874" customFormat="1" customHeight="1" ht="22.5">
      <c r="A357" s="1659"/>
      <c r="B357" s="2421" t="s">
        <v>1189</v>
      </c>
      <c r="C357" s="2422" t="s">
        <v>104</v>
      </c>
      <c r="D357" s="713" t="str">
        <f>B357&amp;".1"</f>
        <v>3.107.1</v>
      </c>
      <c r="E357" s="1691" t="s">
        <v>1039</v>
      </c>
      <c r="F357" s="2287" t="s">
        <v>390</v>
      </c>
      <c r="G357" s="2377" t="s">
        <v>22</v>
      </c>
      <c r="H357" s="842" t="s">
        <v>22</v>
      </c>
      <c r="I357" s="2377" t="s">
        <v>1166</v>
      </c>
      <c r="J357" s="842" t="s">
        <v>22</v>
      </c>
      <c r="K357" s="2377" t="s">
        <v>22</v>
      </c>
      <c r="L357" s="842" t="s">
        <v>22</v>
      </c>
      <c r="M357" s="2942" t="s">
        <v>22</v>
      </c>
      <c r="N357" s="2940" t="s">
        <v>22</v>
      </c>
      <c r="O357" s="2377" t="s">
        <v>22</v>
      </c>
      <c r="P357" s="842" t="s">
        <v>22</v>
      </c>
      <c r="Q357" s="2377" t="s">
        <v>1059</v>
      </c>
      <c r="R357" s="842" t="s">
        <v>22</v>
      </c>
      <c r="S357" s="2377" t="s">
        <v>1059</v>
      </c>
      <c r="T357" s="842" t="s">
        <v>22</v>
      </c>
      <c r="U357" s="2377" t="s">
        <v>22</v>
      </c>
      <c r="V357" s="842" t="s">
        <v>22</v>
      </c>
      <c r="W357" s="2377" t="s">
        <v>22</v>
      </c>
      <c r="X357" s="842" t="s">
        <v>22</v>
      </c>
      <c r="Y357" s="2377" t="s">
        <v>22</v>
      </c>
      <c r="Z357" s="842" t="s">
        <v>22</v>
      </c>
      <c r="AA357" s="2942" t="s">
        <v>22</v>
      </c>
      <c r="AB357" s="2940" t="s">
        <v>22</v>
      </c>
      <c r="AC357" s="2377" t="s">
        <v>22</v>
      </c>
      <c r="AD357" s="842" t="s">
        <v>22</v>
      </c>
      <c r="AE357" s="2377" t="s">
        <v>22</v>
      </c>
      <c r="AF357" s="842" t="s">
        <v>22</v>
      </c>
      <c r="AG357" s="2942" t="s">
        <v>22</v>
      </c>
      <c r="AH357" s="2940" t="s">
        <v>22</v>
      </c>
      <c r="AI357" s="2377" t="s">
        <v>1148</v>
      </c>
      <c r="AJ357" s="842" t="s">
        <v>22</v>
      </c>
      <c r="AK357" s="2377" t="s">
        <v>22</v>
      </c>
      <c r="AL357" s="842" t="s">
        <v>22</v>
      </c>
      <c r="AM357" s="1549"/>
      <c r="AN357" s="1659"/>
      <c r="AO357" s="1659"/>
      <c r="AP357" s="1659"/>
      <c r="AQ357" s="1659"/>
      <c r="AR357" s="1659"/>
      <c r="AS357" s="1659"/>
      <c r="AT357" s="1659"/>
      <c r="AU357" s="1659"/>
      <c r="AV357" s="1659"/>
      <c r="AW357" s="699"/>
      <c r="AX357" s="1659">
        <v>0</v>
      </c>
    </row>
    <row s="1874" customFormat="1" customHeight="1" ht="15">
      <c r="A358" s="1659"/>
      <c r="B358" s="2421"/>
      <c r="C358" s="2422"/>
      <c r="D358" s="713" t="str">
        <f>B357&amp;".2"</f>
        <v>3.107.2</v>
      </c>
      <c r="E358" s="1691" t="s">
        <v>1040</v>
      </c>
      <c r="F358" s="2287" t="s">
        <v>390</v>
      </c>
      <c r="G358" s="1762" t="s">
        <v>22</v>
      </c>
      <c r="H358" s="842" t="s">
        <v>22</v>
      </c>
      <c r="I358" s="1762">
        <v>46148</v>
      </c>
      <c r="J358" s="842" t="s">
        <v>22</v>
      </c>
      <c r="K358" s="1762" t="s">
        <v>22</v>
      </c>
      <c r="L358" s="842" t="s">
        <v>22</v>
      </c>
      <c r="M358" s="2943" t="s">
        <v>22</v>
      </c>
      <c r="N358" s="2940" t="s">
        <v>22</v>
      </c>
      <c r="O358" s="1762" t="s">
        <v>22</v>
      </c>
      <c r="P358" s="842" t="s">
        <v>22</v>
      </c>
      <c r="Q358" s="1762">
        <v>46129</v>
      </c>
      <c r="R358" s="842" t="s">
        <v>22</v>
      </c>
      <c r="S358" s="1762">
        <v>46142</v>
      </c>
      <c r="T358" s="842" t="s">
        <v>22</v>
      </c>
      <c r="U358" s="1762" t="s">
        <v>22</v>
      </c>
      <c r="V358" s="842" t="s">
        <v>22</v>
      </c>
      <c r="W358" s="1762" t="s">
        <v>22</v>
      </c>
      <c r="X358" s="842" t="s">
        <v>22</v>
      </c>
      <c r="Y358" s="1762" t="s">
        <v>22</v>
      </c>
      <c r="Z358" s="842" t="s">
        <v>22</v>
      </c>
      <c r="AA358" s="2943" t="s">
        <v>22</v>
      </c>
      <c r="AB358" s="2940" t="s">
        <v>22</v>
      </c>
      <c r="AC358" s="1762" t="s">
        <v>22</v>
      </c>
      <c r="AD358" s="842" t="s">
        <v>22</v>
      </c>
      <c r="AE358" s="1762" t="s">
        <v>22</v>
      </c>
      <c r="AF358" s="842" t="s">
        <v>22</v>
      </c>
      <c r="AG358" s="2943" t="s">
        <v>22</v>
      </c>
      <c r="AH358" s="2940" t="s">
        <v>22</v>
      </c>
      <c r="AI358" s="1762">
        <v>46148</v>
      </c>
      <c r="AJ358" s="842" t="s">
        <v>22</v>
      </c>
      <c r="AK358" s="1762" t="s">
        <v>22</v>
      </c>
      <c r="AL358" s="842" t="s">
        <v>22</v>
      </c>
      <c r="AM358" s="1549" t="s">
        <v>1041</v>
      </c>
      <c r="AN358" s="1659"/>
      <c r="AO358" s="1659"/>
      <c r="AP358" s="1659"/>
      <c r="AQ358" s="1659"/>
      <c r="AR358" s="1659"/>
      <c r="AS358" s="1659"/>
      <c r="AT358" s="1659"/>
      <c r="AU358" s="1659"/>
      <c r="AV358" s="1659"/>
      <c r="AW358" s="699"/>
      <c r="AX358" s="1659">
        <v>0</v>
      </c>
    </row>
    <row s="1874" customFormat="1" customHeight="1" ht="15">
      <c r="A359" s="1659"/>
      <c r="B359" s="2421"/>
      <c r="C359" s="2422"/>
      <c r="D359" s="713" t="str">
        <f>B357&amp;".3"</f>
        <v>3.107.3</v>
      </c>
      <c r="E359" s="1691" t="s">
        <v>1042</v>
      </c>
      <c r="F359" s="2287" t="s">
        <v>390</v>
      </c>
      <c r="G359" s="1762" t="s">
        <v>22</v>
      </c>
      <c r="H359" s="842" t="s">
        <v>22</v>
      </c>
      <c r="I359" s="1762" t="s">
        <v>22</v>
      </c>
      <c r="J359" s="842" t="s">
        <v>22</v>
      </c>
      <c r="K359" s="1762" t="s">
        <v>22</v>
      </c>
      <c r="L359" s="842" t="s">
        <v>22</v>
      </c>
      <c r="M359" s="2943" t="s">
        <v>22</v>
      </c>
      <c r="N359" s="2940" t="s">
        <v>22</v>
      </c>
      <c r="O359" s="1762" t="s">
        <v>22</v>
      </c>
      <c r="P359" s="842" t="s">
        <v>22</v>
      </c>
      <c r="Q359" s="1762" t="s">
        <v>22</v>
      </c>
      <c r="R359" s="842" t="s">
        <v>22</v>
      </c>
      <c r="S359" s="1762"/>
      <c r="T359" s="842" t="s">
        <v>22</v>
      </c>
      <c r="U359" s="1762" t="s">
        <v>22</v>
      </c>
      <c r="V359" s="842" t="s">
        <v>22</v>
      </c>
      <c r="W359" s="1762" t="s">
        <v>22</v>
      </c>
      <c r="X359" s="842" t="s">
        <v>22</v>
      </c>
      <c r="Y359" s="1762" t="s">
        <v>22</v>
      </c>
      <c r="Z359" s="842" t="s">
        <v>22</v>
      </c>
      <c r="AA359" s="2943" t="s">
        <v>22</v>
      </c>
      <c r="AB359" s="2940" t="s">
        <v>22</v>
      </c>
      <c r="AC359" s="1762" t="s">
        <v>22</v>
      </c>
      <c r="AD359" s="842" t="s">
        <v>22</v>
      </c>
      <c r="AE359" s="1762" t="s">
        <v>22</v>
      </c>
      <c r="AF359" s="842" t="s">
        <v>22</v>
      </c>
      <c r="AG359" s="2943" t="s">
        <v>22</v>
      </c>
      <c r="AH359" s="2940" t="s">
        <v>22</v>
      </c>
      <c r="AI359" s="1762" t="s">
        <v>22</v>
      </c>
      <c r="AJ359" s="842" t="s">
        <v>22</v>
      </c>
      <c r="AK359" s="1762" t="s">
        <v>22</v>
      </c>
      <c r="AL359" s="842" t="s">
        <v>22</v>
      </c>
      <c r="AM359" s="1549" t="s">
        <v>1043</v>
      </c>
      <c r="AN359" s="1659"/>
      <c r="AO359" s="1659"/>
      <c r="AP359" s="1659"/>
      <c r="AQ359" s="1659"/>
      <c r="AR359" s="1659"/>
      <c r="AS359" s="1659"/>
      <c r="AT359" s="1659"/>
      <c r="AU359" s="1659"/>
      <c r="AV359" s="1659"/>
      <c r="AW359" s="699"/>
      <c r="AX359" s="1659">
        <v>0</v>
      </c>
    </row>
    <row s="1874" customFormat="1" customHeight="1" ht="22.5">
      <c r="A360" s="1659"/>
      <c r="B360" s="2421" t="s">
        <v>1190</v>
      </c>
      <c r="C360" s="2422" t="s">
        <v>104</v>
      </c>
      <c r="D360" s="713" t="str">
        <f>B360&amp;".1"</f>
        <v>3.108.1</v>
      </c>
      <c r="E360" s="1691" t="s">
        <v>1039</v>
      </c>
      <c r="F360" s="2287" t="s">
        <v>390</v>
      </c>
      <c r="G360" s="2377" t="s">
        <v>22</v>
      </c>
      <c r="H360" s="842" t="s">
        <v>22</v>
      </c>
      <c r="I360" s="2377" t="s">
        <v>1059</v>
      </c>
      <c r="J360" s="842" t="s">
        <v>22</v>
      </c>
      <c r="K360" s="2377" t="s">
        <v>22</v>
      </c>
      <c r="L360" s="842" t="s">
        <v>22</v>
      </c>
      <c r="M360" s="2942" t="s">
        <v>22</v>
      </c>
      <c r="N360" s="2940" t="s">
        <v>22</v>
      </c>
      <c r="O360" s="2377" t="s">
        <v>22</v>
      </c>
      <c r="P360" s="842" t="s">
        <v>22</v>
      </c>
      <c r="Q360" s="2377" t="s">
        <v>1059</v>
      </c>
      <c r="R360" s="842" t="s">
        <v>22</v>
      </c>
      <c r="S360" s="2377" t="s">
        <v>1059</v>
      </c>
      <c r="T360" s="842" t="s">
        <v>22</v>
      </c>
      <c r="U360" s="2377" t="s">
        <v>22</v>
      </c>
      <c r="V360" s="842" t="s">
        <v>22</v>
      </c>
      <c r="W360" s="2377" t="s">
        <v>22</v>
      </c>
      <c r="X360" s="842" t="s">
        <v>22</v>
      </c>
      <c r="Y360" s="2377" t="s">
        <v>22</v>
      </c>
      <c r="Z360" s="842" t="s">
        <v>22</v>
      </c>
      <c r="AA360" s="2942" t="s">
        <v>22</v>
      </c>
      <c r="AB360" s="2940" t="s">
        <v>22</v>
      </c>
      <c r="AC360" s="2377" t="s">
        <v>22</v>
      </c>
      <c r="AD360" s="842" t="s">
        <v>22</v>
      </c>
      <c r="AE360" s="2377" t="s">
        <v>22</v>
      </c>
      <c r="AF360" s="842" t="s">
        <v>22</v>
      </c>
      <c r="AG360" s="2942" t="s">
        <v>22</v>
      </c>
      <c r="AH360" s="2940" t="s">
        <v>22</v>
      </c>
      <c r="AI360" s="2377" t="s">
        <v>1148</v>
      </c>
      <c r="AJ360" s="842" t="s">
        <v>22</v>
      </c>
      <c r="AK360" s="2377" t="s">
        <v>22</v>
      </c>
      <c r="AL360" s="842" t="s">
        <v>22</v>
      </c>
      <c r="AM360" s="1549"/>
      <c r="AN360" s="1659"/>
      <c r="AO360" s="1659"/>
      <c r="AP360" s="1659"/>
      <c r="AQ360" s="1659"/>
      <c r="AR360" s="1659"/>
      <c r="AS360" s="1659"/>
      <c r="AT360" s="1659"/>
      <c r="AU360" s="1659"/>
      <c r="AV360" s="1659"/>
      <c r="AW360" s="699"/>
      <c r="AX360" s="1659">
        <v>0</v>
      </c>
    </row>
    <row s="1874" customFormat="1" customHeight="1" ht="15">
      <c r="A361" s="1659"/>
      <c r="B361" s="2421"/>
      <c r="C361" s="2422"/>
      <c r="D361" s="713" t="str">
        <f>B360&amp;".2"</f>
        <v>3.108.2</v>
      </c>
      <c r="E361" s="1691" t="s">
        <v>1040</v>
      </c>
      <c r="F361" s="2287" t="s">
        <v>390</v>
      </c>
      <c r="G361" s="1762" t="s">
        <v>22</v>
      </c>
      <c r="H361" s="842" t="s">
        <v>22</v>
      </c>
      <c r="I361" s="1762">
        <v>46148</v>
      </c>
      <c r="J361" s="842" t="s">
        <v>22</v>
      </c>
      <c r="K361" s="1762" t="s">
        <v>22</v>
      </c>
      <c r="L361" s="842" t="s">
        <v>22</v>
      </c>
      <c r="M361" s="2943" t="s">
        <v>22</v>
      </c>
      <c r="N361" s="2940" t="s">
        <v>22</v>
      </c>
      <c r="O361" s="1762" t="s">
        <v>22</v>
      </c>
      <c r="P361" s="842" t="s">
        <v>22</v>
      </c>
      <c r="Q361" s="1762">
        <v>46129</v>
      </c>
      <c r="R361" s="842" t="s">
        <v>22</v>
      </c>
      <c r="S361" s="1762">
        <v>46142</v>
      </c>
      <c r="T361" s="842" t="s">
        <v>22</v>
      </c>
      <c r="U361" s="1762" t="s">
        <v>22</v>
      </c>
      <c r="V361" s="842" t="s">
        <v>22</v>
      </c>
      <c r="W361" s="1762" t="s">
        <v>22</v>
      </c>
      <c r="X361" s="842" t="s">
        <v>22</v>
      </c>
      <c r="Y361" s="1762" t="s">
        <v>22</v>
      </c>
      <c r="Z361" s="842" t="s">
        <v>22</v>
      </c>
      <c r="AA361" s="2943" t="s">
        <v>22</v>
      </c>
      <c r="AB361" s="2940" t="s">
        <v>22</v>
      </c>
      <c r="AC361" s="1762" t="s">
        <v>22</v>
      </c>
      <c r="AD361" s="842" t="s">
        <v>22</v>
      </c>
      <c r="AE361" s="1762" t="s">
        <v>22</v>
      </c>
      <c r="AF361" s="842" t="s">
        <v>22</v>
      </c>
      <c r="AG361" s="2943" t="s">
        <v>22</v>
      </c>
      <c r="AH361" s="2940" t="s">
        <v>22</v>
      </c>
      <c r="AI361" s="1762">
        <v>46148</v>
      </c>
      <c r="AJ361" s="842" t="s">
        <v>22</v>
      </c>
      <c r="AK361" s="1762" t="s">
        <v>22</v>
      </c>
      <c r="AL361" s="842" t="s">
        <v>22</v>
      </c>
      <c r="AM361" s="1549" t="s">
        <v>1041</v>
      </c>
      <c r="AN361" s="1659"/>
      <c r="AO361" s="1659"/>
      <c r="AP361" s="1659"/>
      <c r="AQ361" s="1659"/>
      <c r="AR361" s="1659"/>
      <c r="AS361" s="1659"/>
      <c r="AT361" s="1659"/>
      <c r="AU361" s="1659"/>
      <c r="AV361" s="1659"/>
      <c r="AW361" s="699"/>
      <c r="AX361" s="1659">
        <v>0</v>
      </c>
    </row>
    <row s="1874" customFormat="1" customHeight="1" ht="15">
      <c r="A362" s="1659"/>
      <c r="B362" s="2421"/>
      <c r="C362" s="2422"/>
      <c r="D362" s="713" t="str">
        <f>B360&amp;".3"</f>
        <v>3.108.3</v>
      </c>
      <c r="E362" s="1691" t="s">
        <v>1042</v>
      </c>
      <c r="F362" s="2287" t="s">
        <v>390</v>
      </c>
      <c r="G362" s="1762" t="s">
        <v>22</v>
      </c>
      <c r="H362" s="842" t="s">
        <v>22</v>
      </c>
      <c r="I362" s="1762" t="s">
        <v>22</v>
      </c>
      <c r="J362" s="842" t="s">
        <v>22</v>
      </c>
      <c r="K362" s="1762" t="s">
        <v>22</v>
      </c>
      <c r="L362" s="842" t="s">
        <v>22</v>
      </c>
      <c r="M362" s="2943" t="s">
        <v>22</v>
      </c>
      <c r="N362" s="2940" t="s">
        <v>22</v>
      </c>
      <c r="O362" s="1762" t="s">
        <v>22</v>
      </c>
      <c r="P362" s="842" t="s">
        <v>22</v>
      </c>
      <c r="Q362" s="1762" t="s">
        <v>22</v>
      </c>
      <c r="R362" s="842" t="s">
        <v>22</v>
      </c>
      <c r="S362" s="1762"/>
      <c r="T362" s="842" t="s">
        <v>22</v>
      </c>
      <c r="U362" s="1762" t="s">
        <v>22</v>
      </c>
      <c r="V362" s="842" t="s">
        <v>22</v>
      </c>
      <c r="W362" s="1762" t="s">
        <v>22</v>
      </c>
      <c r="X362" s="842" t="s">
        <v>22</v>
      </c>
      <c r="Y362" s="1762" t="s">
        <v>22</v>
      </c>
      <c r="Z362" s="842" t="s">
        <v>22</v>
      </c>
      <c r="AA362" s="2943" t="s">
        <v>22</v>
      </c>
      <c r="AB362" s="2940" t="s">
        <v>22</v>
      </c>
      <c r="AC362" s="1762" t="s">
        <v>22</v>
      </c>
      <c r="AD362" s="842" t="s">
        <v>22</v>
      </c>
      <c r="AE362" s="1762" t="s">
        <v>22</v>
      </c>
      <c r="AF362" s="842" t="s">
        <v>22</v>
      </c>
      <c r="AG362" s="2943" t="s">
        <v>22</v>
      </c>
      <c r="AH362" s="2940" t="s">
        <v>22</v>
      </c>
      <c r="AI362" s="1762" t="s">
        <v>22</v>
      </c>
      <c r="AJ362" s="842" t="s">
        <v>22</v>
      </c>
      <c r="AK362" s="1762" t="s">
        <v>22</v>
      </c>
      <c r="AL362" s="842" t="s">
        <v>22</v>
      </c>
      <c r="AM362" s="1549" t="s">
        <v>1043</v>
      </c>
      <c r="AN362" s="1659"/>
      <c r="AO362" s="1659"/>
      <c r="AP362" s="1659"/>
      <c r="AQ362" s="1659"/>
      <c r="AR362" s="1659"/>
      <c r="AS362" s="1659"/>
      <c r="AT362" s="1659"/>
      <c r="AU362" s="1659"/>
      <c r="AV362" s="1659"/>
      <c r="AW362" s="699"/>
      <c r="AX362" s="1659">
        <v>0</v>
      </c>
    </row>
    <row s="1874" customFormat="1" customHeight="1" ht="22.5">
      <c r="A363" s="1659"/>
      <c r="B363" s="2421" t="s">
        <v>1191</v>
      </c>
      <c r="C363" s="2422" t="s">
        <v>104</v>
      </c>
      <c r="D363" s="713" t="str">
        <f>B363&amp;".1"</f>
        <v>3.109.1</v>
      </c>
      <c r="E363" s="1691" t="s">
        <v>1039</v>
      </c>
      <c r="F363" s="2287" t="s">
        <v>390</v>
      </c>
      <c r="G363" s="2377" t="s">
        <v>22</v>
      </c>
      <c r="H363" s="842" t="s">
        <v>22</v>
      </c>
      <c r="I363" s="2377" t="s">
        <v>1166</v>
      </c>
      <c r="J363" s="842" t="s">
        <v>22</v>
      </c>
      <c r="K363" s="2377" t="s">
        <v>22</v>
      </c>
      <c r="L363" s="842" t="s">
        <v>22</v>
      </c>
      <c r="M363" s="2942" t="s">
        <v>22</v>
      </c>
      <c r="N363" s="2940" t="s">
        <v>22</v>
      </c>
      <c r="O363" s="2377" t="s">
        <v>22</v>
      </c>
      <c r="P363" s="842" t="s">
        <v>22</v>
      </c>
      <c r="Q363" s="2377" t="s">
        <v>1059</v>
      </c>
      <c r="R363" s="842" t="s">
        <v>22</v>
      </c>
      <c r="S363" s="2377" t="s">
        <v>1059</v>
      </c>
      <c r="T363" s="842" t="s">
        <v>22</v>
      </c>
      <c r="U363" s="2377" t="s">
        <v>22</v>
      </c>
      <c r="V363" s="842" t="s">
        <v>22</v>
      </c>
      <c r="W363" s="2377" t="s">
        <v>22</v>
      </c>
      <c r="X363" s="842" t="s">
        <v>22</v>
      </c>
      <c r="Y363" s="2377" t="s">
        <v>22</v>
      </c>
      <c r="Z363" s="842" t="s">
        <v>22</v>
      </c>
      <c r="AA363" s="2942" t="s">
        <v>22</v>
      </c>
      <c r="AB363" s="2940" t="s">
        <v>22</v>
      </c>
      <c r="AC363" s="2377" t="s">
        <v>22</v>
      </c>
      <c r="AD363" s="842" t="s">
        <v>22</v>
      </c>
      <c r="AE363" s="2377" t="s">
        <v>22</v>
      </c>
      <c r="AF363" s="842" t="s">
        <v>22</v>
      </c>
      <c r="AG363" s="2942" t="s">
        <v>22</v>
      </c>
      <c r="AH363" s="2940" t="s">
        <v>22</v>
      </c>
      <c r="AI363" s="2377" t="s">
        <v>1148</v>
      </c>
      <c r="AJ363" s="842" t="s">
        <v>22</v>
      </c>
      <c r="AK363" s="2377" t="s">
        <v>22</v>
      </c>
      <c r="AL363" s="842" t="s">
        <v>22</v>
      </c>
      <c r="AM363" s="1549"/>
      <c r="AN363" s="1659"/>
      <c r="AO363" s="1659"/>
      <c r="AP363" s="1659"/>
      <c r="AQ363" s="1659"/>
      <c r="AR363" s="1659"/>
      <c r="AS363" s="1659"/>
      <c r="AT363" s="1659"/>
      <c r="AU363" s="1659"/>
      <c r="AV363" s="1659"/>
      <c r="AW363" s="699"/>
      <c r="AX363" s="1659">
        <v>0</v>
      </c>
    </row>
    <row s="1874" customFormat="1" customHeight="1" ht="15">
      <c r="A364" s="1659"/>
      <c r="B364" s="2421"/>
      <c r="C364" s="2422"/>
      <c r="D364" s="713" t="str">
        <f>B363&amp;".2"</f>
        <v>3.109.2</v>
      </c>
      <c r="E364" s="1691" t="s">
        <v>1040</v>
      </c>
      <c r="F364" s="2287" t="s">
        <v>390</v>
      </c>
      <c r="G364" s="1762" t="s">
        <v>22</v>
      </c>
      <c r="H364" s="842" t="s">
        <v>22</v>
      </c>
      <c r="I364" s="1762">
        <v>46148</v>
      </c>
      <c r="J364" s="842" t="s">
        <v>22</v>
      </c>
      <c r="K364" s="1762" t="s">
        <v>22</v>
      </c>
      <c r="L364" s="842" t="s">
        <v>22</v>
      </c>
      <c r="M364" s="2943" t="s">
        <v>22</v>
      </c>
      <c r="N364" s="2940" t="s">
        <v>22</v>
      </c>
      <c r="O364" s="1762" t="s">
        <v>22</v>
      </c>
      <c r="P364" s="842" t="s">
        <v>22</v>
      </c>
      <c r="Q364" s="1762">
        <v>46129</v>
      </c>
      <c r="R364" s="842" t="s">
        <v>22</v>
      </c>
      <c r="S364" s="1762">
        <v>46142</v>
      </c>
      <c r="T364" s="842" t="s">
        <v>22</v>
      </c>
      <c r="U364" s="1762" t="s">
        <v>22</v>
      </c>
      <c r="V364" s="842" t="s">
        <v>22</v>
      </c>
      <c r="W364" s="1762" t="s">
        <v>22</v>
      </c>
      <c r="X364" s="842" t="s">
        <v>22</v>
      </c>
      <c r="Y364" s="1762" t="s">
        <v>22</v>
      </c>
      <c r="Z364" s="842" t="s">
        <v>22</v>
      </c>
      <c r="AA364" s="2943" t="s">
        <v>22</v>
      </c>
      <c r="AB364" s="2940" t="s">
        <v>22</v>
      </c>
      <c r="AC364" s="1762" t="s">
        <v>22</v>
      </c>
      <c r="AD364" s="842" t="s">
        <v>22</v>
      </c>
      <c r="AE364" s="1762" t="s">
        <v>22</v>
      </c>
      <c r="AF364" s="842" t="s">
        <v>22</v>
      </c>
      <c r="AG364" s="2943" t="s">
        <v>22</v>
      </c>
      <c r="AH364" s="2940" t="s">
        <v>22</v>
      </c>
      <c r="AI364" s="1762">
        <v>46148</v>
      </c>
      <c r="AJ364" s="842" t="s">
        <v>22</v>
      </c>
      <c r="AK364" s="1762" t="s">
        <v>22</v>
      </c>
      <c r="AL364" s="842" t="s">
        <v>22</v>
      </c>
      <c r="AM364" s="1549" t="s">
        <v>1041</v>
      </c>
      <c r="AN364" s="1659"/>
      <c r="AO364" s="1659"/>
      <c r="AP364" s="1659"/>
      <c r="AQ364" s="1659"/>
      <c r="AR364" s="1659"/>
      <c r="AS364" s="1659"/>
      <c r="AT364" s="1659"/>
      <c r="AU364" s="1659"/>
      <c r="AV364" s="1659"/>
      <c r="AW364" s="699"/>
      <c r="AX364" s="1659">
        <v>0</v>
      </c>
    </row>
    <row s="1874" customFormat="1" customHeight="1" ht="15">
      <c r="A365" s="1659"/>
      <c r="B365" s="2421"/>
      <c r="C365" s="2422"/>
      <c r="D365" s="713" t="str">
        <f>B363&amp;".3"</f>
        <v>3.109.3</v>
      </c>
      <c r="E365" s="1691" t="s">
        <v>1042</v>
      </c>
      <c r="F365" s="2287" t="s">
        <v>390</v>
      </c>
      <c r="G365" s="1762" t="s">
        <v>22</v>
      </c>
      <c r="H365" s="842" t="s">
        <v>22</v>
      </c>
      <c r="I365" s="1762" t="s">
        <v>22</v>
      </c>
      <c r="J365" s="842" t="s">
        <v>22</v>
      </c>
      <c r="K365" s="1762" t="s">
        <v>22</v>
      </c>
      <c r="L365" s="842" t="s">
        <v>22</v>
      </c>
      <c r="M365" s="2943" t="s">
        <v>22</v>
      </c>
      <c r="N365" s="2940" t="s">
        <v>22</v>
      </c>
      <c r="O365" s="1762" t="s">
        <v>22</v>
      </c>
      <c r="P365" s="842" t="s">
        <v>22</v>
      </c>
      <c r="Q365" s="1762" t="s">
        <v>22</v>
      </c>
      <c r="R365" s="842" t="s">
        <v>22</v>
      </c>
      <c r="S365" s="1762"/>
      <c r="T365" s="842" t="s">
        <v>22</v>
      </c>
      <c r="U365" s="1762" t="s">
        <v>22</v>
      </c>
      <c r="V365" s="842" t="s">
        <v>22</v>
      </c>
      <c r="W365" s="1762" t="s">
        <v>22</v>
      </c>
      <c r="X365" s="842" t="s">
        <v>22</v>
      </c>
      <c r="Y365" s="1762" t="s">
        <v>22</v>
      </c>
      <c r="Z365" s="842" t="s">
        <v>22</v>
      </c>
      <c r="AA365" s="2943" t="s">
        <v>22</v>
      </c>
      <c r="AB365" s="2940" t="s">
        <v>22</v>
      </c>
      <c r="AC365" s="1762" t="s">
        <v>22</v>
      </c>
      <c r="AD365" s="842" t="s">
        <v>22</v>
      </c>
      <c r="AE365" s="1762" t="s">
        <v>22</v>
      </c>
      <c r="AF365" s="842" t="s">
        <v>22</v>
      </c>
      <c r="AG365" s="2943" t="s">
        <v>22</v>
      </c>
      <c r="AH365" s="2940" t="s">
        <v>22</v>
      </c>
      <c r="AI365" s="1762" t="s">
        <v>22</v>
      </c>
      <c r="AJ365" s="842" t="s">
        <v>22</v>
      </c>
      <c r="AK365" s="1762" t="s">
        <v>22</v>
      </c>
      <c r="AL365" s="842" t="s">
        <v>22</v>
      </c>
      <c r="AM365" s="1549" t="s">
        <v>1043</v>
      </c>
      <c r="AN365" s="1659"/>
      <c r="AO365" s="1659"/>
      <c r="AP365" s="1659"/>
      <c r="AQ365" s="1659"/>
      <c r="AR365" s="1659"/>
      <c r="AS365" s="1659"/>
      <c r="AT365" s="1659"/>
      <c r="AU365" s="1659"/>
      <c r="AV365" s="1659"/>
      <c r="AW365" s="699"/>
      <c r="AX365" s="1659">
        <v>0</v>
      </c>
    </row>
    <row s="1874" customFormat="1" customHeight="1" ht="22.5">
      <c r="A366" s="1659"/>
      <c r="B366" s="2421" t="s">
        <v>1192</v>
      </c>
      <c r="C366" s="2422" t="s">
        <v>104</v>
      </c>
      <c r="D366" s="713" t="str">
        <f>B366&amp;".1"</f>
        <v>3.110.1</v>
      </c>
      <c r="E366" s="1691" t="s">
        <v>1039</v>
      </c>
      <c r="F366" s="2287" t="s">
        <v>390</v>
      </c>
      <c r="G366" s="2377" t="s">
        <v>22</v>
      </c>
      <c r="H366" s="842" t="s">
        <v>22</v>
      </c>
      <c r="I366" s="2377" t="s">
        <v>1059</v>
      </c>
      <c r="J366" s="842" t="s">
        <v>22</v>
      </c>
      <c r="K366" s="2377" t="s">
        <v>22</v>
      </c>
      <c r="L366" s="842" t="s">
        <v>22</v>
      </c>
      <c r="M366" s="2942" t="s">
        <v>22</v>
      </c>
      <c r="N366" s="2940" t="s">
        <v>22</v>
      </c>
      <c r="O366" s="2377" t="s">
        <v>22</v>
      </c>
      <c r="P366" s="842" t="s">
        <v>22</v>
      </c>
      <c r="Q366" s="2377" t="s">
        <v>1059</v>
      </c>
      <c r="R366" s="842" t="s">
        <v>22</v>
      </c>
      <c r="S366" s="2377" t="s">
        <v>1059</v>
      </c>
      <c r="T366" s="842" t="s">
        <v>22</v>
      </c>
      <c r="U366" s="2377" t="s">
        <v>22</v>
      </c>
      <c r="V366" s="842" t="s">
        <v>22</v>
      </c>
      <c r="W366" s="2377" t="s">
        <v>22</v>
      </c>
      <c r="X366" s="842" t="s">
        <v>22</v>
      </c>
      <c r="Y366" s="2377" t="s">
        <v>22</v>
      </c>
      <c r="Z366" s="842" t="s">
        <v>22</v>
      </c>
      <c r="AA366" s="2942" t="s">
        <v>22</v>
      </c>
      <c r="AB366" s="2940" t="s">
        <v>22</v>
      </c>
      <c r="AC366" s="2377" t="s">
        <v>22</v>
      </c>
      <c r="AD366" s="842" t="s">
        <v>22</v>
      </c>
      <c r="AE366" s="2377" t="s">
        <v>22</v>
      </c>
      <c r="AF366" s="842" t="s">
        <v>22</v>
      </c>
      <c r="AG366" s="2942" t="s">
        <v>22</v>
      </c>
      <c r="AH366" s="2940" t="s">
        <v>22</v>
      </c>
      <c r="AI366" s="2377" t="s">
        <v>1148</v>
      </c>
      <c r="AJ366" s="842" t="s">
        <v>22</v>
      </c>
      <c r="AK366" s="2377" t="s">
        <v>22</v>
      </c>
      <c r="AL366" s="842" t="s">
        <v>22</v>
      </c>
      <c r="AM366" s="1549"/>
      <c r="AN366" s="1659"/>
      <c r="AO366" s="1659"/>
      <c r="AP366" s="1659"/>
      <c r="AQ366" s="1659"/>
      <c r="AR366" s="1659"/>
      <c r="AS366" s="1659"/>
      <c r="AT366" s="1659"/>
      <c r="AU366" s="1659"/>
      <c r="AV366" s="1659"/>
      <c r="AW366" s="699"/>
      <c r="AX366" s="1659">
        <v>0</v>
      </c>
    </row>
    <row s="1874" customFormat="1" customHeight="1" ht="15">
      <c r="A367" s="1659"/>
      <c r="B367" s="2421"/>
      <c r="C367" s="2422"/>
      <c r="D367" s="713" t="str">
        <f>B366&amp;".2"</f>
        <v>3.110.2</v>
      </c>
      <c r="E367" s="1691" t="s">
        <v>1040</v>
      </c>
      <c r="F367" s="2287" t="s">
        <v>390</v>
      </c>
      <c r="G367" s="1762" t="s">
        <v>22</v>
      </c>
      <c r="H367" s="842" t="s">
        <v>22</v>
      </c>
      <c r="I367" s="1762">
        <v>46148</v>
      </c>
      <c r="J367" s="842" t="s">
        <v>22</v>
      </c>
      <c r="K367" s="1762" t="s">
        <v>22</v>
      </c>
      <c r="L367" s="842" t="s">
        <v>22</v>
      </c>
      <c r="M367" s="2943" t="s">
        <v>22</v>
      </c>
      <c r="N367" s="2940" t="s">
        <v>22</v>
      </c>
      <c r="O367" s="1762" t="s">
        <v>22</v>
      </c>
      <c r="P367" s="842" t="s">
        <v>22</v>
      </c>
      <c r="Q367" s="1762">
        <v>46129</v>
      </c>
      <c r="R367" s="842" t="s">
        <v>22</v>
      </c>
      <c r="S367" s="1762">
        <v>46142</v>
      </c>
      <c r="T367" s="842" t="s">
        <v>22</v>
      </c>
      <c r="U367" s="1762" t="s">
        <v>22</v>
      </c>
      <c r="V367" s="842" t="s">
        <v>22</v>
      </c>
      <c r="W367" s="1762" t="s">
        <v>22</v>
      </c>
      <c r="X367" s="842" t="s">
        <v>22</v>
      </c>
      <c r="Y367" s="1762" t="s">
        <v>22</v>
      </c>
      <c r="Z367" s="842" t="s">
        <v>22</v>
      </c>
      <c r="AA367" s="2943" t="s">
        <v>22</v>
      </c>
      <c r="AB367" s="2940" t="s">
        <v>22</v>
      </c>
      <c r="AC367" s="1762" t="s">
        <v>22</v>
      </c>
      <c r="AD367" s="842" t="s">
        <v>22</v>
      </c>
      <c r="AE367" s="1762" t="s">
        <v>22</v>
      </c>
      <c r="AF367" s="842" t="s">
        <v>22</v>
      </c>
      <c r="AG367" s="2943" t="s">
        <v>22</v>
      </c>
      <c r="AH367" s="2940" t="s">
        <v>22</v>
      </c>
      <c r="AI367" s="1762">
        <v>46149</v>
      </c>
      <c r="AJ367" s="842" t="s">
        <v>22</v>
      </c>
      <c r="AK367" s="1762" t="s">
        <v>22</v>
      </c>
      <c r="AL367" s="842" t="s">
        <v>22</v>
      </c>
      <c r="AM367" s="1549" t="s">
        <v>1041</v>
      </c>
      <c r="AN367" s="1659"/>
      <c r="AO367" s="1659"/>
      <c r="AP367" s="1659"/>
      <c r="AQ367" s="1659"/>
      <c r="AR367" s="1659"/>
      <c r="AS367" s="1659"/>
      <c r="AT367" s="1659"/>
      <c r="AU367" s="1659"/>
      <c r="AV367" s="1659"/>
      <c r="AW367" s="699"/>
      <c r="AX367" s="1659">
        <v>0</v>
      </c>
    </row>
    <row s="1874" customFormat="1" customHeight="1" ht="15">
      <c r="A368" s="1659"/>
      <c r="B368" s="2421"/>
      <c r="C368" s="2422"/>
      <c r="D368" s="713" t="str">
        <f>B366&amp;".3"</f>
        <v>3.110.3</v>
      </c>
      <c r="E368" s="1691" t="s">
        <v>1042</v>
      </c>
      <c r="F368" s="2287" t="s">
        <v>390</v>
      </c>
      <c r="G368" s="1762" t="s">
        <v>22</v>
      </c>
      <c r="H368" s="842" t="s">
        <v>22</v>
      </c>
      <c r="I368" s="1762" t="s">
        <v>22</v>
      </c>
      <c r="J368" s="842" t="s">
        <v>22</v>
      </c>
      <c r="K368" s="1762" t="s">
        <v>22</v>
      </c>
      <c r="L368" s="842" t="s">
        <v>22</v>
      </c>
      <c r="M368" s="2943" t="s">
        <v>22</v>
      </c>
      <c r="N368" s="2940" t="s">
        <v>22</v>
      </c>
      <c r="O368" s="1762" t="s">
        <v>22</v>
      </c>
      <c r="P368" s="842" t="s">
        <v>22</v>
      </c>
      <c r="Q368" s="1762" t="s">
        <v>22</v>
      </c>
      <c r="R368" s="842" t="s">
        <v>22</v>
      </c>
      <c r="S368" s="1762" t="s">
        <v>22</v>
      </c>
      <c r="T368" s="842" t="s">
        <v>22</v>
      </c>
      <c r="U368" s="1762" t="s">
        <v>22</v>
      </c>
      <c r="V368" s="842" t="s">
        <v>22</v>
      </c>
      <c r="W368" s="1762" t="s">
        <v>22</v>
      </c>
      <c r="X368" s="842" t="s">
        <v>22</v>
      </c>
      <c r="Y368" s="1762" t="s">
        <v>22</v>
      </c>
      <c r="Z368" s="842" t="s">
        <v>22</v>
      </c>
      <c r="AA368" s="2943" t="s">
        <v>22</v>
      </c>
      <c r="AB368" s="2940" t="s">
        <v>22</v>
      </c>
      <c r="AC368" s="1762" t="s">
        <v>22</v>
      </c>
      <c r="AD368" s="842" t="s">
        <v>22</v>
      </c>
      <c r="AE368" s="1762" t="s">
        <v>22</v>
      </c>
      <c r="AF368" s="842" t="s">
        <v>22</v>
      </c>
      <c r="AG368" s="2943" t="s">
        <v>22</v>
      </c>
      <c r="AH368" s="2940" t="s">
        <v>22</v>
      </c>
      <c r="AI368" s="1762" t="s">
        <v>22</v>
      </c>
      <c r="AJ368" s="842" t="s">
        <v>22</v>
      </c>
      <c r="AK368" s="1762" t="s">
        <v>22</v>
      </c>
      <c r="AL368" s="842" t="s">
        <v>22</v>
      </c>
      <c r="AM368" s="1549" t="s">
        <v>1043</v>
      </c>
      <c r="AN368" s="1659"/>
      <c r="AO368" s="1659"/>
      <c r="AP368" s="1659"/>
      <c r="AQ368" s="1659"/>
      <c r="AR368" s="1659"/>
      <c r="AS368" s="1659"/>
      <c r="AT368" s="1659"/>
      <c r="AU368" s="1659"/>
      <c r="AV368" s="1659"/>
      <c r="AW368" s="699"/>
      <c r="AX368" s="1659">
        <v>0</v>
      </c>
    </row>
    <row s="1874" customFormat="1" customHeight="1" ht="22.5">
      <c r="A369" s="1659"/>
      <c r="B369" s="2421" t="s">
        <v>1193</v>
      </c>
      <c r="C369" s="2422" t="s">
        <v>104</v>
      </c>
      <c r="D369" s="713" t="str">
        <f>B369&amp;".1"</f>
        <v>3.111.1</v>
      </c>
      <c r="E369" s="1691" t="s">
        <v>1039</v>
      </c>
      <c r="F369" s="2287" t="s">
        <v>390</v>
      </c>
      <c r="G369" s="2377" t="s">
        <v>22</v>
      </c>
      <c r="H369" s="842" t="s">
        <v>22</v>
      </c>
      <c r="I369" s="2377" t="s">
        <v>1059</v>
      </c>
      <c r="J369" s="842" t="s">
        <v>22</v>
      </c>
      <c r="K369" s="2377" t="s">
        <v>22</v>
      </c>
      <c r="L369" s="842" t="s">
        <v>22</v>
      </c>
      <c r="M369" s="2942" t="s">
        <v>22</v>
      </c>
      <c r="N369" s="2940" t="s">
        <v>22</v>
      </c>
      <c r="O369" s="2377" t="s">
        <v>22</v>
      </c>
      <c r="P369" s="842" t="s">
        <v>22</v>
      </c>
      <c r="Q369" s="2377" t="s">
        <v>1059</v>
      </c>
      <c r="R369" s="842" t="s">
        <v>22</v>
      </c>
      <c r="S369" s="2377" t="s">
        <v>1059</v>
      </c>
      <c r="T369" s="842" t="s">
        <v>22</v>
      </c>
      <c r="U369" s="2377" t="s">
        <v>22</v>
      </c>
      <c r="V369" s="842" t="s">
        <v>22</v>
      </c>
      <c r="W369" s="2377" t="s">
        <v>22</v>
      </c>
      <c r="X369" s="842" t="s">
        <v>22</v>
      </c>
      <c r="Y369" s="2377" t="s">
        <v>22</v>
      </c>
      <c r="Z369" s="842" t="s">
        <v>22</v>
      </c>
      <c r="AA369" s="2942" t="s">
        <v>22</v>
      </c>
      <c r="AB369" s="2940" t="s">
        <v>22</v>
      </c>
      <c r="AC369" s="2377" t="s">
        <v>22</v>
      </c>
      <c r="AD369" s="842" t="s">
        <v>22</v>
      </c>
      <c r="AE369" s="2377" t="s">
        <v>22</v>
      </c>
      <c r="AF369" s="842" t="s">
        <v>22</v>
      </c>
      <c r="AG369" s="2942" t="s">
        <v>22</v>
      </c>
      <c r="AH369" s="2940" t="s">
        <v>22</v>
      </c>
      <c r="AI369" s="2377" t="s">
        <v>1148</v>
      </c>
      <c r="AJ369" s="842" t="s">
        <v>22</v>
      </c>
      <c r="AK369" s="2377" t="s">
        <v>22</v>
      </c>
      <c r="AL369" s="842" t="s">
        <v>22</v>
      </c>
      <c r="AM369" s="1549"/>
      <c r="AN369" s="1659"/>
      <c r="AO369" s="1659"/>
      <c r="AP369" s="1659"/>
      <c r="AQ369" s="1659"/>
      <c r="AR369" s="1659"/>
      <c r="AS369" s="1659"/>
      <c r="AT369" s="1659"/>
      <c r="AU369" s="1659"/>
      <c r="AV369" s="1659"/>
      <c r="AW369" s="699"/>
      <c r="AX369" s="1659">
        <v>0</v>
      </c>
    </row>
    <row s="1874" customFormat="1" customHeight="1" ht="15">
      <c r="A370" s="1659"/>
      <c r="B370" s="2421"/>
      <c r="C370" s="2422"/>
      <c r="D370" s="713" t="str">
        <f>B369&amp;".2"</f>
        <v>3.111.2</v>
      </c>
      <c r="E370" s="1691" t="s">
        <v>1040</v>
      </c>
      <c r="F370" s="2287" t="s">
        <v>390</v>
      </c>
      <c r="G370" s="1762" t="s">
        <v>22</v>
      </c>
      <c r="H370" s="842" t="s">
        <v>22</v>
      </c>
      <c r="I370" s="1762">
        <v>46148</v>
      </c>
      <c r="J370" s="842" t="s">
        <v>22</v>
      </c>
      <c r="K370" s="1762" t="s">
        <v>22</v>
      </c>
      <c r="L370" s="842" t="s">
        <v>22</v>
      </c>
      <c r="M370" s="2943" t="s">
        <v>22</v>
      </c>
      <c r="N370" s="2940" t="s">
        <v>22</v>
      </c>
      <c r="O370" s="1762" t="s">
        <v>22</v>
      </c>
      <c r="P370" s="842" t="s">
        <v>22</v>
      </c>
      <c r="Q370" s="1762">
        <v>46129</v>
      </c>
      <c r="R370" s="842" t="s">
        <v>22</v>
      </c>
      <c r="S370" s="1762">
        <v>46142</v>
      </c>
      <c r="T370" s="842" t="s">
        <v>22</v>
      </c>
      <c r="U370" s="1762" t="s">
        <v>22</v>
      </c>
      <c r="V370" s="842" t="s">
        <v>22</v>
      </c>
      <c r="W370" s="1762" t="s">
        <v>22</v>
      </c>
      <c r="X370" s="842" t="s">
        <v>22</v>
      </c>
      <c r="Y370" s="1762" t="s">
        <v>22</v>
      </c>
      <c r="Z370" s="842" t="s">
        <v>22</v>
      </c>
      <c r="AA370" s="2943" t="s">
        <v>22</v>
      </c>
      <c r="AB370" s="2940" t="s">
        <v>22</v>
      </c>
      <c r="AC370" s="1762" t="s">
        <v>22</v>
      </c>
      <c r="AD370" s="842" t="s">
        <v>22</v>
      </c>
      <c r="AE370" s="1762" t="s">
        <v>22</v>
      </c>
      <c r="AF370" s="842" t="s">
        <v>22</v>
      </c>
      <c r="AG370" s="2943" t="s">
        <v>22</v>
      </c>
      <c r="AH370" s="2940" t="s">
        <v>22</v>
      </c>
      <c r="AI370" s="1762">
        <v>46150</v>
      </c>
      <c r="AJ370" s="842" t="s">
        <v>22</v>
      </c>
      <c r="AK370" s="1762" t="s">
        <v>22</v>
      </c>
      <c r="AL370" s="842" t="s">
        <v>22</v>
      </c>
      <c r="AM370" s="1549" t="s">
        <v>1041</v>
      </c>
      <c r="AN370" s="1659"/>
      <c r="AO370" s="1659"/>
      <c r="AP370" s="1659"/>
      <c r="AQ370" s="1659"/>
      <c r="AR370" s="1659"/>
      <c r="AS370" s="1659"/>
      <c r="AT370" s="1659"/>
      <c r="AU370" s="1659"/>
      <c r="AV370" s="1659"/>
      <c r="AW370" s="699"/>
      <c r="AX370" s="1659">
        <v>0</v>
      </c>
    </row>
    <row s="1874" customFormat="1" customHeight="1" ht="15">
      <c r="A371" s="1659"/>
      <c r="B371" s="2421"/>
      <c r="C371" s="2422"/>
      <c r="D371" s="713" t="str">
        <f>B369&amp;".3"</f>
        <v>3.111.3</v>
      </c>
      <c r="E371" s="1691" t="s">
        <v>1042</v>
      </c>
      <c r="F371" s="2287" t="s">
        <v>390</v>
      </c>
      <c r="G371" s="1762" t="s">
        <v>22</v>
      </c>
      <c r="H371" s="842" t="s">
        <v>22</v>
      </c>
      <c r="I371" s="1762" t="s">
        <v>22</v>
      </c>
      <c r="J371" s="842" t="s">
        <v>22</v>
      </c>
      <c r="K371" s="1762" t="s">
        <v>22</v>
      </c>
      <c r="L371" s="842" t="s">
        <v>22</v>
      </c>
      <c r="M371" s="2943" t="s">
        <v>22</v>
      </c>
      <c r="N371" s="2940" t="s">
        <v>22</v>
      </c>
      <c r="O371" s="1762" t="s">
        <v>22</v>
      </c>
      <c r="P371" s="842" t="s">
        <v>22</v>
      </c>
      <c r="Q371" s="1762" t="s">
        <v>22</v>
      </c>
      <c r="R371" s="842" t="s">
        <v>22</v>
      </c>
      <c r="S371" s="1762"/>
      <c r="T371" s="842" t="s">
        <v>22</v>
      </c>
      <c r="U371" s="1762" t="s">
        <v>22</v>
      </c>
      <c r="V371" s="842" t="s">
        <v>22</v>
      </c>
      <c r="W371" s="1762" t="s">
        <v>22</v>
      </c>
      <c r="X371" s="842" t="s">
        <v>22</v>
      </c>
      <c r="Y371" s="1762" t="s">
        <v>22</v>
      </c>
      <c r="Z371" s="842" t="s">
        <v>22</v>
      </c>
      <c r="AA371" s="2943" t="s">
        <v>22</v>
      </c>
      <c r="AB371" s="2940" t="s">
        <v>22</v>
      </c>
      <c r="AC371" s="1762" t="s">
        <v>22</v>
      </c>
      <c r="AD371" s="842" t="s">
        <v>22</v>
      </c>
      <c r="AE371" s="1762" t="s">
        <v>22</v>
      </c>
      <c r="AF371" s="842" t="s">
        <v>22</v>
      </c>
      <c r="AG371" s="2943" t="s">
        <v>22</v>
      </c>
      <c r="AH371" s="2940" t="s">
        <v>22</v>
      </c>
      <c r="AI371" s="1762" t="s">
        <v>22</v>
      </c>
      <c r="AJ371" s="842" t="s">
        <v>22</v>
      </c>
      <c r="AK371" s="1762" t="s">
        <v>22</v>
      </c>
      <c r="AL371" s="842" t="s">
        <v>22</v>
      </c>
      <c r="AM371" s="1549" t="s">
        <v>1043</v>
      </c>
      <c r="AN371" s="1659"/>
      <c r="AO371" s="1659"/>
      <c r="AP371" s="1659"/>
      <c r="AQ371" s="1659"/>
      <c r="AR371" s="1659"/>
      <c r="AS371" s="1659"/>
      <c r="AT371" s="1659"/>
      <c r="AU371" s="1659"/>
      <c r="AV371" s="1659"/>
      <c r="AW371" s="699"/>
      <c r="AX371" s="1659">
        <v>0</v>
      </c>
    </row>
    <row s="1874" customFormat="1" customHeight="1" ht="22.5">
      <c r="A372" s="1659"/>
      <c r="B372" s="2421" t="s">
        <v>1194</v>
      </c>
      <c r="C372" s="2422" t="s">
        <v>104</v>
      </c>
      <c r="D372" s="713" t="str">
        <f>B372&amp;".1"</f>
        <v>3.112.1</v>
      </c>
      <c r="E372" s="1691" t="s">
        <v>1039</v>
      </c>
      <c r="F372" s="2287" t="s">
        <v>390</v>
      </c>
      <c r="G372" s="2377" t="s">
        <v>22</v>
      </c>
      <c r="H372" s="842" t="s">
        <v>22</v>
      </c>
      <c r="I372" s="2377" t="s">
        <v>1059</v>
      </c>
      <c r="J372" s="842" t="s">
        <v>22</v>
      </c>
      <c r="K372" s="2377" t="s">
        <v>22</v>
      </c>
      <c r="L372" s="842" t="s">
        <v>22</v>
      </c>
      <c r="M372" s="2942" t="s">
        <v>22</v>
      </c>
      <c r="N372" s="2940" t="s">
        <v>22</v>
      </c>
      <c r="O372" s="2377" t="s">
        <v>22</v>
      </c>
      <c r="P372" s="842" t="s">
        <v>22</v>
      </c>
      <c r="Q372" s="2377" t="s">
        <v>1059</v>
      </c>
      <c r="R372" s="842" t="s">
        <v>22</v>
      </c>
      <c r="S372" s="2377" t="s">
        <v>1059</v>
      </c>
      <c r="T372" s="842" t="s">
        <v>22</v>
      </c>
      <c r="U372" s="2377" t="s">
        <v>22</v>
      </c>
      <c r="V372" s="842" t="s">
        <v>22</v>
      </c>
      <c r="W372" s="2377" t="s">
        <v>22</v>
      </c>
      <c r="X372" s="842" t="s">
        <v>22</v>
      </c>
      <c r="Y372" s="2377" t="s">
        <v>22</v>
      </c>
      <c r="Z372" s="842" t="s">
        <v>22</v>
      </c>
      <c r="AA372" s="2942" t="s">
        <v>22</v>
      </c>
      <c r="AB372" s="2940" t="s">
        <v>22</v>
      </c>
      <c r="AC372" s="2377" t="s">
        <v>22</v>
      </c>
      <c r="AD372" s="842" t="s">
        <v>22</v>
      </c>
      <c r="AE372" s="2377" t="s">
        <v>22</v>
      </c>
      <c r="AF372" s="842" t="s">
        <v>22</v>
      </c>
      <c r="AG372" s="2942" t="s">
        <v>22</v>
      </c>
      <c r="AH372" s="2940" t="s">
        <v>22</v>
      </c>
      <c r="AI372" s="2377" t="s">
        <v>1148</v>
      </c>
      <c r="AJ372" s="842" t="s">
        <v>22</v>
      </c>
      <c r="AK372" s="2377" t="s">
        <v>22</v>
      </c>
      <c r="AL372" s="842" t="s">
        <v>22</v>
      </c>
      <c r="AM372" s="1549"/>
      <c r="AN372" s="1659"/>
      <c r="AO372" s="1659"/>
      <c r="AP372" s="1659"/>
      <c r="AQ372" s="1659"/>
      <c r="AR372" s="1659"/>
      <c r="AS372" s="1659"/>
      <c r="AT372" s="1659"/>
      <c r="AU372" s="1659"/>
      <c r="AV372" s="1659"/>
      <c r="AW372" s="699"/>
      <c r="AX372" s="1659">
        <v>0</v>
      </c>
    </row>
    <row s="1874" customFormat="1" customHeight="1" ht="15">
      <c r="A373" s="1659"/>
      <c r="B373" s="2421"/>
      <c r="C373" s="2422"/>
      <c r="D373" s="713" t="str">
        <f>B372&amp;".2"</f>
        <v>3.112.2</v>
      </c>
      <c r="E373" s="1691" t="s">
        <v>1040</v>
      </c>
      <c r="F373" s="2287" t="s">
        <v>390</v>
      </c>
      <c r="G373" s="1762" t="s">
        <v>22</v>
      </c>
      <c r="H373" s="842" t="s">
        <v>22</v>
      </c>
      <c r="I373" s="1762">
        <v>46148</v>
      </c>
      <c r="J373" s="842" t="s">
        <v>22</v>
      </c>
      <c r="K373" s="1762" t="s">
        <v>22</v>
      </c>
      <c r="L373" s="842" t="s">
        <v>22</v>
      </c>
      <c r="M373" s="2943" t="s">
        <v>22</v>
      </c>
      <c r="N373" s="2940" t="s">
        <v>22</v>
      </c>
      <c r="O373" s="1762" t="s">
        <v>22</v>
      </c>
      <c r="P373" s="842" t="s">
        <v>22</v>
      </c>
      <c r="Q373" s="1762">
        <v>46129</v>
      </c>
      <c r="R373" s="842" t="s">
        <v>22</v>
      </c>
      <c r="S373" s="1762">
        <v>46142</v>
      </c>
      <c r="T373" s="842" t="s">
        <v>22</v>
      </c>
      <c r="U373" s="1762" t="s">
        <v>22</v>
      </c>
      <c r="V373" s="842" t="s">
        <v>22</v>
      </c>
      <c r="W373" s="1762" t="s">
        <v>22</v>
      </c>
      <c r="X373" s="842" t="s">
        <v>22</v>
      </c>
      <c r="Y373" s="1762" t="s">
        <v>22</v>
      </c>
      <c r="Z373" s="842" t="s">
        <v>22</v>
      </c>
      <c r="AA373" s="2943" t="s">
        <v>22</v>
      </c>
      <c r="AB373" s="2940" t="s">
        <v>22</v>
      </c>
      <c r="AC373" s="1762" t="s">
        <v>22</v>
      </c>
      <c r="AD373" s="842" t="s">
        <v>22</v>
      </c>
      <c r="AE373" s="1762" t="s">
        <v>22</v>
      </c>
      <c r="AF373" s="842" t="s">
        <v>22</v>
      </c>
      <c r="AG373" s="2943" t="s">
        <v>22</v>
      </c>
      <c r="AH373" s="2940" t="s">
        <v>22</v>
      </c>
      <c r="AI373" s="1762">
        <v>46150</v>
      </c>
      <c r="AJ373" s="842" t="s">
        <v>22</v>
      </c>
      <c r="AK373" s="1762" t="s">
        <v>22</v>
      </c>
      <c r="AL373" s="842" t="s">
        <v>22</v>
      </c>
      <c r="AM373" s="1549" t="s">
        <v>1041</v>
      </c>
      <c r="AN373" s="1659"/>
      <c r="AO373" s="1659"/>
      <c r="AP373" s="1659"/>
      <c r="AQ373" s="1659"/>
      <c r="AR373" s="1659"/>
      <c r="AS373" s="1659"/>
      <c r="AT373" s="1659"/>
      <c r="AU373" s="1659"/>
      <c r="AV373" s="1659"/>
      <c r="AW373" s="699"/>
      <c r="AX373" s="1659">
        <v>0</v>
      </c>
    </row>
    <row s="1874" customFormat="1" customHeight="1" ht="15">
      <c r="A374" s="1659"/>
      <c r="B374" s="2421"/>
      <c r="C374" s="2422"/>
      <c r="D374" s="713" t="str">
        <f>B372&amp;".3"</f>
        <v>3.112.3</v>
      </c>
      <c r="E374" s="1691" t="s">
        <v>1042</v>
      </c>
      <c r="F374" s="2287" t="s">
        <v>390</v>
      </c>
      <c r="G374" s="1762" t="s">
        <v>22</v>
      </c>
      <c r="H374" s="842" t="s">
        <v>22</v>
      </c>
      <c r="I374" s="1762" t="s">
        <v>22</v>
      </c>
      <c r="J374" s="842" t="s">
        <v>22</v>
      </c>
      <c r="K374" s="1762" t="s">
        <v>22</v>
      </c>
      <c r="L374" s="842" t="s">
        <v>22</v>
      </c>
      <c r="M374" s="2943" t="s">
        <v>22</v>
      </c>
      <c r="N374" s="2940" t="s">
        <v>22</v>
      </c>
      <c r="O374" s="1762" t="s">
        <v>22</v>
      </c>
      <c r="P374" s="842" t="s">
        <v>22</v>
      </c>
      <c r="Q374" s="1762" t="s">
        <v>22</v>
      </c>
      <c r="R374" s="842" t="s">
        <v>22</v>
      </c>
      <c r="S374" s="1762"/>
      <c r="T374" s="842" t="s">
        <v>22</v>
      </c>
      <c r="U374" s="1762" t="s">
        <v>22</v>
      </c>
      <c r="V374" s="842" t="s">
        <v>22</v>
      </c>
      <c r="W374" s="1762" t="s">
        <v>22</v>
      </c>
      <c r="X374" s="842" t="s">
        <v>22</v>
      </c>
      <c r="Y374" s="1762" t="s">
        <v>22</v>
      </c>
      <c r="Z374" s="842" t="s">
        <v>22</v>
      </c>
      <c r="AA374" s="2943" t="s">
        <v>22</v>
      </c>
      <c r="AB374" s="2940" t="s">
        <v>22</v>
      </c>
      <c r="AC374" s="1762" t="s">
        <v>22</v>
      </c>
      <c r="AD374" s="842" t="s">
        <v>22</v>
      </c>
      <c r="AE374" s="1762" t="s">
        <v>22</v>
      </c>
      <c r="AF374" s="842" t="s">
        <v>22</v>
      </c>
      <c r="AG374" s="2943" t="s">
        <v>22</v>
      </c>
      <c r="AH374" s="2940" t="s">
        <v>22</v>
      </c>
      <c r="AI374" s="1762" t="s">
        <v>22</v>
      </c>
      <c r="AJ374" s="842" t="s">
        <v>22</v>
      </c>
      <c r="AK374" s="1762" t="s">
        <v>22</v>
      </c>
      <c r="AL374" s="842" t="s">
        <v>22</v>
      </c>
      <c r="AM374" s="1549" t="s">
        <v>1043</v>
      </c>
      <c r="AN374" s="1659"/>
      <c r="AO374" s="1659"/>
      <c r="AP374" s="1659"/>
      <c r="AQ374" s="1659"/>
      <c r="AR374" s="1659"/>
      <c r="AS374" s="1659"/>
      <c r="AT374" s="1659"/>
      <c r="AU374" s="1659"/>
      <c r="AV374" s="1659"/>
      <c r="AW374" s="699"/>
      <c r="AX374" s="1659">
        <v>0</v>
      </c>
    </row>
    <row s="1874" customFormat="1" customHeight="1" ht="22.5">
      <c r="A375" s="1659"/>
      <c r="B375" s="2421" t="s">
        <v>1195</v>
      </c>
      <c r="C375" s="2422" t="s">
        <v>104</v>
      </c>
      <c r="D375" s="713" t="str">
        <f>B375&amp;".1"</f>
        <v>3.113.1</v>
      </c>
      <c r="E375" s="1691" t="s">
        <v>1039</v>
      </c>
      <c r="F375" s="2287" t="s">
        <v>390</v>
      </c>
      <c r="G375" s="2377" t="s">
        <v>22</v>
      </c>
      <c r="H375" s="842" t="s">
        <v>22</v>
      </c>
      <c r="I375" s="2377" t="s">
        <v>1059</v>
      </c>
      <c r="J375" s="842" t="s">
        <v>22</v>
      </c>
      <c r="K375" s="2377" t="s">
        <v>22</v>
      </c>
      <c r="L375" s="842" t="s">
        <v>22</v>
      </c>
      <c r="M375" s="2942" t="s">
        <v>22</v>
      </c>
      <c r="N375" s="2940" t="s">
        <v>22</v>
      </c>
      <c r="O375" s="2377" t="s">
        <v>22</v>
      </c>
      <c r="P375" s="842" t="s">
        <v>22</v>
      </c>
      <c r="Q375" s="2377" t="s">
        <v>1059</v>
      </c>
      <c r="R375" s="842" t="s">
        <v>22</v>
      </c>
      <c r="S375" s="2377" t="s">
        <v>1059</v>
      </c>
      <c r="T375" s="842" t="s">
        <v>22</v>
      </c>
      <c r="U375" s="2377" t="s">
        <v>22</v>
      </c>
      <c r="V375" s="842" t="s">
        <v>22</v>
      </c>
      <c r="W375" s="2377" t="s">
        <v>22</v>
      </c>
      <c r="X375" s="842" t="s">
        <v>22</v>
      </c>
      <c r="Y375" s="2377" t="s">
        <v>22</v>
      </c>
      <c r="Z375" s="842" t="s">
        <v>22</v>
      </c>
      <c r="AA375" s="2942" t="s">
        <v>22</v>
      </c>
      <c r="AB375" s="2940" t="s">
        <v>22</v>
      </c>
      <c r="AC375" s="2377" t="s">
        <v>22</v>
      </c>
      <c r="AD375" s="842" t="s">
        <v>22</v>
      </c>
      <c r="AE375" s="2377" t="s">
        <v>22</v>
      </c>
      <c r="AF375" s="842" t="s">
        <v>22</v>
      </c>
      <c r="AG375" s="2942" t="s">
        <v>22</v>
      </c>
      <c r="AH375" s="2940" t="s">
        <v>22</v>
      </c>
      <c r="AI375" s="2377" t="s">
        <v>1196</v>
      </c>
      <c r="AJ375" s="842" t="s">
        <v>22</v>
      </c>
      <c r="AK375" s="2377" t="s">
        <v>22</v>
      </c>
      <c r="AL375" s="842" t="s">
        <v>22</v>
      </c>
      <c r="AM375" s="1549"/>
      <c r="AN375" s="1659"/>
      <c r="AO375" s="1659"/>
      <c r="AP375" s="1659"/>
      <c r="AQ375" s="1659"/>
      <c r="AR375" s="1659"/>
      <c r="AS375" s="1659"/>
      <c r="AT375" s="1659"/>
      <c r="AU375" s="1659"/>
      <c r="AV375" s="1659"/>
      <c r="AW375" s="699"/>
      <c r="AX375" s="1659">
        <v>0</v>
      </c>
    </row>
    <row s="1874" customFormat="1" customHeight="1" ht="15">
      <c r="A376" s="1659"/>
      <c r="B376" s="2421"/>
      <c r="C376" s="2422"/>
      <c r="D376" s="713" t="str">
        <f>B375&amp;".2"</f>
        <v>3.113.2</v>
      </c>
      <c r="E376" s="1691" t="s">
        <v>1040</v>
      </c>
      <c r="F376" s="2287" t="s">
        <v>390</v>
      </c>
      <c r="G376" s="1762" t="s">
        <v>22</v>
      </c>
      <c r="H376" s="842" t="s">
        <v>22</v>
      </c>
      <c r="I376" s="1762">
        <v>46149</v>
      </c>
      <c r="J376" s="842" t="s">
        <v>22</v>
      </c>
      <c r="K376" s="1762" t="s">
        <v>22</v>
      </c>
      <c r="L376" s="842" t="s">
        <v>22</v>
      </c>
      <c r="M376" s="2943" t="s">
        <v>22</v>
      </c>
      <c r="N376" s="2940" t="s">
        <v>22</v>
      </c>
      <c r="O376" s="1762" t="s">
        <v>22</v>
      </c>
      <c r="P376" s="842" t="s">
        <v>22</v>
      </c>
      <c r="Q376" s="1762">
        <v>46129</v>
      </c>
      <c r="R376" s="842" t="s">
        <v>22</v>
      </c>
      <c r="S376" s="1762">
        <v>46142</v>
      </c>
      <c r="T376" s="842" t="s">
        <v>22</v>
      </c>
      <c r="U376" s="1762" t="s">
        <v>22</v>
      </c>
      <c r="V376" s="842" t="s">
        <v>22</v>
      </c>
      <c r="W376" s="1762" t="s">
        <v>22</v>
      </c>
      <c r="X376" s="842" t="s">
        <v>22</v>
      </c>
      <c r="Y376" s="1762" t="s">
        <v>22</v>
      </c>
      <c r="Z376" s="842" t="s">
        <v>22</v>
      </c>
      <c r="AA376" s="2943" t="s">
        <v>22</v>
      </c>
      <c r="AB376" s="2940" t="s">
        <v>22</v>
      </c>
      <c r="AC376" s="1762" t="s">
        <v>22</v>
      </c>
      <c r="AD376" s="842" t="s">
        <v>22</v>
      </c>
      <c r="AE376" s="1762" t="s">
        <v>22</v>
      </c>
      <c r="AF376" s="842" t="s">
        <v>22</v>
      </c>
      <c r="AG376" s="2943" t="s">
        <v>22</v>
      </c>
      <c r="AH376" s="2940" t="s">
        <v>22</v>
      </c>
      <c r="AI376" s="1762">
        <v>46159</v>
      </c>
      <c r="AJ376" s="842" t="s">
        <v>22</v>
      </c>
      <c r="AK376" s="1762" t="s">
        <v>22</v>
      </c>
      <c r="AL376" s="842" t="s">
        <v>22</v>
      </c>
      <c r="AM376" s="1549" t="s">
        <v>1041</v>
      </c>
      <c r="AN376" s="1659"/>
      <c r="AO376" s="1659"/>
      <c r="AP376" s="1659"/>
      <c r="AQ376" s="1659"/>
      <c r="AR376" s="1659"/>
      <c r="AS376" s="1659"/>
      <c r="AT376" s="1659"/>
      <c r="AU376" s="1659"/>
      <c r="AV376" s="1659"/>
      <c r="AW376" s="699"/>
      <c r="AX376" s="1659">
        <v>0</v>
      </c>
    </row>
    <row s="1874" customFormat="1" customHeight="1" ht="15">
      <c r="A377" s="1659"/>
      <c r="B377" s="2421"/>
      <c r="C377" s="2422"/>
      <c r="D377" s="713" t="str">
        <f>B375&amp;".3"</f>
        <v>3.113.3</v>
      </c>
      <c r="E377" s="1691" t="s">
        <v>1042</v>
      </c>
      <c r="F377" s="2287" t="s">
        <v>390</v>
      </c>
      <c r="G377" s="1762" t="s">
        <v>22</v>
      </c>
      <c r="H377" s="842" t="s">
        <v>22</v>
      </c>
      <c r="I377" s="1762" t="s">
        <v>22</v>
      </c>
      <c r="J377" s="842" t="s">
        <v>22</v>
      </c>
      <c r="K377" s="1762" t="s">
        <v>22</v>
      </c>
      <c r="L377" s="842" t="s">
        <v>22</v>
      </c>
      <c r="M377" s="2943" t="s">
        <v>22</v>
      </c>
      <c r="N377" s="2940" t="s">
        <v>22</v>
      </c>
      <c r="O377" s="1762" t="s">
        <v>22</v>
      </c>
      <c r="P377" s="842" t="s">
        <v>22</v>
      </c>
      <c r="Q377" s="1762" t="s">
        <v>22</v>
      </c>
      <c r="R377" s="842" t="s">
        <v>22</v>
      </c>
      <c r="S377" s="1762"/>
      <c r="T377" s="842" t="s">
        <v>22</v>
      </c>
      <c r="U377" s="1762" t="s">
        <v>22</v>
      </c>
      <c r="V377" s="842" t="s">
        <v>22</v>
      </c>
      <c r="W377" s="1762" t="s">
        <v>22</v>
      </c>
      <c r="X377" s="842" t="s">
        <v>22</v>
      </c>
      <c r="Y377" s="1762" t="s">
        <v>22</v>
      </c>
      <c r="Z377" s="842" t="s">
        <v>22</v>
      </c>
      <c r="AA377" s="2943" t="s">
        <v>22</v>
      </c>
      <c r="AB377" s="2940" t="s">
        <v>22</v>
      </c>
      <c r="AC377" s="1762" t="s">
        <v>22</v>
      </c>
      <c r="AD377" s="842" t="s">
        <v>22</v>
      </c>
      <c r="AE377" s="1762" t="s">
        <v>22</v>
      </c>
      <c r="AF377" s="842" t="s">
        <v>22</v>
      </c>
      <c r="AG377" s="2943" t="s">
        <v>22</v>
      </c>
      <c r="AH377" s="2940" t="s">
        <v>22</v>
      </c>
      <c r="AI377" s="1762">
        <v>46161</v>
      </c>
      <c r="AJ377" s="842" t="s">
        <v>22</v>
      </c>
      <c r="AK377" s="1762" t="s">
        <v>22</v>
      </c>
      <c r="AL377" s="842" t="s">
        <v>22</v>
      </c>
      <c r="AM377" s="1549" t="s">
        <v>1043</v>
      </c>
      <c r="AN377" s="1659"/>
      <c r="AO377" s="1659"/>
      <c r="AP377" s="1659"/>
      <c r="AQ377" s="1659"/>
      <c r="AR377" s="1659"/>
      <c r="AS377" s="1659"/>
      <c r="AT377" s="1659"/>
      <c r="AU377" s="1659"/>
      <c r="AV377" s="1659"/>
      <c r="AW377" s="699"/>
      <c r="AX377" s="1659">
        <v>0</v>
      </c>
    </row>
    <row s="1874" customFormat="1" customHeight="1" ht="22.5">
      <c r="A378" s="1659"/>
      <c r="B378" s="2421" t="s">
        <v>1197</v>
      </c>
      <c r="C378" s="2422" t="s">
        <v>104</v>
      </c>
      <c r="D378" s="713" t="str">
        <f>B378&amp;".1"</f>
        <v>3.114.1</v>
      </c>
      <c r="E378" s="1691" t="s">
        <v>1039</v>
      </c>
      <c r="F378" s="2287" t="s">
        <v>390</v>
      </c>
      <c r="G378" s="2377" t="s">
        <v>22</v>
      </c>
      <c r="H378" s="842" t="s">
        <v>22</v>
      </c>
      <c r="I378" s="2377" t="s">
        <v>1059</v>
      </c>
      <c r="J378" s="842" t="s">
        <v>22</v>
      </c>
      <c r="K378" s="2377" t="s">
        <v>22</v>
      </c>
      <c r="L378" s="842" t="s">
        <v>22</v>
      </c>
      <c r="M378" s="2942" t="s">
        <v>22</v>
      </c>
      <c r="N378" s="2940" t="s">
        <v>22</v>
      </c>
      <c r="O378" s="2377" t="s">
        <v>22</v>
      </c>
      <c r="P378" s="842" t="s">
        <v>22</v>
      </c>
      <c r="Q378" s="2377" t="s">
        <v>1059</v>
      </c>
      <c r="R378" s="842" t="s">
        <v>22</v>
      </c>
      <c r="S378" s="2377" t="s">
        <v>1059</v>
      </c>
      <c r="T378" s="842" t="s">
        <v>22</v>
      </c>
      <c r="U378" s="2377" t="s">
        <v>22</v>
      </c>
      <c r="V378" s="842" t="s">
        <v>22</v>
      </c>
      <c r="W378" s="2377" t="s">
        <v>22</v>
      </c>
      <c r="X378" s="842" t="s">
        <v>22</v>
      </c>
      <c r="Y378" s="2377" t="s">
        <v>22</v>
      </c>
      <c r="Z378" s="842" t="s">
        <v>22</v>
      </c>
      <c r="AA378" s="2942" t="s">
        <v>22</v>
      </c>
      <c r="AB378" s="2940" t="s">
        <v>22</v>
      </c>
      <c r="AC378" s="2377" t="s">
        <v>22</v>
      </c>
      <c r="AD378" s="842" t="s">
        <v>22</v>
      </c>
      <c r="AE378" s="2377" t="s">
        <v>22</v>
      </c>
      <c r="AF378" s="842" t="s">
        <v>22</v>
      </c>
      <c r="AG378" s="2942" t="s">
        <v>22</v>
      </c>
      <c r="AH378" s="2940" t="s">
        <v>22</v>
      </c>
      <c r="AI378" s="2377" t="s">
        <v>1148</v>
      </c>
      <c r="AJ378" s="842" t="s">
        <v>22</v>
      </c>
      <c r="AK378" s="2377" t="s">
        <v>22</v>
      </c>
      <c r="AL378" s="842" t="s">
        <v>22</v>
      </c>
      <c r="AM378" s="1549"/>
      <c r="AN378" s="1659"/>
      <c r="AO378" s="1659"/>
      <c r="AP378" s="1659"/>
      <c r="AQ378" s="1659"/>
      <c r="AR378" s="1659"/>
      <c r="AS378" s="1659"/>
      <c r="AT378" s="1659"/>
      <c r="AU378" s="1659"/>
      <c r="AV378" s="1659"/>
      <c r="AW378" s="699"/>
      <c r="AX378" s="1659">
        <v>0</v>
      </c>
    </row>
    <row s="1874" customFormat="1" customHeight="1" ht="15">
      <c r="A379" s="1659"/>
      <c r="B379" s="2421"/>
      <c r="C379" s="2422"/>
      <c r="D379" s="713" t="str">
        <f>B378&amp;".2"</f>
        <v>3.114.2</v>
      </c>
      <c r="E379" s="1691" t="s">
        <v>1040</v>
      </c>
      <c r="F379" s="2287" t="s">
        <v>390</v>
      </c>
      <c r="G379" s="1762" t="s">
        <v>22</v>
      </c>
      <c r="H379" s="842" t="s">
        <v>22</v>
      </c>
      <c r="I379" s="1762">
        <v>46150</v>
      </c>
      <c r="J379" s="842" t="s">
        <v>22</v>
      </c>
      <c r="K379" s="1762" t="s">
        <v>22</v>
      </c>
      <c r="L379" s="842" t="s">
        <v>22</v>
      </c>
      <c r="M379" s="2943" t="s">
        <v>22</v>
      </c>
      <c r="N379" s="2940" t="s">
        <v>22</v>
      </c>
      <c r="O379" s="1762" t="s">
        <v>22</v>
      </c>
      <c r="P379" s="842" t="s">
        <v>22</v>
      </c>
      <c r="Q379" s="1762">
        <v>46129</v>
      </c>
      <c r="R379" s="842" t="s">
        <v>22</v>
      </c>
      <c r="S379" s="1762">
        <v>46142</v>
      </c>
      <c r="T379" s="842" t="s">
        <v>22</v>
      </c>
      <c r="U379" s="1762" t="s">
        <v>22</v>
      </c>
      <c r="V379" s="842" t="s">
        <v>22</v>
      </c>
      <c r="W379" s="1762" t="s">
        <v>22</v>
      </c>
      <c r="X379" s="842" t="s">
        <v>22</v>
      </c>
      <c r="Y379" s="1762" t="s">
        <v>22</v>
      </c>
      <c r="Z379" s="842" t="s">
        <v>22</v>
      </c>
      <c r="AA379" s="2943" t="s">
        <v>22</v>
      </c>
      <c r="AB379" s="2940" t="s">
        <v>22</v>
      </c>
      <c r="AC379" s="1762" t="s">
        <v>22</v>
      </c>
      <c r="AD379" s="842" t="s">
        <v>22</v>
      </c>
      <c r="AE379" s="1762" t="s">
        <v>22</v>
      </c>
      <c r="AF379" s="842" t="s">
        <v>22</v>
      </c>
      <c r="AG379" s="2943" t="s">
        <v>22</v>
      </c>
      <c r="AH379" s="2940" t="s">
        <v>22</v>
      </c>
      <c r="AI379" s="1762">
        <v>46160</v>
      </c>
      <c r="AJ379" s="842" t="s">
        <v>22</v>
      </c>
      <c r="AK379" s="1762" t="s">
        <v>22</v>
      </c>
      <c r="AL379" s="842" t="s">
        <v>22</v>
      </c>
      <c r="AM379" s="1549" t="s">
        <v>1041</v>
      </c>
      <c r="AN379" s="1659"/>
      <c r="AO379" s="1659"/>
      <c r="AP379" s="1659"/>
      <c r="AQ379" s="1659"/>
      <c r="AR379" s="1659"/>
      <c r="AS379" s="1659"/>
      <c r="AT379" s="1659"/>
      <c r="AU379" s="1659"/>
      <c r="AV379" s="1659"/>
      <c r="AW379" s="699"/>
      <c r="AX379" s="1659">
        <v>0</v>
      </c>
    </row>
    <row s="1874" customFormat="1" customHeight="1" ht="15">
      <c r="A380" s="1659"/>
      <c r="B380" s="2421"/>
      <c r="C380" s="2422"/>
      <c r="D380" s="713" t="str">
        <f>B378&amp;".3"</f>
        <v>3.114.3</v>
      </c>
      <c r="E380" s="1691" t="s">
        <v>1042</v>
      </c>
      <c r="F380" s="2287" t="s">
        <v>390</v>
      </c>
      <c r="G380" s="1762" t="s">
        <v>22</v>
      </c>
      <c r="H380" s="842" t="s">
        <v>22</v>
      </c>
      <c r="I380" s="1762" t="s">
        <v>22</v>
      </c>
      <c r="J380" s="842" t="s">
        <v>22</v>
      </c>
      <c r="K380" s="1762" t="s">
        <v>22</v>
      </c>
      <c r="L380" s="842" t="s">
        <v>22</v>
      </c>
      <c r="M380" s="2943" t="s">
        <v>22</v>
      </c>
      <c r="N380" s="2940" t="s">
        <v>22</v>
      </c>
      <c r="O380" s="1762" t="s">
        <v>22</v>
      </c>
      <c r="P380" s="842" t="s">
        <v>22</v>
      </c>
      <c r="Q380" s="1762" t="s">
        <v>22</v>
      </c>
      <c r="R380" s="842" t="s">
        <v>22</v>
      </c>
      <c r="S380" s="1762"/>
      <c r="T380" s="842" t="s">
        <v>22</v>
      </c>
      <c r="U380" s="1762" t="s">
        <v>22</v>
      </c>
      <c r="V380" s="842" t="s">
        <v>22</v>
      </c>
      <c r="W380" s="1762" t="s">
        <v>22</v>
      </c>
      <c r="X380" s="842" t="s">
        <v>22</v>
      </c>
      <c r="Y380" s="1762" t="s">
        <v>22</v>
      </c>
      <c r="Z380" s="842" t="s">
        <v>22</v>
      </c>
      <c r="AA380" s="2943" t="s">
        <v>22</v>
      </c>
      <c r="AB380" s="2940" t="s">
        <v>22</v>
      </c>
      <c r="AC380" s="1762" t="s">
        <v>22</v>
      </c>
      <c r="AD380" s="842" t="s">
        <v>22</v>
      </c>
      <c r="AE380" s="1762" t="s">
        <v>22</v>
      </c>
      <c r="AF380" s="842" t="s">
        <v>22</v>
      </c>
      <c r="AG380" s="2943" t="s">
        <v>22</v>
      </c>
      <c r="AH380" s="2940" t="s">
        <v>22</v>
      </c>
      <c r="AI380" s="1762" t="s">
        <v>22</v>
      </c>
      <c r="AJ380" s="842" t="s">
        <v>22</v>
      </c>
      <c r="AK380" s="1762" t="s">
        <v>22</v>
      </c>
      <c r="AL380" s="842" t="s">
        <v>22</v>
      </c>
      <c r="AM380" s="1549" t="s">
        <v>1043</v>
      </c>
      <c r="AN380" s="1659"/>
      <c r="AO380" s="1659"/>
      <c r="AP380" s="1659"/>
      <c r="AQ380" s="1659"/>
      <c r="AR380" s="1659"/>
      <c r="AS380" s="1659"/>
      <c r="AT380" s="1659"/>
      <c r="AU380" s="1659"/>
      <c r="AV380" s="1659"/>
      <c r="AW380" s="699"/>
      <c r="AX380" s="1659">
        <v>0</v>
      </c>
    </row>
    <row s="1874" customFormat="1" customHeight="1" ht="22.5">
      <c r="A381" s="1659"/>
      <c r="B381" s="2421" t="s">
        <v>1198</v>
      </c>
      <c r="C381" s="2422" t="s">
        <v>104</v>
      </c>
      <c r="D381" s="713" t="str">
        <f>B381&amp;".1"</f>
        <v>3.115.1</v>
      </c>
      <c r="E381" s="1691" t="s">
        <v>1039</v>
      </c>
      <c r="F381" s="2287" t="s">
        <v>390</v>
      </c>
      <c r="G381" s="2377" t="s">
        <v>22</v>
      </c>
      <c r="H381" s="842" t="s">
        <v>22</v>
      </c>
      <c r="I381" s="2377" t="s">
        <v>1059</v>
      </c>
      <c r="J381" s="842" t="s">
        <v>22</v>
      </c>
      <c r="K381" s="2377" t="s">
        <v>22</v>
      </c>
      <c r="L381" s="842" t="s">
        <v>22</v>
      </c>
      <c r="M381" s="2942" t="s">
        <v>22</v>
      </c>
      <c r="N381" s="2940" t="s">
        <v>22</v>
      </c>
      <c r="O381" s="2377" t="s">
        <v>22</v>
      </c>
      <c r="P381" s="842" t="s">
        <v>22</v>
      </c>
      <c r="Q381" s="2377" t="s">
        <v>1059</v>
      </c>
      <c r="R381" s="842" t="s">
        <v>22</v>
      </c>
      <c r="S381" s="2377" t="s">
        <v>1059</v>
      </c>
      <c r="T381" s="842" t="s">
        <v>22</v>
      </c>
      <c r="U381" s="2377" t="s">
        <v>22</v>
      </c>
      <c r="V381" s="842" t="s">
        <v>22</v>
      </c>
      <c r="W381" s="2377" t="s">
        <v>22</v>
      </c>
      <c r="X381" s="842" t="s">
        <v>22</v>
      </c>
      <c r="Y381" s="2377" t="s">
        <v>22</v>
      </c>
      <c r="Z381" s="842" t="s">
        <v>22</v>
      </c>
      <c r="AA381" s="2942" t="s">
        <v>22</v>
      </c>
      <c r="AB381" s="2940" t="s">
        <v>22</v>
      </c>
      <c r="AC381" s="2377" t="s">
        <v>22</v>
      </c>
      <c r="AD381" s="842" t="s">
        <v>22</v>
      </c>
      <c r="AE381" s="2377" t="s">
        <v>22</v>
      </c>
      <c r="AF381" s="842" t="s">
        <v>22</v>
      </c>
      <c r="AG381" s="2942" t="s">
        <v>22</v>
      </c>
      <c r="AH381" s="2940" t="s">
        <v>22</v>
      </c>
      <c r="AI381" s="2377" t="s">
        <v>1148</v>
      </c>
      <c r="AJ381" s="842" t="s">
        <v>22</v>
      </c>
      <c r="AK381" s="2377" t="s">
        <v>22</v>
      </c>
      <c r="AL381" s="842" t="s">
        <v>22</v>
      </c>
      <c r="AM381" s="1549"/>
      <c r="AN381" s="1659"/>
      <c r="AO381" s="1659"/>
      <c r="AP381" s="1659"/>
      <c r="AQ381" s="1659"/>
      <c r="AR381" s="1659"/>
      <c r="AS381" s="1659"/>
      <c r="AT381" s="1659"/>
      <c r="AU381" s="1659"/>
      <c r="AV381" s="1659"/>
      <c r="AW381" s="699"/>
      <c r="AX381" s="1659">
        <v>0</v>
      </c>
    </row>
    <row s="1874" customFormat="1" customHeight="1" ht="15">
      <c r="A382" s="1659"/>
      <c r="B382" s="2421"/>
      <c r="C382" s="2422"/>
      <c r="D382" s="713" t="str">
        <f>B381&amp;".2"</f>
        <v>3.115.2</v>
      </c>
      <c r="E382" s="1691" t="s">
        <v>1040</v>
      </c>
      <c r="F382" s="2287" t="s">
        <v>390</v>
      </c>
      <c r="G382" s="1762" t="s">
        <v>22</v>
      </c>
      <c r="H382" s="842" t="s">
        <v>22</v>
      </c>
      <c r="I382" s="1762">
        <v>46150</v>
      </c>
      <c r="J382" s="842" t="s">
        <v>22</v>
      </c>
      <c r="K382" s="1762" t="s">
        <v>22</v>
      </c>
      <c r="L382" s="842" t="s">
        <v>22</v>
      </c>
      <c r="M382" s="2943" t="s">
        <v>22</v>
      </c>
      <c r="N382" s="2940" t="s">
        <v>22</v>
      </c>
      <c r="O382" s="1762" t="s">
        <v>22</v>
      </c>
      <c r="P382" s="842" t="s">
        <v>22</v>
      </c>
      <c r="Q382" s="1762">
        <v>46129</v>
      </c>
      <c r="R382" s="842" t="s">
        <v>22</v>
      </c>
      <c r="S382" s="1762">
        <v>46142</v>
      </c>
      <c r="T382" s="842" t="s">
        <v>22</v>
      </c>
      <c r="U382" s="1762" t="s">
        <v>22</v>
      </c>
      <c r="V382" s="842" t="s">
        <v>22</v>
      </c>
      <c r="W382" s="1762" t="s">
        <v>22</v>
      </c>
      <c r="X382" s="842" t="s">
        <v>22</v>
      </c>
      <c r="Y382" s="1762" t="s">
        <v>22</v>
      </c>
      <c r="Z382" s="842" t="s">
        <v>22</v>
      </c>
      <c r="AA382" s="2943" t="s">
        <v>22</v>
      </c>
      <c r="AB382" s="2940" t="s">
        <v>22</v>
      </c>
      <c r="AC382" s="1762" t="s">
        <v>22</v>
      </c>
      <c r="AD382" s="842" t="s">
        <v>22</v>
      </c>
      <c r="AE382" s="1762" t="s">
        <v>22</v>
      </c>
      <c r="AF382" s="842" t="s">
        <v>22</v>
      </c>
      <c r="AG382" s="2943" t="s">
        <v>22</v>
      </c>
      <c r="AH382" s="2940" t="s">
        <v>22</v>
      </c>
      <c r="AI382" s="1762">
        <v>46163</v>
      </c>
      <c r="AJ382" s="842" t="s">
        <v>22</v>
      </c>
      <c r="AK382" s="1762" t="s">
        <v>22</v>
      </c>
      <c r="AL382" s="842" t="s">
        <v>22</v>
      </c>
      <c r="AM382" s="1549" t="s">
        <v>1041</v>
      </c>
      <c r="AN382" s="1659"/>
      <c r="AO382" s="1659"/>
      <c r="AP382" s="1659"/>
      <c r="AQ382" s="1659"/>
      <c r="AR382" s="1659"/>
      <c r="AS382" s="1659"/>
      <c r="AT382" s="1659"/>
      <c r="AU382" s="1659"/>
      <c r="AV382" s="1659"/>
      <c r="AW382" s="699"/>
      <c r="AX382" s="1659">
        <v>0</v>
      </c>
    </row>
    <row s="1874" customFormat="1" customHeight="1" ht="15">
      <c r="A383" s="1659"/>
      <c r="B383" s="2421"/>
      <c r="C383" s="2422"/>
      <c r="D383" s="713" t="str">
        <f>B381&amp;".3"</f>
        <v>3.115.3</v>
      </c>
      <c r="E383" s="1691" t="s">
        <v>1042</v>
      </c>
      <c r="F383" s="2287" t="s">
        <v>390</v>
      </c>
      <c r="G383" s="1762" t="s">
        <v>22</v>
      </c>
      <c r="H383" s="842" t="s">
        <v>22</v>
      </c>
      <c r="I383" s="1762" t="s">
        <v>22</v>
      </c>
      <c r="J383" s="842" t="s">
        <v>22</v>
      </c>
      <c r="K383" s="1762" t="s">
        <v>22</v>
      </c>
      <c r="L383" s="842" t="s">
        <v>22</v>
      </c>
      <c r="M383" s="2943" t="s">
        <v>22</v>
      </c>
      <c r="N383" s="2940" t="s">
        <v>22</v>
      </c>
      <c r="O383" s="1762" t="s">
        <v>22</v>
      </c>
      <c r="P383" s="842" t="s">
        <v>22</v>
      </c>
      <c r="Q383" s="1762" t="s">
        <v>22</v>
      </c>
      <c r="R383" s="842" t="s">
        <v>22</v>
      </c>
      <c r="S383" s="1762"/>
      <c r="T383" s="842" t="s">
        <v>22</v>
      </c>
      <c r="U383" s="1762" t="s">
        <v>22</v>
      </c>
      <c r="V383" s="842" t="s">
        <v>22</v>
      </c>
      <c r="W383" s="1762" t="s">
        <v>22</v>
      </c>
      <c r="X383" s="842" t="s">
        <v>22</v>
      </c>
      <c r="Y383" s="1762" t="s">
        <v>22</v>
      </c>
      <c r="Z383" s="842" t="s">
        <v>22</v>
      </c>
      <c r="AA383" s="2943" t="s">
        <v>22</v>
      </c>
      <c r="AB383" s="2940" t="s">
        <v>22</v>
      </c>
      <c r="AC383" s="1762" t="s">
        <v>22</v>
      </c>
      <c r="AD383" s="842" t="s">
        <v>22</v>
      </c>
      <c r="AE383" s="1762" t="s">
        <v>22</v>
      </c>
      <c r="AF383" s="842" t="s">
        <v>22</v>
      </c>
      <c r="AG383" s="2943" t="s">
        <v>22</v>
      </c>
      <c r="AH383" s="2940" t="s">
        <v>22</v>
      </c>
      <c r="AI383" s="1762" t="s">
        <v>22</v>
      </c>
      <c r="AJ383" s="842" t="s">
        <v>22</v>
      </c>
      <c r="AK383" s="1762" t="s">
        <v>22</v>
      </c>
      <c r="AL383" s="842" t="s">
        <v>22</v>
      </c>
      <c r="AM383" s="1549" t="s">
        <v>1043</v>
      </c>
      <c r="AN383" s="1659"/>
      <c r="AO383" s="1659"/>
      <c r="AP383" s="1659"/>
      <c r="AQ383" s="1659"/>
      <c r="AR383" s="1659"/>
      <c r="AS383" s="1659"/>
      <c r="AT383" s="1659"/>
      <c r="AU383" s="1659"/>
      <c r="AV383" s="1659"/>
      <c r="AW383" s="699"/>
      <c r="AX383" s="1659">
        <v>0</v>
      </c>
    </row>
    <row s="1874" customFormat="1" customHeight="1" ht="22.5">
      <c r="A384" s="1659"/>
      <c r="B384" s="2421" t="s">
        <v>1199</v>
      </c>
      <c r="C384" s="2422" t="s">
        <v>104</v>
      </c>
      <c r="D384" s="713" t="str">
        <f>B384&amp;".1"</f>
        <v>3.116.1</v>
      </c>
      <c r="E384" s="1691" t="s">
        <v>1039</v>
      </c>
      <c r="F384" s="2287" t="s">
        <v>390</v>
      </c>
      <c r="G384" s="2377" t="s">
        <v>22</v>
      </c>
      <c r="H384" s="842" t="s">
        <v>22</v>
      </c>
      <c r="I384" s="2377" t="s">
        <v>1059</v>
      </c>
      <c r="J384" s="842" t="s">
        <v>22</v>
      </c>
      <c r="K384" s="2377" t="s">
        <v>22</v>
      </c>
      <c r="L384" s="842" t="s">
        <v>22</v>
      </c>
      <c r="M384" s="2942" t="s">
        <v>22</v>
      </c>
      <c r="N384" s="2940" t="s">
        <v>22</v>
      </c>
      <c r="O384" s="2377" t="s">
        <v>22</v>
      </c>
      <c r="P384" s="842" t="s">
        <v>22</v>
      </c>
      <c r="Q384" s="2377" t="s">
        <v>1059</v>
      </c>
      <c r="R384" s="842" t="s">
        <v>22</v>
      </c>
      <c r="S384" s="2377" t="s">
        <v>1059</v>
      </c>
      <c r="T384" s="842" t="s">
        <v>22</v>
      </c>
      <c r="U384" s="2377" t="s">
        <v>22</v>
      </c>
      <c r="V384" s="842" t="s">
        <v>22</v>
      </c>
      <c r="W384" s="2377" t="s">
        <v>22</v>
      </c>
      <c r="X384" s="842" t="s">
        <v>22</v>
      </c>
      <c r="Y384" s="2377" t="s">
        <v>22</v>
      </c>
      <c r="Z384" s="842" t="s">
        <v>22</v>
      </c>
      <c r="AA384" s="2942" t="s">
        <v>22</v>
      </c>
      <c r="AB384" s="2940" t="s">
        <v>22</v>
      </c>
      <c r="AC384" s="2377" t="s">
        <v>22</v>
      </c>
      <c r="AD384" s="842" t="s">
        <v>22</v>
      </c>
      <c r="AE384" s="2377" t="s">
        <v>22</v>
      </c>
      <c r="AF384" s="842" t="s">
        <v>22</v>
      </c>
      <c r="AG384" s="2942" t="s">
        <v>22</v>
      </c>
      <c r="AH384" s="2940" t="s">
        <v>22</v>
      </c>
      <c r="AI384" s="2377" t="s">
        <v>1200</v>
      </c>
      <c r="AJ384" s="842" t="s">
        <v>22</v>
      </c>
      <c r="AK384" s="2377" t="s">
        <v>22</v>
      </c>
      <c r="AL384" s="842" t="s">
        <v>22</v>
      </c>
      <c r="AM384" s="1549"/>
      <c r="AN384" s="1659"/>
      <c r="AO384" s="1659"/>
      <c r="AP384" s="1659"/>
      <c r="AQ384" s="1659"/>
      <c r="AR384" s="1659"/>
      <c r="AS384" s="1659"/>
      <c r="AT384" s="1659"/>
      <c r="AU384" s="1659"/>
      <c r="AV384" s="1659"/>
      <c r="AW384" s="699"/>
      <c r="AX384" s="1659">
        <v>0</v>
      </c>
    </row>
    <row s="1874" customFormat="1" customHeight="1" ht="15">
      <c r="A385" s="1659"/>
      <c r="B385" s="2421"/>
      <c r="C385" s="2422"/>
      <c r="D385" s="713" t="str">
        <f>B384&amp;".2"</f>
        <v>3.116.2</v>
      </c>
      <c r="E385" s="1691" t="s">
        <v>1040</v>
      </c>
      <c r="F385" s="2287" t="s">
        <v>390</v>
      </c>
      <c r="G385" s="1762" t="s">
        <v>22</v>
      </c>
      <c r="H385" s="842" t="s">
        <v>22</v>
      </c>
      <c r="I385" s="1762">
        <v>46150</v>
      </c>
      <c r="J385" s="842" t="s">
        <v>22</v>
      </c>
      <c r="K385" s="1762" t="s">
        <v>22</v>
      </c>
      <c r="L385" s="842" t="s">
        <v>22</v>
      </c>
      <c r="M385" s="2943" t="s">
        <v>22</v>
      </c>
      <c r="N385" s="2940" t="s">
        <v>22</v>
      </c>
      <c r="O385" s="1762" t="s">
        <v>22</v>
      </c>
      <c r="P385" s="842" t="s">
        <v>22</v>
      </c>
      <c r="Q385" s="1762">
        <v>46129</v>
      </c>
      <c r="R385" s="842" t="s">
        <v>22</v>
      </c>
      <c r="S385" s="1762">
        <v>46142</v>
      </c>
      <c r="T385" s="842" t="s">
        <v>22</v>
      </c>
      <c r="U385" s="1762" t="s">
        <v>22</v>
      </c>
      <c r="V385" s="842" t="s">
        <v>22</v>
      </c>
      <c r="W385" s="1762" t="s">
        <v>22</v>
      </c>
      <c r="X385" s="842" t="s">
        <v>22</v>
      </c>
      <c r="Y385" s="1762" t="s">
        <v>22</v>
      </c>
      <c r="Z385" s="842" t="s">
        <v>22</v>
      </c>
      <c r="AA385" s="2943" t="s">
        <v>22</v>
      </c>
      <c r="AB385" s="2940" t="s">
        <v>22</v>
      </c>
      <c r="AC385" s="1762" t="s">
        <v>22</v>
      </c>
      <c r="AD385" s="842" t="s">
        <v>22</v>
      </c>
      <c r="AE385" s="1762" t="s">
        <v>22</v>
      </c>
      <c r="AF385" s="842" t="s">
        <v>22</v>
      </c>
      <c r="AG385" s="2943" t="s">
        <v>22</v>
      </c>
      <c r="AH385" s="2940" t="s">
        <v>22</v>
      </c>
      <c r="AI385" s="1762">
        <v>46170</v>
      </c>
      <c r="AJ385" s="842" t="s">
        <v>22</v>
      </c>
      <c r="AK385" s="1762" t="s">
        <v>22</v>
      </c>
      <c r="AL385" s="842" t="s">
        <v>22</v>
      </c>
      <c r="AM385" s="1549" t="s">
        <v>1041</v>
      </c>
      <c r="AN385" s="1659"/>
      <c r="AO385" s="1659"/>
      <c r="AP385" s="1659"/>
      <c r="AQ385" s="1659"/>
      <c r="AR385" s="1659"/>
      <c r="AS385" s="1659"/>
      <c r="AT385" s="1659"/>
      <c r="AU385" s="1659"/>
      <c r="AV385" s="1659"/>
      <c r="AW385" s="699"/>
      <c r="AX385" s="1659">
        <v>0</v>
      </c>
    </row>
    <row s="1874" customFormat="1" customHeight="1" ht="15">
      <c r="A386" s="1659"/>
      <c r="B386" s="2421"/>
      <c r="C386" s="2422"/>
      <c r="D386" s="713" t="str">
        <f>B384&amp;".3"</f>
        <v>3.116.3</v>
      </c>
      <c r="E386" s="1691" t="s">
        <v>1042</v>
      </c>
      <c r="F386" s="2287" t="s">
        <v>390</v>
      </c>
      <c r="G386" s="1762" t="s">
        <v>22</v>
      </c>
      <c r="H386" s="842" t="s">
        <v>22</v>
      </c>
      <c r="I386" s="1762" t="s">
        <v>22</v>
      </c>
      <c r="J386" s="842" t="s">
        <v>22</v>
      </c>
      <c r="K386" s="1762" t="s">
        <v>22</v>
      </c>
      <c r="L386" s="842" t="s">
        <v>22</v>
      </c>
      <c r="M386" s="2943" t="s">
        <v>22</v>
      </c>
      <c r="N386" s="2940" t="s">
        <v>22</v>
      </c>
      <c r="O386" s="1762" t="s">
        <v>22</v>
      </c>
      <c r="P386" s="842" t="s">
        <v>22</v>
      </c>
      <c r="Q386" s="1762" t="s">
        <v>22</v>
      </c>
      <c r="R386" s="842" t="s">
        <v>22</v>
      </c>
      <c r="S386" s="1762"/>
      <c r="T386" s="842" t="s">
        <v>22</v>
      </c>
      <c r="U386" s="1762" t="s">
        <v>22</v>
      </c>
      <c r="V386" s="842" t="s">
        <v>22</v>
      </c>
      <c r="W386" s="1762" t="s">
        <v>22</v>
      </c>
      <c r="X386" s="842" t="s">
        <v>22</v>
      </c>
      <c r="Y386" s="1762" t="s">
        <v>22</v>
      </c>
      <c r="Z386" s="842" t="s">
        <v>22</v>
      </c>
      <c r="AA386" s="2943" t="s">
        <v>22</v>
      </c>
      <c r="AB386" s="2940" t="s">
        <v>22</v>
      </c>
      <c r="AC386" s="1762" t="s">
        <v>22</v>
      </c>
      <c r="AD386" s="842" t="s">
        <v>22</v>
      </c>
      <c r="AE386" s="1762" t="s">
        <v>22</v>
      </c>
      <c r="AF386" s="842" t="s">
        <v>22</v>
      </c>
      <c r="AG386" s="2943" t="s">
        <v>22</v>
      </c>
      <c r="AH386" s="2940" t="s">
        <v>22</v>
      </c>
      <c r="AI386" s="1762" t="s">
        <v>22</v>
      </c>
      <c r="AJ386" s="842" t="s">
        <v>22</v>
      </c>
      <c r="AK386" s="1762" t="s">
        <v>22</v>
      </c>
      <c r="AL386" s="842" t="s">
        <v>22</v>
      </c>
      <c r="AM386" s="1549" t="s">
        <v>1043</v>
      </c>
      <c r="AN386" s="1659"/>
      <c r="AO386" s="1659"/>
      <c r="AP386" s="1659"/>
      <c r="AQ386" s="1659"/>
      <c r="AR386" s="1659"/>
      <c r="AS386" s="1659"/>
      <c r="AT386" s="1659"/>
      <c r="AU386" s="1659"/>
      <c r="AV386" s="1659"/>
      <c r="AW386" s="699"/>
      <c r="AX386" s="1659">
        <v>0</v>
      </c>
    </row>
    <row s="1874" customFormat="1" customHeight="1" ht="22.5">
      <c r="A387" s="1659"/>
      <c r="B387" s="2421" t="s">
        <v>1201</v>
      </c>
      <c r="C387" s="2422" t="s">
        <v>104</v>
      </c>
      <c r="D387" s="713" t="str">
        <f>B387&amp;".1"</f>
        <v>3.117.1</v>
      </c>
      <c r="E387" s="1691" t="s">
        <v>1039</v>
      </c>
      <c r="F387" s="2287" t="s">
        <v>390</v>
      </c>
      <c r="G387" s="2377" t="s">
        <v>22</v>
      </c>
      <c r="H387" s="842" t="s">
        <v>22</v>
      </c>
      <c r="I387" s="2377" t="s">
        <v>1059</v>
      </c>
      <c r="J387" s="842" t="s">
        <v>22</v>
      </c>
      <c r="K387" s="2377" t="s">
        <v>22</v>
      </c>
      <c r="L387" s="842" t="s">
        <v>22</v>
      </c>
      <c r="M387" s="2942" t="s">
        <v>22</v>
      </c>
      <c r="N387" s="2940" t="s">
        <v>22</v>
      </c>
      <c r="O387" s="2377" t="s">
        <v>22</v>
      </c>
      <c r="P387" s="842" t="s">
        <v>22</v>
      </c>
      <c r="Q387" s="2377" t="s">
        <v>1059</v>
      </c>
      <c r="R387" s="842" t="s">
        <v>22</v>
      </c>
      <c r="S387" s="2377" t="s">
        <v>1059</v>
      </c>
      <c r="T387" s="842" t="s">
        <v>22</v>
      </c>
      <c r="U387" s="2377" t="s">
        <v>22</v>
      </c>
      <c r="V387" s="842" t="s">
        <v>22</v>
      </c>
      <c r="W387" s="2377" t="s">
        <v>22</v>
      </c>
      <c r="X387" s="842" t="s">
        <v>22</v>
      </c>
      <c r="Y387" s="2377" t="s">
        <v>22</v>
      </c>
      <c r="Z387" s="842" t="s">
        <v>22</v>
      </c>
      <c r="AA387" s="2942" t="s">
        <v>22</v>
      </c>
      <c r="AB387" s="2940" t="s">
        <v>22</v>
      </c>
      <c r="AC387" s="2377" t="s">
        <v>22</v>
      </c>
      <c r="AD387" s="842" t="s">
        <v>22</v>
      </c>
      <c r="AE387" s="2377" t="s">
        <v>22</v>
      </c>
      <c r="AF387" s="842" t="s">
        <v>22</v>
      </c>
      <c r="AG387" s="2942" t="s">
        <v>22</v>
      </c>
      <c r="AH387" s="2940" t="s">
        <v>22</v>
      </c>
      <c r="AI387" s="2377" t="s">
        <v>1148</v>
      </c>
      <c r="AJ387" s="842" t="s">
        <v>22</v>
      </c>
      <c r="AK387" s="2377" t="s">
        <v>22</v>
      </c>
      <c r="AL387" s="842" t="s">
        <v>22</v>
      </c>
      <c r="AM387" s="1549"/>
      <c r="AN387" s="1659"/>
      <c r="AO387" s="1659"/>
      <c r="AP387" s="1659"/>
      <c r="AQ387" s="1659"/>
      <c r="AR387" s="1659"/>
      <c r="AS387" s="1659"/>
      <c r="AT387" s="1659"/>
      <c r="AU387" s="1659"/>
      <c r="AV387" s="1659"/>
      <c r="AW387" s="699"/>
      <c r="AX387" s="1659">
        <v>0</v>
      </c>
    </row>
    <row s="1874" customFormat="1" customHeight="1" ht="15">
      <c r="A388" s="1659"/>
      <c r="B388" s="2421"/>
      <c r="C388" s="2422"/>
      <c r="D388" s="713" t="str">
        <f>B387&amp;".2"</f>
        <v>3.117.2</v>
      </c>
      <c r="E388" s="1691" t="s">
        <v>1040</v>
      </c>
      <c r="F388" s="2287" t="s">
        <v>390</v>
      </c>
      <c r="G388" s="1762" t="s">
        <v>22</v>
      </c>
      <c r="H388" s="842" t="s">
        <v>22</v>
      </c>
      <c r="I388" s="1762">
        <v>46150</v>
      </c>
      <c r="J388" s="842" t="s">
        <v>22</v>
      </c>
      <c r="K388" s="1762" t="s">
        <v>22</v>
      </c>
      <c r="L388" s="842" t="s">
        <v>22</v>
      </c>
      <c r="M388" s="2943" t="s">
        <v>22</v>
      </c>
      <c r="N388" s="2940" t="s">
        <v>22</v>
      </c>
      <c r="O388" s="1762" t="s">
        <v>22</v>
      </c>
      <c r="P388" s="842" t="s">
        <v>22</v>
      </c>
      <c r="Q388" s="1762">
        <v>46129</v>
      </c>
      <c r="R388" s="842" t="s">
        <v>22</v>
      </c>
      <c r="S388" s="1762">
        <v>46142</v>
      </c>
      <c r="T388" s="842" t="s">
        <v>22</v>
      </c>
      <c r="U388" s="1762" t="s">
        <v>22</v>
      </c>
      <c r="V388" s="842" t="s">
        <v>22</v>
      </c>
      <c r="W388" s="1762" t="s">
        <v>22</v>
      </c>
      <c r="X388" s="842" t="s">
        <v>22</v>
      </c>
      <c r="Y388" s="1762" t="s">
        <v>22</v>
      </c>
      <c r="Z388" s="842" t="s">
        <v>22</v>
      </c>
      <c r="AA388" s="2943" t="s">
        <v>22</v>
      </c>
      <c r="AB388" s="2940" t="s">
        <v>22</v>
      </c>
      <c r="AC388" s="1762" t="s">
        <v>22</v>
      </c>
      <c r="AD388" s="842" t="s">
        <v>22</v>
      </c>
      <c r="AE388" s="1762" t="s">
        <v>22</v>
      </c>
      <c r="AF388" s="842" t="s">
        <v>22</v>
      </c>
      <c r="AG388" s="2943" t="s">
        <v>22</v>
      </c>
      <c r="AH388" s="2940" t="s">
        <v>22</v>
      </c>
      <c r="AI388" s="1762">
        <v>46170</v>
      </c>
      <c r="AJ388" s="842" t="s">
        <v>22</v>
      </c>
      <c r="AK388" s="1762" t="s">
        <v>22</v>
      </c>
      <c r="AL388" s="842" t="s">
        <v>22</v>
      </c>
      <c r="AM388" s="1549" t="s">
        <v>1041</v>
      </c>
      <c r="AN388" s="1659"/>
      <c r="AO388" s="1659"/>
      <c r="AP388" s="1659"/>
      <c r="AQ388" s="1659"/>
      <c r="AR388" s="1659"/>
      <c r="AS388" s="1659"/>
      <c r="AT388" s="1659"/>
      <c r="AU388" s="1659"/>
      <c r="AV388" s="1659"/>
      <c r="AW388" s="699"/>
      <c r="AX388" s="1659">
        <v>0</v>
      </c>
    </row>
    <row s="1874" customFormat="1" customHeight="1" ht="15">
      <c r="A389" s="1659"/>
      <c r="B389" s="2421"/>
      <c r="C389" s="2422"/>
      <c r="D389" s="713" t="str">
        <f>B387&amp;".3"</f>
        <v>3.117.3</v>
      </c>
      <c r="E389" s="1691" t="s">
        <v>1042</v>
      </c>
      <c r="F389" s="2287" t="s">
        <v>390</v>
      </c>
      <c r="G389" s="1762" t="s">
        <v>22</v>
      </c>
      <c r="H389" s="842" t="s">
        <v>22</v>
      </c>
      <c r="I389" s="1762" t="s">
        <v>22</v>
      </c>
      <c r="J389" s="842" t="s">
        <v>22</v>
      </c>
      <c r="K389" s="1762" t="s">
        <v>22</v>
      </c>
      <c r="L389" s="842" t="s">
        <v>22</v>
      </c>
      <c r="M389" s="2943" t="s">
        <v>22</v>
      </c>
      <c r="N389" s="2940" t="s">
        <v>22</v>
      </c>
      <c r="O389" s="1762" t="s">
        <v>22</v>
      </c>
      <c r="P389" s="842" t="s">
        <v>22</v>
      </c>
      <c r="Q389" s="1762" t="s">
        <v>22</v>
      </c>
      <c r="R389" s="842" t="s">
        <v>22</v>
      </c>
      <c r="S389" s="1762"/>
      <c r="T389" s="842" t="s">
        <v>22</v>
      </c>
      <c r="U389" s="1762" t="s">
        <v>22</v>
      </c>
      <c r="V389" s="842" t="s">
        <v>22</v>
      </c>
      <c r="W389" s="1762" t="s">
        <v>22</v>
      </c>
      <c r="X389" s="842" t="s">
        <v>22</v>
      </c>
      <c r="Y389" s="1762" t="s">
        <v>22</v>
      </c>
      <c r="Z389" s="842" t="s">
        <v>22</v>
      </c>
      <c r="AA389" s="2943" t="s">
        <v>22</v>
      </c>
      <c r="AB389" s="2940" t="s">
        <v>22</v>
      </c>
      <c r="AC389" s="1762" t="s">
        <v>22</v>
      </c>
      <c r="AD389" s="842" t="s">
        <v>22</v>
      </c>
      <c r="AE389" s="1762" t="s">
        <v>22</v>
      </c>
      <c r="AF389" s="842" t="s">
        <v>22</v>
      </c>
      <c r="AG389" s="2943" t="s">
        <v>22</v>
      </c>
      <c r="AH389" s="2940" t="s">
        <v>22</v>
      </c>
      <c r="AI389" s="1762" t="s">
        <v>22</v>
      </c>
      <c r="AJ389" s="842" t="s">
        <v>22</v>
      </c>
      <c r="AK389" s="1762" t="s">
        <v>22</v>
      </c>
      <c r="AL389" s="842" t="s">
        <v>22</v>
      </c>
      <c r="AM389" s="1549" t="s">
        <v>1043</v>
      </c>
      <c r="AN389" s="1659"/>
      <c r="AO389" s="1659"/>
      <c r="AP389" s="1659"/>
      <c r="AQ389" s="1659"/>
      <c r="AR389" s="1659"/>
      <c r="AS389" s="1659"/>
      <c r="AT389" s="1659"/>
      <c r="AU389" s="1659"/>
      <c r="AV389" s="1659"/>
      <c r="AW389" s="699"/>
      <c r="AX389" s="1659">
        <v>0</v>
      </c>
    </row>
    <row s="1874" customFormat="1" customHeight="1" ht="22.5">
      <c r="A390" s="1659"/>
      <c r="B390" s="2421" t="s">
        <v>1202</v>
      </c>
      <c r="C390" s="2422" t="s">
        <v>104</v>
      </c>
      <c r="D390" s="713" t="str">
        <f>B390&amp;".1"</f>
        <v>3.118.1</v>
      </c>
      <c r="E390" s="1691" t="s">
        <v>1039</v>
      </c>
      <c r="F390" s="2287" t="s">
        <v>390</v>
      </c>
      <c r="G390" s="2377" t="s">
        <v>22</v>
      </c>
      <c r="H390" s="842" t="s">
        <v>22</v>
      </c>
      <c r="I390" s="2377" t="s">
        <v>1059</v>
      </c>
      <c r="J390" s="842" t="s">
        <v>22</v>
      </c>
      <c r="K390" s="2377" t="s">
        <v>22</v>
      </c>
      <c r="L390" s="842" t="s">
        <v>22</v>
      </c>
      <c r="M390" s="2942" t="s">
        <v>22</v>
      </c>
      <c r="N390" s="2940" t="s">
        <v>22</v>
      </c>
      <c r="O390" s="2377" t="s">
        <v>22</v>
      </c>
      <c r="P390" s="842" t="s">
        <v>22</v>
      </c>
      <c r="Q390" s="2377" t="s">
        <v>1059</v>
      </c>
      <c r="R390" s="842" t="s">
        <v>22</v>
      </c>
      <c r="S390" s="2377" t="s">
        <v>1059</v>
      </c>
      <c r="T390" s="842" t="s">
        <v>22</v>
      </c>
      <c r="U390" s="2377" t="s">
        <v>22</v>
      </c>
      <c r="V390" s="842" t="s">
        <v>22</v>
      </c>
      <c r="W390" s="2377" t="s">
        <v>22</v>
      </c>
      <c r="X390" s="842" t="s">
        <v>22</v>
      </c>
      <c r="Y390" s="2377" t="s">
        <v>22</v>
      </c>
      <c r="Z390" s="842" t="s">
        <v>22</v>
      </c>
      <c r="AA390" s="2942" t="s">
        <v>22</v>
      </c>
      <c r="AB390" s="2940" t="s">
        <v>22</v>
      </c>
      <c r="AC390" s="2377" t="s">
        <v>22</v>
      </c>
      <c r="AD390" s="842" t="s">
        <v>22</v>
      </c>
      <c r="AE390" s="2377" t="s">
        <v>22</v>
      </c>
      <c r="AF390" s="842" t="s">
        <v>22</v>
      </c>
      <c r="AG390" s="2942" t="s">
        <v>22</v>
      </c>
      <c r="AH390" s="2940" t="s">
        <v>22</v>
      </c>
      <c r="AI390" s="2377" t="s">
        <v>1200</v>
      </c>
      <c r="AJ390" s="842" t="s">
        <v>22</v>
      </c>
      <c r="AK390" s="2377" t="s">
        <v>22</v>
      </c>
      <c r="AL390" s="842" t="s">
        <v>22</v>
      </c>
      <c r="AM390" s="1549"/>
      <c r="AN390" s="1659"/>
      <c r="AO390" s="1659"/>
      <c r="AP390" s="1659"/>
      <c r="AQ390" s="1659"/>
      <c r="AR390" s="1659"/>
      <c r="AS390" s="1659"/>
      <c r="AT390" s="1659"/>
      <c r="AU390" s="1659"/>
      <c r="AV390" s="1659"/>
      <c r="AW390" s="699"/>
      <c r="AX390" s="1659">
        <v>0</v>
      </c>
    </row>
    <row s="1874" customFormat="1" customHeight="1" ht="15">
      <c r="A391" s="1659"/>
      <c r="B391" s="2421"/>
      <c r="C391" s="2422"/>
      <c r="D391" s="713" t="str">
        <f>B390&amp;".2"</f>
        <v>3.118.2</v>
      </c>
      <c r="E391" s="1691" t="s">
        <v>1040</v>
      </c>
      <c r="F391" s="2287" t="s">
        <v>390</v>
      </c>
      <c r="G391" s="1762" t="s">
        <v>22</v>
      </c>
      <c r="H391" s="842" t="s">
        <v>22</v>
      </c>
      <c r="I391" s="1762">
        <v>46150</v>
      </c>
      <c r="J391" s="842" t="s">
        <v>22</v>
      </c>
      <c r="K391" s="1762" t="s">
        <v>22</v>
      </c>
      <c r="L391" s="842" t="s">
        <v>22</v>
      </c>
      <c r="M391" s="2943" t="s">
        <v>22</v>
      </c>
      <c r="N391" s="2940" t="s">
        <v>22</v>
      </c>
      <c r="O391" s="1762" t="s">
        <v>22</v>
      </c>
      <c r="P391" s="842" t="s">
        <v>22</v>
      </c>
      <c r="Q391" s="1762">
        <v>46129</v>
      </c>
      <c r="R391" s="842" t="s">
        <v>22</v>
      </c>
      <c r="S391" s="1762">
        <v>46142</v>
      </c>
      <c r="T391" s="842" t="s">
        <v>22</v>
      </c>
      <c r="U391" s="1762" t="s">
        <v>22</v>
      </c>
      <c r="V391" s="842" t="s">
        <v>22</v>
      </c>
      <c r="W391" s="1762" t="s">
        <v>22</v>
      </c>
      <c r="X391" s="842" t="s">
        <v>22</v>
      </c>
      <c r="Y391" s="1762" t="s">
        <v>22</v>
      </c>
      <c r="Z391" s="842" t="s">
        <v>22</v>
      </c>
      <c r="AA391" s="2943" t="s">
        <v>22</v>
      </c>
      <c r="AB391" s="2940" t="s">
        <v>22</v>
      </c>
      <c r="AC391" s="1762" t="s">
        <v>22</v>
      </c>
      <c r="AD391" s="842" t="s">
        <v>22</v>
      </c>
      <c r="AE391" s="1762" t="s">
        <v>22</v>
      </c>
      <c r="AF391" s="842" t="s">
        <v>22</v>
      </c>
      <c r="AG391" s="2943" t="s">
        <v>22</v>
      </c>
      <c r="AH391" s="2940" t="s">
        <v>22</v>
      </c>
      <c r="AI391" s="1762">
        <v>46170</v>
      </c>
      <c r="AJ391" s="842" t="s">
        <v>22</v>
      </c>
      <c r="AK391" s="1762" t="s">
        <v>22</v>
      </c>
      <c r="AL391" s="842" t="s">
        <v>22</v>
      </c>
      <c r="AM391" s="1549" t="s">
        <v>1041</v>
      </c>
      <c r="AN391" s="1659"/>
      <c r="AO391" s="1659"/>
      <c r="AP391" s="1659"/>
      <c r="AQ391" s="1659"/>
      <c r="AR391" s="1659"/>
      <c r="AS391" s="1659"/>
      <c r="AT391" s="1659"/>
      <c r="AU391" s="1659"/>
      <c r="AV391" s="1659"/>
      <c r="AW391" s="699"/>
      <c r="AX391" s="1659">
        <v>0</v>
      </c>
    </row>
    <row s="1874" customFormat="1" customHeight="1" ht="15">
      <c r="A392" s="1659"/>
      <c r="B392" s="2421"/>
      <c r="C392" s="2422"/>
      <c r="D392" s="713" t="str">
        <f>B390&amp;".3"</f>
        <v>3.118.3</v>
      </c>
      <c r="E392" s="1691" t="s">
        <v>1042</v>
      </c>
      <c r="F392" s="2287" t="s">
        <v>390</v>
      </c>
      <c r="G392" s="1762" t="s">
        <v>22</v>
      </c>
      <c r="H392" s="842" t="s">
        <v>22</v>
      </c>
      <c r="I392" s="1762" t="s">
        <v>22</v>
      </c>
      <c r="J392" s="842" t="s">
        <v>22</v>
      </c>
      <c r="K392" s="1762" t="s">
        <v>22</v>
      </c>
      <c r="L392" s="842" t="s">
        <v>22</v>
      </c>
      <c r="M392" s="2943" t="s">
        <v>22</v>
      </c>
      <c r="N392" s="2940" t="s">
        <v>22</v>
      </c>
      <c r="O392" s="1762" t="s">
        <v>22</v>
      </c>
      <c r="P392" s="842" t="s">
        <v>22</v>
      </c>
      <c r="Q392" s="1762" t="s">
        <v>22</v>
      </c>
      <c r="R392" s="842" t="s">
        <v>22</v>
      </c>
      <c r="S392" s="1762"/>
      <c r="T392" s="842" t="s">
        <v>22</v>
      </c>
      <c r="U392" s="1762" t="s">
        <v>22</v>
      </c>
      <c r="V392" s="842" t="s">
        <v>22</v>
      </c>
      <c r="W392" s="1762" t="s">
        <v>22</v>
      </c>
      <c r="X392" s="842" t="s">
        <v>22</v>
      </c>
      <c r="Y392" s="1762" t="s">
        <v>22</v>
      </c>
      <c r="Z392" s="842" t="s">
        <v>22</v>
      </c>
      <c r="AA392" s="2943" t="s">
        <v>22</v>
      </c>
      <c r="AB392" s="2940" t="s">
        <v>22</v>
      </c>
      <c r="AC392" s="1762" t="s">
        <v>22</v>
      </c>
      <c r="AD392" s="842" t="s">
        <v>22</v>
      </c>
      <c r="AE392" s="1762" t="s">
        <v>22</v>
      </c>
      <c r="AF392" s="842" t="s">
        <v>22</v>
      </c>
      <c r="AG392" s="2943" t="s">
        <v>22</v>
      </c>
      <c r="AH392" s="2940" t="s">
        <v>22</v>
      </c>
      <c r="AI392" s="1762" t="s">
        <v>22</v>
      </c>
      <c r="AJ392" s="842" t="s">
        <v>22</v>
      </c>
      <c r="AK392" s="1762" t="s">
        <v>22</v>
      </c>
      <c r="AL392" s="842" t="s">
        <v>22</v>
      </c>
      <c r="AM392" s="1549" t="s">
        <v>1043</v>
      </c>
      <c r="AN392" s="1659"/>
      <c r="AO392" s="1659"/>
      <c r="AP392" s="1659"/>
      <c r="AQ392" s="1659"/>
      <c r="AR392" s="1659"/>
      <c r="AS392" s="1659"/>
      <c r="AT392" s="1659"/>
      <c r="AU392" s="1659"/>
      <c r="AV392" s="1659"/>
      <c r="AW392" s="699"/>
      <c r="AX392" s="1659">
        <v>0</v>
      </c>
    </row>
    <row s="1874" customFormat="1" customHeight="1" ht="22.5">
      <c r="A393" s="1659"/>
      <c r="B393" s="2421" t="s">
        <v>1203</v>
      </c>
      <c r="C393" s="2422" t="s">
        <v>104</v>
      </c>
      <c r="D393" s="713" t="str">
        <f>B393&amp;".1"</f>
        <v>3.119.1</v>
      </c>
      <c r="E393" s="1691" t="s">
        <v>1039</v>
      </c>
      <c r="F393" s="2287" t="s">
        <v>390</v>
      </c>
      <c r="G393" s="2377" t="s">
        <v>22</v>
      </c>
      <c r="H393" s="842" t="s">
        <v>22</v>
      </c>
      <c r="I393" s="2377" t="s">
        <v>1059</v>
      </c>
      <c r="J393" s="842" t="s">
        <v>22</v>
      </c>
      <c r="K393" s="2377" t="s">
        <v>22</v>
      </c>
      <c r="L393" s="842" t="s">
        <v>22</v>
      </c>
      <c r="M393" s="2942" t="s">
        <v>22</v>
      </c>
      <c r="N393" s="2940" t="s">
        <v>22</v>
      </c>
      <c r="O393" s="2377" t="s">
        <v>22</v>
      </c>
      <c r="P393" s="842" t="s">
        <v>22</v>
      </c>
      <c r="Q393" s="2377" t="s">
        <v>1059</v>
      </c>
      <c r="R393" s="842" t="s">
        <v>22</v>
      </c>
      <c r="S393" s="2377" t="s">
        <v>1059</v>
      </c>
      <c r="T393" s="842" t="s">
        <v>22</v>
      </c>
      <c r="U393" s="2377" t="s">
        <v>22</v>
      </c>
      <c r="V393" s="842" t="s">
        <v>22</v>
      </c>
      <c r="W393" s="2377" t="s">
        <v>22</v>
      </c>
      <c r="X393" s="842" t="s">
        <v>22</v>
      </c>
      <c r="Y393" s="2377" t="s">
        <v>22</v>
      </c>
      <c r="Z393" s="842" t="s">
        <v>22</v>
      </c>
      <c r="AA393" s="2942" t="s">
        <v>22</v>
      </c>
      <c r="AB393" s="2940" t="s">
        <v>22</v>
      </c>
      <c r="AC393" s="2377" t="s">
        <v>22</v>
      </c>
      <c r="AD393" s="842" t="s">
        <v>22</v>
      </c>
      <c r="AE393" s="2377" t="s">
        <v>22</v>
      </c>
      <c r="AF393" s="842" t="s">
        <v>22</v>
      </c>
      <c r="AG393" s="2942" t="s">
        <v>22</v>
      </c>
      <c r="AH393" s="2940" t="s">
        <v>22</v>
      </c>
      <c r="AI393" s="2377" t="s">
        <v>1200</v>
      </c>
      <c r="AJ393" s="842" t="s">
        <v>22</v>
      </c>
      <c r="AK393" s="2377" t="s">
        <v>22</v>
      </c>
      <c r="AL393" s="842" t="s">
        <v>22</v>
      </c>
      <c r="AM393" s="1549"/>
      <c r="AN393" s="1659"/>
      <c r="AO393" s="1659"/>
      <c r="AP393" s="1659"/>
      <c r="AQ393" s="1659"/>
      <c r="AR393" s="1659"/>
      <c r="AS393" s="1659"/>
      <c r="AT393" s="1659"/>
      <c r="AU393" s="1659"/>
      <c r="AV393" s="1659"/>
      <c r="AW393" s="699"/>
      <c r="AX393" s="1659">
        <v>0</v>
      </c>
    </row>
    <row s="1874" customFormat="1" customHeight="1" ht="15">
      <c r="A394" s="1659"/>
      <c r="B394" s="2421"/>
      <c r="C394" s="2422"/>
      <c r="D394" s="713" t="str">
        <f>B393&amp;".2"</f>
        <v>3.119.2</v>
      </c>
      <c r="E394" s="1691" t="s">
        <v>1040</v>
      </c>
      <c r="F394" s="2287" t="s">
        <v>390</v>
      </c>
      <c r="G394" s="1762" t="s">
        <v>22</v>
      </c>
      <c r="H394" s="842" t="s">
        <v>22</v>
      </c>
      <c r="I394" s="1762">
        <v>46150</v>
      </c>
      <c r="J394" s="842" t="s">
        <v>22</v>
      </c>
      <c r="K394" s="1762" t="s">
        <v>22</v>
      </c>
      <c r="L394" s="842" t="s">
        <v>22</v>
      </c>
      <c r="M394" s="2943" t="s">
        <v>22</v>
      </c>
      <c r="N394" s="2940" t="s">
        <v>22</v>
      </c>
      <c r="O394" s="1762" t="s">
        <v>22</v>
      </c>
      <c r="P394" s="842" t="s">
        <v>22</v>
      </c>
      <c r="Q394" s="1762">
        <v>46129</v>
      </c>
      <c r="R394" s="842" t="s">
        <v>22</v>
      </c>
      <c r="S394" s="1762">
        <v>46142</v>
      </c>
      <c r="T394" s="842" t="s">
        <v>22</v>
      </c>
      <c r="U394" s="1762" t="s">
        <v>22</v>
      </c>
      <c r="V394" s="842" t="s">
        <v>22</v>
      </c>
      <c r="W394" s="1762" t="s">
        <v>22</v>
      </c>
      <c r="X394" s="842" t="s">
        <v>22</v>
      </c>
      <c r="Y394" s="1762" t="s">
        <v>22</v>
      </c>
      <c r="Z394" s="842" t="s">
        <v>22</v>
      </c>
      <c r="AA394" s="2943" t="s">
        <v>22</v>
      </c>
      <c r="AB394" s="2940" t="s">
        <v>22</v>
      </c>
      <c r="AC394" s="1762" t="s">
        <v>22</v>
      </c>
      <c r="AD394" s="842" t="s">
        <v>22</v>
      </c>
      <c r="AE394" s="1762" t="s">
        <v>22</v>
      </c>
      <c r="AF394" s="842" t="s">
        <v>22</v>
      </c>
      <c r="AG394" s="2943" t="s">
        <v>22</v>
      </c>
      <c r="AH394" s="2940" t="s">
        <v>22</v>
      </c>
      <c r="AI394" s="1762">
        <v>46171</v>
      </c>
      <c r="AJ394" s="842" t="s">
        <v>22</v>
      </c>
      <c r="AK394" s="1762" t="s">
        <v>22</v>
      </c>
      <c r="AL394" s="842" t="s">
        <v>22</v>
      </c>
      <c r="AM394" s="1549" t="s">
        <v>1041</v>
      </c>
      <c r="AN394" s="1659"/>
      <c r="AO394" s="1659"/>
      <c r="AP394" s="1659"/>
      <c r="AQ394" s="1659"/>
      <c r="AR394" s="1659"/>
      <c r="AS394" s="1659"/>
      <c r="AT394" s="1659"/>
      <c r="AU394" s="1659"/>
      <c r="AV394" s="1659"/>
      <c r="AW394" s="699"/>
      <c r="AX394" s="1659">
        <v>0</v>
      </c>
    </row>
    <row s="1874" customFormat="1" customHeight="1" ht="15">
      <c r="A395" s="1659"/>
      <c r="B395" s="2421"/>
      <c r="C395" s="2422"/>
      <c r="D395" s="713" t="str">
        <f>B393&amp;".3"</f>
        <v>3.119.3</v>
      </c>
      <c r="E395" s="1691" t="s">
        <v>1042</v>
      </c>
      <c r="F395" s="2287" t="s">
        <v>390</v>
      </c>
      <c r="G395" s="1762" t="s">
        <v>22</v>
      </c>
      <c r="H395" s="842" t="s">
        <v>22</v>
      </c>
      <c r="I395" s="1762" t="s">
        <v>22</v>
      </c>
      <c r="J395" s="842" t="s">
        <v>22</v>
      </c>
      <c r="K395" s="1762" t="s">
        <v>22</v>
      </c>
      <c r="L395" s="842" t="s">
        <v>22</v>
      </c>
      <c r="M395" s="2943" t="s">
        <v>22</v>
      </c>
      <c r="N395" s="2940" t="s">
        <v>22</v>
      </c>
      <c r="O395" s="1762" t="s">
        <v>22</v>
      </c>
      <c r="P395" s="842" t="s">
        <v>22</v>
      </c>
      <c r="Q395" s="1762" t="s">
        <v>22</v>
      </c>
      <c r="R395" s="842" t="s">
        <v>22</v>
      </c>
      <c r="S395" s="1762"/>
      <c r="T395" s="842" t="s">
        <v>22</v>
      </c>
      <c r="U395" s="1762" t="s">
        <v>22</v>
      </c>
      <c r="V395" s="842" t="s">
        <v>22</v>
      </c>
      <c r="W395" s="1762" t="s">
        <v>22</v>
      </c>
      <c r="X395" s="842" t="s">
        <v>22</v>
      </c>
      <c r="Y395" s="1762" t="s">
        <v>22</v>
      </c>
      <c r="Z395" s="842" t="s">
        <v>22</v>
      </c>
      <c r="AA395" s="2943" t="s">
        <v>22</v>
      </c>
      <c r="AB395" s="2940" t="s">
        <v>22</v>
      </c>
      <c r="AC395" s="1762" t="s">
        <v>22</v>
      </c>
      <c r="AD395" s="842" t="s">
        <v>22</v>
      </c>
      <c r="AE395" s="1762" t="s">
        <v>22</v>
      </c>
      <c r="AF395" s="842" t="s">
        <v>22</v>
      </c>
      <c r="AG395" s="2943" t="s">
        <v>22</v>
      </c>
      <c r="AH395" s="2940" t="s">
        <v>22</v>
      </c>
      <c r="AI395" s="1762"/>
      <c r="AJ395" s="842" t="s">
        <v>22</v>
      </c>
      <c r="AK395" s="1762" t="s">
        <v>22</v>
      </c>
      <c r="AL395" s="842" t="s">
        <v>22</v>
      </c>
      <c r="AM395" s="1549" t="s">
        <v>1043</v>
      </c>
      <c r="AN395" s="1659"/>
      <c r="AO395" s="1659"/>
      <c r="AP395" s="1659"/>
      <c r="AQ395" s="1659"/>
      <c r="AR395" s="1659"/>
      <c r="AS395" s="1659"/>
      <c r="AT395" s="1659"/>
      <c r="AU395" s="1659"/>
      <c r="AV395" s="1659"/>
      <c r="AW395" s="699"/>
      <c r="AX395" s="1659">
        <v>0</v>
      </c>
    </row>
    <row s="1874" customFormat="1" customHeight="1" ht="22.5">
      <c r="A396" s="1659"/>
      <c r="B396" s="2421" t="s">
        <v>1204</v>
      </c>
      <c r="C396" s="2422" t="s">
        <v>104</v>
      </c>
      <c r="D396" s="713" t="str">
        <f>B396&amp;".1"</f>
        <v>3.120.1</v>
      </c>
      <c r="E396" s="1691" t="s">
        <v>1039</v>
      </c>
      <c r="F396" s="2287" t="s">
        <v>390</v>
      </c>
      <c r="G396" s="2377" t="s">
        <v>22</v>
      </c>
      <c r="H396" s="842" t="s">
        <v>22</v>
      </c>
      <c r="I396" s="2377" t="s">
        <v>22</v>
      </c>
      <c r="J396" s="842" t="s">
        <v>22</v>
      </c>
      <c r="K396" s="2377" t="s">
        <v>22</v>
      </c>
      <c r="L396" s="842" t="s">
        <v>22</v>
      </c>
      <c r="M396" s="2942" t="s">
        <v>22</v>
      </c>
      <c r="N396" s="2940" t="s">
        <v>22</v>
      </c>
      <c r="O396" s="2377" t="s">
        <v>22</v>
      </c>
      <c r="P396" s="842" t="s">
        <v>22</v>
      </c>
      <c r="Q396" s="2377" t="s">
        <v>1059</v>
      </c>
      <c r="R396" s="842" t="s">
        <v>22</v>
      </c>
      <c r="S396" s="2377" t="s">
        <v>1059</v>
      </c>
      <c r="T396" s="842" t="s">
        <v>22</v>
      </c>
      <c r="U396" s="2377" t="s">
        <v>22</v>
      </c>
      <c r="V396" s="842" t="s">
        <v>22</v>
      </c>
      <c r="W396" s="2377" t="s">
        <v>22</v>
      </c>
      <c r="X396" s="842" t="s">
        <v>22</v>
      </c>
      <c r="Y396" s="2377" t="s">
        <v>22</v>
      </c>
      <c r="Z396" s="842" t="s">
        <v>22</v>
      </c>
      <c r="AA396" s="2942" t="s">
        <v>22</v>
      </c>
      <c r="AB396" s="2940" t="s">
        <v>22</v>
      </c>
      <c r="AC396" s="2377" t="s">
        <v>22</v>
      </c>
      <c r="AD396" s="842" t="s">
        <v>22</v>
      </c>
      <c r="AE396" s="2377" t="s">
        <v>22</v>
      </c>
      <c r="AF396" s="842" t="s">
        <v>22</v>
      </c>
      <c r="AG396" s="2942" t="s">
        <v>22</v>
      </c>
      <c r="AH396" s="2940" t="s">
        <v>22</v>
      </c>
      <c r="AI396" s="2377" t="s">
        <v>1196</v>
      </c>
      <c r="AJ396" s="842" t="s">
        <v>22</v>
      </c>
      <c r="AK396" s="2377" t="s">
        <v>22</v>
      </c>
      <c r="AL396" s="842" t="s">
        <v>22</v>
      </c>
      <c r="AM396" s="1549"/>
      <c r="AN396" s="1659"/>
      <c r="AO396" s="1659"/>
      <c r="AP396" s="1659"/>
      <c r="AQ396" s="1659"/>
      <c r="AR396" s="1659"/>
      <c r="AS396" s="1659"/>
      <c r="AT396" s="1659"/>
      <c r="AU396" s="1659"/>
      <c r="AV396" s="1659"/>
      <c r="AW396" s="699"/>
      <c r="AX396" s="1659">
        <v>0</v>
      </c>
    </row>
    <row s="1874" customFormat="1" customHeight="1" ht="15">
      <c r="A397" s="1659"/>
      <c r="B397" s="2421"/>
      <c r="C397" s="2422"/>
      <c r="D397" s="713" t="str">
        <f>B396&amp;".2"</f>
        <v>3.120.2</v>
      </c>
      <c r="E397" s="1691" t="s">
        <v>1040</v>
      </c>
      <c r="F397" s="2287" t="s">
        <v>390</v>
      </c>
      <c r="G397" s="1762" t="s">
        <v>22</v>
      </c>
      <c r="H397" s="842" t="s">
        <v>22</v>
      </c>
      <c r="I397" s="1762" t="s">
        <v>22</v>
      </c>
      <c r="J397" s="842" t="s">
        <v>22</v>
      </c>
      <c r="K397" s="1762" t="s">
        <v>22</v>
      </c>
      <c r="L397" s="842" t="s">
        <v>22</v>
      </c>
      <c r="M397" s="2943" t="s">
        <v>22</v>
      </c>
      <c r="N397" s="2940" t="s">
        <v>22</v>
      </c>
      <c r="O397" s="1762" t="s">
        <v>22</v>
      </c>
      <c r="P397" s="842" t="s">
        <v>22</v>
      </c>
      <c r="Q397" s="1762">
        <v>46129</v>
      </c>
      <c r="R397" s="842" t="s">
        <v>22</v>
      </c>
      <c r="S397" s="1762">
        <v>46142</v>
      </c>
      <c r="T397" s="842" t="s">
        <v>22</v>
      </c>
      <c r="U397" s="1762" t="s">
        <v>22</v>
      </c>
      <c r="V397" s="842" t="s">
        <v>22</v>
      </c>
      <c r="W397" s="1762" t="s">
        <v>22</v>
      </c>
      <c r="X397" s="842" t="s">
        <v>22</v>
      </c>
      <c r="Y397" s="1762" t="s">
        <v>22</v>
      </c>
      <c r="Z397" s="842" t="s">
        <v>22</v>
      </c>
      <c r="AA397" s="2943" t="s">
        <v>22</v>
      </c>
      <c r="AB397" s="2940" t="s">
        <v>22</v>
      </c>
      <c r="AC397" s="1762" t="s">
        <v>22</v>
      </c>
      <c r="AD397" s="842" t="s">
        <v>22</v>
      </c>
      <c r="AE397" s="1762" t="s">
        <v>22</v>
      </c>
      <c r="AF397" s="842" t="s">
        <v>22</v>
      </c>
      <c r="AG397" s="2943" t="s">
        <v>22</v>
      </c>
      <c r="AH397" s="2940" t="s">
        <v>22</v>
      </c>
      <c r="AI397" s="1762">
        <v>46192</v>
      </c>
      <c r="AJ397" s="842" t="s">
        <v>22</v>
      </c>
      <c r="AK397" s="1762" t="s">
        <v>22</v>
      </c>
      <c r="AL397" s="842" t="s">
        <v>22</v>
      </c>
      <c r="AM397" s="1549" t="s">
        <v>1041</v>
      </c>
      <c r="AN397" s="1659"/>
      <c r="AO397" s="1659"/>
      <c r="AP397" s="1659"/>
      <c r="AQ397" s="1659"/>
      <c r="AR397" s="1659"/>
      <c r="AS397" s="1659"/>
      <c r="AT397" s="1659"/>
      <c r="AU397" s="1659"/>
      <c r="AV397" s="1659"/>
      <c r="AW397" s="699"/>
      <c r="AX397" s="1659">
        <v>0</v>
      </c>
    </row>
    <row s="1874" customFormat="1" customHeight="1" ht="15">
      <c r="A398" s="1659"/>
      <c r="B398" s="2421"/>
      <c r="C398" s="2422"/>
      <c r="D398" s="713" t="str">
        <f>B396&amp;".3"</f>
        <v>3.120.3</v>
      </c>
      <c r="E398" s="1691" t="s">
        <v>1042</v>
      </c>
      <c r="F398" s="2287" t="s">
        <v>390</v>
      </c>
      <c r="G398" s="1762" t="s">
        <v>22</v>
      </c>
      <c r="H398" s="842" t="s">
        <v>22</v>
      </c>
      <c r="I398" s="1762" t="s">
        <v>22</v>
      </c>
      <c r="J398" s="842" t="s">
        <v>22</v>
      </c>
      <c r="K398" s="1762" t="s">
        <v>22</v>
      </c>
      <c r="L398" s="842" t="s">
        <v>22</v>
      </c>
      <c r="M398" s="2943" t="s">
        <v>22</v>
      </c>
      <c r="N398" s="2940" t="s">
        <v>22</v>
      </c>
      <c r="O398" s="1762" t="s">
        <v>22</v>
      </c>
      <c r="P398" s="842" t="s">
        <v>22</v>
      </c>
      <c r="Q398" s="1762" t="s">
        <v>22</v>
      </c>
      <c r="R398" s="842" t="s">
        <v>22</v>
      </c>
      <c r="S398" s="1762"/>
      <c r="T398" s="842" t="s">
        <v>22</v>
      </c>
      <c r="U398" s="1762" t="s">
        <v>22</v>
      </c>
      <c r="V398" s="842" t="s">
        <v>22</v>
      </c>
      <c r="W398" s="1762" t="s">
        <v>22</v>
      </c>
      <c r="X398" s="842" t="s">
        <v>22</v>
      </c>
      <c r="Y398" s="1762" t="s">
        <v>22</v>
      </c>
      <c r="Z398" s="842" t="s">
        <v>22</v>
      </c>
      <c r="AA398" s="2943" t="s">
        <v>22</v>
      </c>
      <c r="AB398" s="2940" t="s">
        <v>22</v>
      </c>
      <c r="AC398" s="1762" t="s">
        <v>22</v>
      </c>
      <c r="AD398" s="842" t="s">
        <v>22</v>
      </c>
      <c r="AE398" s="1762" t="s">
        <v>22</v>
      </c>
      <c r="AF398" s="842" t="s">
        <v>22</v>
      </c>
      <c r="AG398" s="2943" t="s">
        <v>22</v>
      </c>
      <c r="AH398" s="2940" t="s">
        <v>22</v>
      </c>
      <c r="AI398" s="1762">
        <v>46192</v>
      </c>
      <c r="AJ398" s="842" t="s">
        <v>22</v>
      </c>
      <c r="AK398" s="1762" t="s">
        <v>22</v>
      </c>
      <c r="AL398" s="842" t="s">
        <v>22</v>
      </c>
      <c r="AM398" s="1549" t="s">
        <v>1043</v>
      </c>
      <c r="AN398" s="1659"/>
      <c r="AO398" s="1659"/>
      <c r="AP398" s="1659"/>
      <c r="AQ398" s="1659"/>
      <c r="AR398" s="1659"/>
      <c r="AS398" s="1659"/>
      <c r="AT398" s="1659"/>
      <c r="AU398" s="1659"/>
      <c r="AV398" s="1659"/>
      <c r="AW398" s="699"/>
      <c r="AX398" s="1659">
        <v>0</v>
      </c>
    </row>
    <row s="1874" customFormat="1" customHeight="1" ht="22.5">
      <c r="A399" s="1659"/>
      <c r="B399" s="2421" t="s">
        <v>1205</v>
      </c>
      <c r="C399" s="2422" t="s">
        <v>104</v>
      </c>
      <c r="D399" s="713" t="str">
        <f>B399&amp;".1"</f>
        <v>3.121.1</v>
      </c>
      <c r="E399" s="1691" t="s">
        <v>1039</v>
      </c>
      <c r="F399" s="2287" t="s">
        <v>390</v>
      </c>
      <c r="G399" s="2377" t="s">
        <v>22</v>
      </c>
      <c r="H399" s="842" t="s">
        <v>22</v>
      </c>
      <c r="I399" s="2377" t="s">
        <v>22</v>
      </c>
      <c r="J399" s="842" t="s">
        <v>22</v>
      </c>
      <c r="K399" s="2377" t="s">
        <v>22</v>
      </c>
      <c r="L399" s="842" t="s">
        <v>22</v>
      </c>
      <c r="M399" s="2942" t="s">
        <v>22</v>
      </c>
      <c r="N399" s="2940" t="s">
        <v>22</v>
      </c>
      <c r="O399" s="2377" t="s">
        <v>22</v>
      </c>
      <c r="P399" s="842" t="s">
        <v>22</v>
      </c>
      <c r="Q399" s="2377" t="s">
        <v>1059</v>
      </c>
      <c r="R399" s="842" t="s">
        <v>22</v>
      </c>
      <c r="S399" s="2377" t="s">
        <v>1059</v>
      </c>
      <c r="T399" s="842" t="s">
        <v>22</v>
      </c>
      <c r="U399" s="2377" t="s">
        <v>22</v>
      </c>
      <c r="V399" s="842" t="s">
        <v>22</v>
      </c>
      <c r="W399" s="2377" t="s">
        <v>22</v>
      </c>
      <c r="X399" s="842" t="s">
        <v>22</v>
      </c>
      <c r="Y399" s="2377" t="s">
        <v>22</v>
      </c>
      <c r="Z399" s="842" t="s">
        <v>22</v>
      </c>
      <c r="AA399" s="2942" t="s">
        <v>22</v>
      </c>
      <c r="AB399" s="2940" t="s">
        <v>22</v>
      </c>
      <c r="AC399" s="2377" t="s">
        <v>22</v>
      </c>
      <c r="AD399" s="842" t="s">
        <v>22</v>
      </c>
      <c r="AE399" s="2377" t="s">
        <v>22</v>
      </c>
      <c r="AF399" s="842" t="s">
        <v>22</v>
      </c>
      <c r="AG399" s="2942" t="s">
        <v>22</v>
      </c>
      <c r="AH399" s="2940" t="s">
        <v>22</v>
      </c>
      <c r="AI399" s="2377" t="s">
        <v>22</v>
      </c>
      <c r="AJ399" s="842" t="s">
        <v>22</v>
      </c>
      <c r="AK399" s="2377" t="s">
        <v>22</v>
      </c>
      <c r="AL399" s="842" t="s">
        <v>22</v>
      </c>
      <c r="AM399" s="1549"/>
      <c r="AN399" s="1659"/>
      <c r="AO399" s="1659"/>
      <c r="AP399" s="1659"/>
      <c r="AQ399" s="1659"/>
      <c r="AR399" s="1659"/>
      <c r="AS399" s="1659"/>
      <c r="AT399" s="1659"/>
      <c r="AU399" s="1659"/>
      <c r="AV399" s="1659"/>
      <c r="AW399" s="699"/>
      <c r="AX399" s="1659">
        <v>0</v>
      </c>
    </row>
    <row s="1874" customFormat="1" customHeight="1" ht="15">
      <c r="A400" s="1659"/>
      <c r="B400" s="2421"/>
      <c r="C400" s="2422"/>
      <c r="D400" s="713" t="str">
        <f>B399&amp;".2"</f>
        <v>3.121.2</v>
      </c>
      <c r="E400" s="1691" t="s">
        <v>1040</v>
      </c>
      <c r="F400" s="2287" t="s">
        <v>390</v>
      </c>
      <c r="G400" s="1762" t="s">
        <v>22</v>
      </c>
      <c r="H400" s="842" t="s">
        <v>22</v>
      </c>
      <c r="I400" s="1762" t="s">
        <v>22</v>
      </c>
      <c r="J400" s="842" t="s">
        <v>22</v>
      </c>
      <c r="K400" s="1762" t="s">
        <v>22</v>
      </c>
      <c r="L400" s="842" t="s">
        <v>22</v>
      </c>
      <c r="M400" s="2943" t="s">
        <v>22</v>
      </c>
      <c r="N400" s="2940" t="s">
        <v>22</v>
      </c>
      <c r="O400" s="1762" t="s">
        <v>22</v>
      </c>
      <c r="P400" s="842" t="s">
        <v>22</v>
      </c>
      <c r="Q400" s="1762">
        <v>46132</v>
      </c>
      <c r="R400" s="842" t="s">
        <v>22</v>
      </c>
      <c r="S400" s="1762">
        <v>46142</v>
      </c>
      <c r="T400" s="842" t="s">
        <v>22</v>
      </c>
      <c r="U400" s="1762" t="s">
        <v>22</v>
      </c>
      <c r="V400" s="842" t="s">
        <v>22</v>
      </c>
      <c r="W400" s="1762" t="s">
        <v>22</v>
      </c>
      <c r="X400" s="842" t="s">
        <v>22</v>
      </c>
      <c r="Y400" s="1762" t="s">
        <v>22</v>
      </c>
      <c r="Z400" s="842" t="s">
        <v>22</v>
      </c>
      <c r="AA400" s="2943" t="s">
        <v>22</v>
      </c>
      <c r="AB400" s="2940" t="s">
        <v>22</v>
      </c>
      <c r="AC400" s="1762" t="s">
        <v>22</v>
      </c>
      <c r="AD400" s="842" t="s">
        <v>22</v>
      </c>
      <c r="AE400" s="1762" t="s">
        <v>22</v>
      </c>
      <c r="AF400" s="842" t="s">
        <v>22</v>
      </c>
      <c r="AG400" s="2943" t="s">
        <v>22</v>
      </c>
      <c r="AH400" s="2940" t="s">
        <v>22</v>
      </c>
      <c r="AI400" s="1762" t="s">
        <v>22</v>
      </c>
      <c r="AJ400" s="842" t="s">
        <v>22</v>
      </c>
      <c r="AK400" s="1762" t="s">
        <v>22</v>
      </c>
      <c r="AL400" s="842" t="s">
        <v>22</v>
      </c>
      <c r="AM400" s="1549" t="s">
        <v>1041</v>
      </c>
      <c r="AN400" s="1659"/>
      <c r="AO400" s="1659"/>
      <c r="AP400" s="1659"/>
      <c r="AQ400" s="1659"/>
      <c r="AR400" s="1659"/>
      <c r="AS400" s="1659"/>
      <c r="AT400" s="1659"/>
      <c r="AU400" s="1659"/>
      <c r="AV400" s="1659"/>
      <c r="AW400" s="699"/>
      <c r="AX400" s="1659">
        <v>0</v>
      </c>
    </row>
    <row s="1874" customFormat="1" customHeight="1" ht="15">
      <c r="A401" s="1659"/>
      <c r="B401" s="2421"/>
      <c r="C401" s="2422"/>
      <c r="D401" s="713" t="str">
        <f>B399&amp;".3"</f>
        <v>3.121.3</v>
      </c>
      <c r="E401" s="1691" t="s">
        <v>1042</v>
      </c>
      <c r="F401" s="2287" t="s">
        <v>390</v>
      </c>
      <c r="G401" s="1762" t="s">
        <v>22</v>
      </c>
      <c r="H401" s="842" t="s">
        <v>22</v>
      </c>
      <c r="I401" s="1762" t="s">
        <v>22</v>
      </c>
      <c r="J401" s="842" t="s">
        <v>22</v>
      </c>
      <c r="K401" s="1762" t="s">
        <v>22</v>
      </c>
      <c r="L401" s="842" t="s">
        <v>22</v>
      </c>
      <c r="M401" s="2943" t="s">
        <v>22</v>
      </c>
      <c r="N401" s="2940" t="s">
        <v>22</v>
      </c>
      <c r="O401" s="1762" t="s">
        <v>22</v>
      </c>
      <c r="P401" s="842" t="s">
        <v>22</v>
      </c>
      <c r="Q401" s="1762" t="s">
        <v>22</v>
      </c>
      <c r="R401" s="842" t="s">
        <v>22</v>
      </c>
      <c r="S401" s="1762"/>
      <c r="T401" s="842" t="s">
        <v>22</v>
      </c>
      <c r="U401" s="1762" t="s">
        <v>22</v>
      </c>
      <c r="V401" s="842" t="s">
        <v>22</v>
      </c>
      <c r="W401" s="1762" t="s">
        <v>22</v>
      </c>
      <c r="X401" s="842" t="s">
        <v>22</v>
      </c>
      <c r="Y401" s="1762" t="s">
        <v>22</v>
      </c>
      <c r="Z401" s="842" t="s">
        <v>22</v>
      </c>
      <c r="AA401" s="2943" t="s">
        <v>22</v>
      </c>
      <c r="AB401" s="2940" t="s">
        <v>22</v>
      </c>
      <c r="AC401" s="1762" t="s">
        <v>22</v>
      </c>
      <c r="AD401" s="842" t="s">
        <v>22</v>
      </c>
      <c r="AE401" s="1762" t="s">
        <v>22</v>
      </c>
      <c r="AF401" s="842" t="s">
        <v>22</v>
      </c>
      <c r="AG401" s="2943" t="s">
        <v>22</v>
      </c>
      <c r="AH401" s="2940" t="s">
        <v>22</v>
      </c>
      <c r="AI401" s="1762" t="s">
        <v>22</v>
      </c>
      <c r="AJ401" s="842" t="s">
        <v>22</v>
      </c>
      <c r="AK401" s="1762" t="s">
        <v>22</v>
      </c>
      <c r="AL401" s="842" t="s">
        <v>22</v>
      </c>
      <c r="AM401" s="1549" t="s">
        <v>1043</v>
      </c>
      <c r="AN401" s="1659"/>
      <c r="AO401" s="1659"/>
      <c r="AP401" s="1659"/>
      <c r="AQ401" s="1659"/>
      <c r="AR401" s="1659"/>
      <c r="AS401" s="1659"/>
      <c r="AT401" s="1659"/>
      <c r="AU401" s="1659"/>
      <c r="AV401" s="1659"/>
      <c r="AW401" s="699"/>
      <c r="AX401" s="1659">
        <v>0</v>
      </c>
    </row>
    <row s="1874" customFormat="1" customHeight="1" ht="22.5">
      <c r="A402" s="1659"/>
      <c r="B402" s="2421" t="s">
        <v>1206</v>
      </c>
      <c r="C402" s="2422" t="s">
        <v>104</v>
      </c>
      <c r="D402" s="713" t="str">
        <f>B402&amp;".1"</f>
        <v>3.122.1</v>
      </c>
      <c r="E402" s="1691" t="s">
        <v>1039</v>
      </c>
      <c r="F402" s="2287" t="s">
        <v>390</v>
      </c>
      <c r="G402" s="2377" t="s">
        <v>22</v>
      </c>
      <c r="H402" s="842" t="s">
        <v>22</v>
      </c>
      <c r="I402" s="2377" t="s">
        <v>22</v>
      </c>
      <c r="J402" s="842" t="s">
        <v>22</v>
      </c>
      <c r="K402" s="2377" t="s">
        <v>22</v>
      </c>
      <c r="L402" s="842" t="s">
        <v>22</v>
      </c>
      <c r="M402" s="2942" t="s">
        <v>22</v>
      </c>
      <c r="N402" s="2940" t="s">
        <v>22</v>
      </c>
      <c r="O402" s="2377" t="s">
        <v>22</v>
      </c>
      <c r="P402" s="842" t="s">
        <v>22</v>
      </c>
      <c r="Q402" s="2377" t="s">
        <v>1059</v>
      </c>
      <c r="R402" s="842" t="s">
        <v>22</v>
      </c>
      <c r="S402" s="2377" t="s">
        <v>1059</v>
      </c>
      <c r="T402" s="842" t="s">
        <v>22</v>
      </c>
      <c r="U402" s="2377" t="s">
        <v>22</v>
      </c>
      <c r="V402" s="842" t="s">
        <v>22</v>
      </c>
      <c r="W402" s="2377" t="s">
        <v>22</v>
      </c>
      <c r="X402" s="842" t="s">
        <v>22</v>
      </c>
      <c r="Y402" s="2377" t="s">
        <v>22</v>
      </c>
      <c r="Z402" s="842" t="s">
        <v>22</v>
      </c>
      <c r="AA402" s="2942" t="s">
        <v>22</v>
      </c>
      <c r="AB402" s="2940" t="s">
        <v>22</v>
      </c>
      <c r="AC402" s="2377" t="s">
        <v>22</v>
      </c>
      <c r="AD402" s="842" t="s">
        <v>22</v>
      </c>
      <c r="AE402" s="2377" t="s">
        <v>22</v>
      </c>
      <c r="AF402" s="842" t="s">
        <v>22</v>
      </c>
      <c r="AG402" s="2942" t="s">
        <v>22</v>
      </c>
      <c r="AH402" s="2940" t="s">
        <v>22</v>
      </c>
      <c r="AI402" s="2377" t="s">
        <v>22</v>
      </c>
      <c r="AJ402" s="842" t="s">
        <v>22</v>
      </c>
      <c r="AK402" s="2377" t="s">
        <v>22</v>
      </c>
      <c r="AL402" s="842" t="s">
        <v>22</v>
      </c>
      <c r="AM402" s="1549"/>
      <c r="AN402" s="1659"/>
      <c r="AO402" s="1659"/>
      <c r="AP402" s="1659"/>
      <c r="AQ402" s="1659"/>
      <c r="AR402" s="1659"/>
      <c r="AS402" s="1659"/>
      <c r="AT402" s="1659"/>
      <c r="AU402" s="1659"/>
      <c r="AV402" s="1659"/>
      <c r="AW402" s="699"/>
      <c r="AX402" s="1659">
        <v>0</v>
      </c>
    </row>
    <row s="1874" customFormat="1" customHeight="1" ht="15">
      <c r="A403" s="1659"/>
      <c r="B403" s="2421"/>
      <c r="C403" s="2422"/>
      <c r="D403" s="713" t="str">
        <f>B402&amp;".2"</f>
        <v>3.122.2</v>
      </c>
      <c r="E403" s="1691" t="s">
        <v>1040</v>
      </c>
      <c r="F403" s="2287" t="s">
        <v>390</v>
      </c>
      <c r="G403" s="1762" t="s">
        <v>22</v>
      </c>
      <c r="H403" s="842" t="s">
        <v>22</v>
      </c>
      <c r="I403" s="1762" t="s">
        <v>22</v>
      </c>
      <c r="J403" s="842" t="s">
        <v>22</v>
      </c>
      <c r="K403" s="1762" t="s">
        <v>22</v>
      </c>
      <c r="L403" s="842" t="s">
        <v>22</v>
      </c>
      <c r="M403" s="2943" t="s">
        <v>22</v>
      </c>
      <c r="N403" s="2940" t="s">
        <v>22</v>
      </c>
      <c r="O403" s="1762" t="s">
        <v>22</v>
      </c>
      <c r="P403" s="842" t="s">
        <v>22</v>
      </c>
      <c r="Q403" s="1762">
        <v>46132</v>
      </c>
      <c r="R403" s="842" t="s">
        <v>22</v>
      </c>
      <c r="S403" s="1762">
        <v>46142</v>
      </c>
      <c r="T403" s="842" t="s">
        <v>22</v>
      </c>
      <c r="U403" s="1762" t="s">
        <v>22</v>
      </c>
      <c r="V403" s="842" t="s">
        <v>22</v>
      </c>
      <c r="W403" s="1762" t="s">
        <v>22</v>
      </c>
      <c r="X403" s="842" t="s">
        <v>22</v>
      </c>
      <c r="Y403" s="1762" t="s">
        <v>22</v>
      </c>
      <c r="Z403" s="842" t="s">
        <v>22</v>
      </c>
      <c r="AA403" s="2943" t="s">
        <v>22</v>
      </c>
      <c r="AB403" s="2940" t="s">
        <v>22</v>
      </c>
      <c r="AC403" s="1762" t="s">
        <v>22</v>
      </c>
      <c r="AD403" s="842" t="s">
        <v>22</v>
      </c>
      <c r="AE403" s="1762" t="s">
        <v>22</v>
      </c>
      <c r="AF403" s="842" t="s">
        <v>22</v>
      </c>
      <c r="AG403" s="2943" t="s">
        <v>22</v>
      </c>
      <c r="AH403" s="2940" t="s">
        <v>22</v>
      </c>
      <c r="AI403" s="1762" t="s">
        <v>22</v>
      </c>
      <c r="AJ403" s="842" t="s">
        <v>22</v>
      </c>
      <c r="AK403" s="1762" t="s">
        <v>22</v>
      </c>
      <c r="AL403" s="842" t="s">
        <v>22</v>
      </c>
      <c r="AM403" s="1549" t="s">
        <v>1041</v>
      </c>
      <c r="AN403" s="1659"/>
      <c r="AO403" s="1659"/>
      <c r="AP403" s="1659"/>
      <c r="AQ403" s="1659"/>
      <c r="AR403" s="1659"/>
      <c r="AS403" s="1659"/>
      <c r="AT403" s="1659"/>
      <c r="AU403" s="1659"/>
      <c r="AV403" s="1659"/>
      <c r="AW403" s="699"/>
      <c r="AX403" s="1659">
        <v>0</v>
      </c>
    </row>
    <row s="1874" customFormat="1" customHeight="1" ht="15">
      <c r="A404" s="1659"/>
      <c r="B404" s="2421"/>
      <c r="C404" s="2422"/>
      <c r="D404" s="713" t="str">
        <f>B402&amp;".3"</f>
        <v>3.122.3</v>
      </c>
      <c r="E404" s="1691" t="s">
        <v>1042</v>
      </c>
      <c r="F404" s="2287" t="s">
        <v>390</v>
      </c>
      <c r="G404" s="1762" t="s">
        <v>22</v>
      </c>
      <c r="H404" s="842" t="s">
        <v>22</v>
      </c>
      <c r="I404" s="1762" t="s">
        <v>22</v>
      </c>
      <c r="J404" s="842" t="s">
        <v>22</v>
      </c>
      <c r="K404" s="1762" t="s">
        <v>22</v>
      </c>
      <c r="L404" s="842" t="s">
        <v>22</v>
      </c>
      <c r="M404" s="2943" t="s">
        <v>22</v>
      </c>
      <c r="N404" s="2940" t="s">
        <v>22</v>
      </c>
      <c r="O404" s="1762" t="s">
        <v>22</v>
      </c>
      <c r="P404" s="842" t="s">
        <v>22</v>
      </c>
      <c r="Q404" s="1762" t="s">
        <v>22</v>
      </c>
      <c r="R404" s="842" t="s">
        <v>22</v>
      </c>
      <c r="S404" s="1762"/>
      <c r="T404" s="842" t="s">
        <v>22</v>
      </c>
      <c r="U404" s="1762" t="s">
        <v>22</v>
      </c>
      <c r="V404" s="842" t="s">
        <v>22</v>
      </c>
      <c r="W404" s="1762" t="s">
        <v>22</v>
      </c>
      <c r="X404" s="842" t="s">
        <v>22</v>
      </c>
      <c r="Y404" s="1762" t="s">
        <v>22</v>
      </c>
      <c r="Z404" s="842" t="s">
        <v>22</v>
      </c>
      <c r="AA404" s="2943" t="s">
        <v>22</v>
      </c>
      <c r="AB404" s="2940" t="s">
        <v>22</v>
      </c>
      <c r="AC404" s="1762" t="s">
        <v>22</v>
      </c>
      <c r="AD404" s="842" t="s">
        <v>22</v>
      </c>
      <c r="AE404" s="1762" t="s">
        <v>22</v>
      </c>
      <c r="AF404" s="842" t="s">
        <v>22</v>
      </c>
      <c r="AG404" s="2943" t="s">
        <v>22</v>
      </c>
      <c r="AH404" s="2940" t="s">
        <v>22</v>
      </c>
      <c r="AI404" s="1762" t="s">
        <v>22</v>
      </c>
      <c r="AJ404" s="842" t="s">
        <v>22</v>
      </c>
      <c r="AK404" s="1762" t="s">
        <v>22</v>
      </c>
      <c r="AL404" s="842" t="s">
        <v>22</v>
      </c>
      <c r="AM404" s="1549" t="s">
        <v>1043</v>
      </c>
      <c r="AN404" s="1659"/>
      <c r="AO404" s="1659"/>
      <c r="AP404" s="1659"/>
      <c r="AQ404" s="1659"/>
      <c r="AR404" s="1659"/>
      <c r="AS404" s="1659"/>
      <c r="AT404" s="1659"/>
      <c r="AU404" s="1659"/>
      <c r="AV404" s="1659"/>
      <c r="AW404" s="699"/>
      <c r="AX404" s="1659">
        <v>0</v>
      </c>
    </row>
    <row s="1874" customFormat="1" customHeight="1" ht="22.5">
      <c r="A405" s="1659"/>
      <c r="B405" s="2421" t="s">
        <v>1207</v>
      </c>
      <c r="C405" s="2422" t="s">
        <v>104</v>
      </c>
      <c r="D405" s="713" t="str">
        <f>B405&amp;".1"</f>
        <v>3.123.1</v>
      </c>
      <c r="E405" s="1691" t="s">
        <v>1039</v>
      </c>
      <c r="F405" s="2287" t="s">
        <v>390</v>
      </c>
      <c r="G405" s="2377" t="s">
        <v>22</v>
      </c>
      <c r="H405" s="842" t="s">
        <v>22</v>
      </c>
      <c r="I405" s="2377" t="s">
        <v>22</v>
      </c>
      <c r="J405" s="842" t="s">
        <v>22</v>
      </c>
      <c r="K405" s="2377" t="s">
        <v>22</v>
      </c>
      <c r="L405" s="842" t="s">
        <v>22</v>
      </c>
      <c r="M405" s="2942" t="s">
        <v>22</v>
      </c>
      <c r="N405" s="2940" t="s">
        <v>22</v>
      </c>
      <c r="O405" s="2377" t="s">
        <v>22</v>
      </c>
      <c r="P405" s="842" t="s">
        <v>22</v>
      </c>
      <c r="Q405" s="2377" t="s">
        <v>1059</v>
      </c>
      <c r="R405" s="842" t="s">
        <v>22</v>
      </c>
      <c r="S405" s="2377" t="s">
        <v>1059</v>
      </c>
      <c r="T405" s="842" t="s">
        <v>22</v>
      </c>
      <c r="U405" s="2377" t="s">
        <v>22</v>
      </c>
      <c r="V405" s="842" t="s">
        <v>22</v>
      </c>
      <c r="W405" s="2377" t="s">
        <v>22</v>
      </c>
      <c r="X405" s="842" t="s">
        <v>22</v>
      </c>
      <c r="Y405" s="2377" t="s">
        <v>22</v>
      </c>
      <c r="Z405" s="842" t="s">
        <v>22</v>
      </c>
      <c r="AA405" s="2942" t="s">
        <v>22</v>
      </c>
      <c r="AB405" s="2940" t="s">
        <v>22</v>
      </c>
      <c r="AC405" s="2377" t="s">
        <v>22</v>
      </c>
      <c r="AD405" s="842" t="s">
        <v>22</v>
      </c>
      <c r="AE405" s="2377" t="s">
        <v>22</v>
      </c>
      <c r="AF405" s="842" t="s">
        <v>22</v>
      </c>
      <c r="AG405" s="2942" t="s">
        <v>22</v>
      </c>
      <c r="AH405" s="2940" t="s">
        <v>22</v>
      </c>
      <c r="AI405" s="2377" t="s">
        <v>22</v>
      </c>
      <c r="AJ405" s="842" t="s">
        <v>22</v>
      </c>
      <c r="AK405" s="2377" t="s">
        <v>22</v>
      </c>
      <c r="AL405" s="842" t="s">
        <v>22</v>
      </c>
      <c r="AM405" s="1549"/>
      <c r="AN405" s="1659"/>
      <c r="AO405" s="1659"/>
      <c r="AP405" s="1659"/>
      <c r="AQ405" s="1659"/>
      <c r="AR405" s="1659"/>
      <c r="AS405" s="1659"/>
      <c r="AT405" s="1659"/>
      <c r="AU405" s="1659"/>
      <c r="AV405" s="1659"/>
      <c r="AW405" s="699"/>
      <c r="AX405" s="1659">
        <v>0</v>
      </c>
    </row>
    <row s="1874" customFormat="1" customHeight="1" ht="15">
      <c r="A406" s="1659"/>
      <c r="B406" s="2421"/>
      <c r="C406" s="2422"/>
      <c r="D406" s="713" t="str">
        <f>B405&amp;".2"</f>
        <v>3.123.2</v>
      </c>
      <c r="E406" s="1691" t="s">
        <v>1040</v>
      </c>
      <c r="F406" s="2287" t="s">
        <v>390</v>
      </c>
      <c r="G406" s="1762" t="s">
        <v>22</v>
      </c>
      <c r="H406" s="842" t="s">
        <v>22</v>
      </c>
      <c r="I406" s="1762" t="s">
        <v>22</v>
      </c>
      <c r="J406" s="842" t="s">
        <v>22</v>
      </c>
      <c r="K406" s="1762" t="s">
        <v>22</v>
      </c>
      <c r="L406" s="842" t="s">
        <v>22</v>
      </c>
      <c r="M406" s="2943" t="s">
        <v>22</v>
      </c>
      <c r="N406" s="2940" t="s">
        <v>22</v>
      </c>
      <c r="O406" s="1762" t="s">
        <v>22</v>
      </c>
      <c r="P406" s="842" t="s">
        <v>22</v>
      </c>
      <c r="Q406" s="1762">
        <v>46132</v>
      </c>
      <c r="R406" s="842" t="s">
        <v>22</v>
      </c>
      <c r="S406" s="1762">
        <v>46142</v>
      </c>
      <c r="T406" s="842" t="s">
        <v>22</v>
      </c>
      <c r="U406" s="1762" t="s">
        <v>22</v>
      </c>
      <c r="V406" s="842" t="s">
        <v>22</v>
      </c>
      <c r="W406" s="1762" t="s">
        <v>22</v>
      </c>
      <c r="X406" s="842" t="s">
        <v>22</v>
      </c>
      <c r="Y406" s="1762" t="s">
        <v>22</v>
      </c>
      <c r="Z406" s="842" t="s">
        <v>22</v>
      </c>
      <c r="AA406" s="2943" t="s">
        <v>22</v>
      </c>
      <c r="AB406" s="2940" t="s">
        <v>22</v>
      </c>
      <c r="AC406" s="1762" t="s">
        <v>22</v>
      </c>
      <c r="AD406" s="842" t="s">
        <v>22</v>
      </c>
      <c r="AE406" s="1762" t="s">
        <v>22</v>
      </c>
      <c r="AF406" s="842" t="s">
        <v>22</v>
      </c>
      <c r="AG406" s="2943" t="s">
        <v>22</v>
      </c>
      <c r="AH406" s="2940" t="s">
        <v>22</v>
      </c>
      <c r="AI406" s="1762" t="s">
        <v>22</v>
      </c>
      <c r="AJ406" s="842" t="s">
        <v>22</v>
      </c>
      <c r="AK406" s="1762" t="s">
        <v>22</v>
      </c>
      <c r="AL406" s="842" t="s">
        <v>22</v>
      </c>
      <c r="AM406" s="1549" t="s">
        <v>1041</v>
      </c>
      <c r="AN406" s="1659"/>
      <c r="AO406" s="1659"/>
      <c r="AP406" s="1659"/>
      <c r="AQ406" s="1659"/>
      <c r="AR406" s="1659"/>
      <c r="AS406" s="1659"/>
      <c r="AT406" s="1659"/>
      <c r="AU406" s="1659"/>
      <c r="AV406" s="1659"/>
      <c r="AW406" s="699"/>
      <c r="AX406" s="1659">
        <v>0</v>
      </c>
    </row>
    <row s="1874" customFormat="1" customHeight="1" ht="15">
      <c r="A407" s="1659"/>
      <c r="B407" s="2421"/>
      <c r="C407" s="2422"/>
      <c r="D407" s="713" t="str">
        <f>B405&amp;".3"</f>
        <v>3.123.3</v>
      </c>
      <c r="E407" s="1691" t="s">
        <v>1042</v>
      </c>
      <c r="F407" s="2287" t="s">
        <v>390</v>
      </c>
      <c r="G407" s="1762" t="s">
        <v>22</v>
      </c>
      <c r="H407" s="842" t="s">
        <v>22</v>
      </c>
      <c r="I407" s="1762" t="s">
        <v>22</v>
      </c>
      <c r="J407" s="842" t="s">
        <v>22</v>
      </c>
      <c r="K407" s="1762" t="s">
        <v>22</v>
      </c>
      <c r="L407" s="842" t="s">
        <v>22</v>
      </c>
      <c r="M407" s="2943" t="s">
        <v>22</v>
      </c>
      <c r="N407" s="2940" t="s">
        <v>22</v>
      </c>
      <c r="O407" s="1762" t="s">
        <v>22</v>
      </c>
      <c r="P407" s="842" t="s">
        <v>22</v>
      </c>
      <c r="Q407" s="1762" t="s">
        <v>22</v>
      </c>
      <c r="R407" s="842" t="s">
        <v>22</v>
      </c>
      <c r="S407" s="1762"/>
      <c r="T407" s="842" t="s">
        <v>22</v>
      </c>
      <c r="U407" s="1762" t="s">
        <v>22</v>
      </c>
      <c r="V407" s="842" t="s">
        <v>22</v>
      </c>
      <c r="W407" s="1762" t="s">
        <v>22</v>
      </c>
      <c r="X407" s="842" t="s">
        <v>22</v>
      </c>
      <c r="Y407" s="1762" t="s">
        <v>22</v>
      </c>
      <c r="Z407" s="842" t="s">
        <v>22</v>
      </c>
      <c r="AA407" s="2943" t="s">
        <v>22</v>
      </c>
      <c r="AB407" s="2940" t="s">
        <v>22</v>
      </c>
      <c r="AC407" s="1762" t="s">
        <v>22</v>
      </c>
      <c r="AD407" s="842" t="s">
        <v>22</v>
      </c>
      <c r="AE407" s="1762" t="s">
        <v>22</v>
      </c>
      <c r="AF407" s="842" t="s">
        <v>22</v>
      </c>
      <c r="AG407" s="2943" t="s">
        <v>22</v>
      </c>
      <c r="AH407" s="2940" t="s">
        <v>22</v>
      </c>
      <c r="AI407" s="1762" t="s">
        <v>22</v>
      </c>
      <c r="AJ407" s="842" t="s">
        <v>22</v>
      </c>
      <c r="AK407" s="1762" t="s">
        <v>22</v>
      </c>
      <c r="AL407" s="842" t="s">
        <v>22</v>
      </c>
      <c r="AM407" s="1549" t="s">
        <v>1043</v>
      </c>
      <c r="AN407" s="1659"/>
      <c r="AO407" s="1659"/>
      <c r="AP407" s="1659"/>
      <c r="AQ407" s="1659"/>
      <c r="AR407" s="1659"/>
      <c r="AS407" s="1659"/>
      <c r="AT407" s="1659"/>
      <c r="AU407" s="1659"/>
      <c r="AV407" s="1659"/>
      <c r="AW407" s="699"/>
      <c r="AX407" s="1659">
        <v>0</v>
      </c>
    </row>
    <row s="1874" customFormat="1" customHeight="1" ht="22.5">
      <c r="A408" s="1659"/>
      <c r="B408" s="2421" t="s">
        <v>1208</v>
      </c>
      <c r="C408" s="2422" t="s">
        <v>104</v>
      </c>
      <c r="D408" s="713" t="str">
        <f>B408&amp;".1"</f>
        <v>3.124.1</v>
      </c>
      <c r="E408" s="1691" t="s">
        <v>1039</v>
      </c>
      <c r="F408" s="2287" t="s">
        <v>390</v>
      </c>
      <c r="G408" s="2377" t="s">
        <v>22</v>
      </c>
      <c r="H408" s="842" t="s">
        <v>22</v>
      </c>
      <c r="I408" s="2377" t="s">
        <v>22</v>
      </c>
      <c r="J408" s="842" t="s">
        <v>22</v>
      </c>
      <c r="K408" s="2377" t="s">
        <v>22</v>
      </c>
      <c r="L408" s="842" t="s">
        <v>22</v>
      </c>
      <c r="M408" s="2942" t="s">
        <v>22</v>
      </c>
      <c r="N408" s="2940" t="s">
        <v>22</v>
      </c>
      <c r="O408" s="2377" t="s">
        <v>22</v>
      </c>
      <c r="P408" s="842" t="s">
        <v>22</v>
      </c>
      <c r="Q408" s="2377" t="s">
        <v>1059</v>
      </c>
      <c r="R408" s="842" t="s">
        <v>22</v>
      </c>
      <c r="S408" s="2377" t="s">
        <v>1209</v>
      </c>
      <c r="T408" s="842" t="s">
        <v>22</v>
      </c>
      <c r="U408" s="2377" t="s">
        <v>22</v>
      </c>
      <c r="V408" s="842" t="s">
        <v>22</v>
      </c>
      <c r="W408" s="2377" t="s">
        <v>22</v>
      </c>
      <c r="X408" s="842" t="s">
        <v>22</v>
      </c>
      <c r="Y408" s="2377" t="s">
        <v>22</v>
      </c>
      <c r="Z408" s="842" t="s">
        <v>22</v>
      </c>
      <c r="AA408" s="2942" t="s">
        <v>22</v>
      </c>
      <c r="AB408" s="2940" t="s">
        <v>22</v>
      </c>
      <c r="AC408" s="2377" t="s">
        <v>22</v>
      </c>
      <c r="AD408" s="842" t="s">
        <v>22</v>
      </c>
      <c r="AE408" s="2377" t="s">
        <v>22</v>
      </c>
      <c r="AF408" s="842" t="s">
        <v>22</v>
      </c>
      <c r="AG408" s="2942" t="s">
        <v>22</v>
      </c>
      <c r="AH408" s="2940" t="s">
        <v>22</v>
      </c>
      <c r="AI408" s="2377" t="s">
        <v>22</v>
      </c>
      <c r="AJ408" s="842" t="s">
        <v>22</v>
      </c>
      <c r="AK408" s="2377" t="s">
        <v>22</v>
      </c>
      <c r="AL408" s="842" t="s">
        <v>22</v>
      </c>
      <c r="AM408" s="1549"/>
      <c r="AN408" s="1659"/>
      <c r="AO408" s="1659"/>
      <c r="AP408" s="1659"/>
      <c r="AQ408" s="1659"/>
      <c r="AR408" s="1659"/>
      <c r="AS408" s="1659"/>
      <c r="AT408" s="1659"/>
      <c r="AU408" s="1659"/>
      <c r="AV408" s="1659"/>
      <c r="AW408" s="699"/>
      <c r="AX408" s="1659">
        <v>0</v>
      </c>
    </row>
    <row s="1874" customFormat="1" customHeight="1" ht="15">
      <c r="A409" s="1659"/>
      <c r="B409" s="2421"/>
      <c r="C409" s="2422"/>
      <c r="D409" s="713" t="str">
        <f>B408&amp;".2"</f>
        <v>3.124.2</v>
      </c>
      <c r="E409" s="1691" t="s">
        <v>1040</v>
      </c>
      <c r="F409" s="2287" t="s">
        <v>390</v>
      </c>
      <c r="G409" s="1762" t="s">
        <v>22</v>
      </c>
      <c r="H409" s="842" t="s">
        <v>22</v>
      </c>
      <c r="I409" s="1762" t="s">
        <v>22</v>
      </c>
      <c r="J409" s="842" t="s">
        <v>22</v>
      </c>
      <c r="K409" s="1762" t="s">
        <v>22</v>
      </c>
      <c r="L409" s="842" t="s">
        <v>22</v>
      </c>
      <c r="M409" s="2943" t="s">
        <v>22</v>
      </c>
      <c r="N409" s="2940" t="s">
        <v>22</v>
      </c>
      <c r="O409" s="1762" t="s">
        <v>22</v>
      </c>
      <c r="P409" s="842" t="s">
        <v>22</v>
      </c>
      <c r="Q409" s="1762">
        <v>46132</v>
      </c>
      <c r="R409" s="842" t="s">
        <v>22</v>
      </c>
      <c r="S409" s="1762">
        <v>46147</v>
      </c>
      <c r="T409" s="842" t="s">
        <v>22</v>
      </c>
      <c r="U409" s="1762" t="s">
        <v>22</v>
      </c>
      <c r="V409" s="842" t="s">
        <v>22</v>
      </c>
      <c r="W409" s="1762" t="s">
        <v>22</v>
      </c>
      <c r="X409" s="842" t="s">
        <v>22</v>
      </c>
      <c r="Y409" s="1762" t="s">
        <v>22</v>
      </c>
      <c r="Z409" s="842" t="s">
        <v>22</v>
      </c>
      <c r="AA409" s="2943" t="s">
        <v>22</v>
      </c>
      <c r="AB409" s="2940" t="s">
        <v>22</v>
      </c>
      <c r="AC409" s="1762" t="s">
        <v>22</v>
      </c>
      <c r="AD409" s="842" t="s">
        <v>22</v>
      </c>
      <c r="AE409" s="1762" t="s">
        <v>22</v>
      </c>
      <c r="AF409" s="842" t="s">
        <v>22</v>
      </c>
      <c r="AG409" s="2943" t="s">
        <v>22</v>
      </c>
      <c r="AH409" s="2940" t="s">
        <v>22</v>
      </c>
      <c r="AI409" s="1762" t="s">
        <v>22</v>
      </c>
      <c r="AJ409" s="842" t="s">
        <v>22</v>
      </c>
      <c r="AK409" s="1762" t="s">
        <v>22</v>
      </c>
      <c r="AL409" s="842" t="s">
        <v>22</v>
      </c>
      <c r="AM409" s="1549" t="s">
        <v>1041</v>
      </c>
      <c r="AN409" s="1659"/>
      <c r="AO409" s="1659"/>
      <c r="AP409" s="1659"/>
      <c r="AQ409" s="1659"/>
      <c r="AR409" s="1659"/>
      <c r="AS409" s="1659"/>
      <c r="AT409" s="1659"/>
      <c r="AU409" s="1659"/>
      <c r="AV409" s="1659"/>
      <c r="AW409" s="699"/>
      <c r="AX409" s="1659">
        <v>0</v>
      </c>
    </row>
    <row s="1874" customFormat="1" customHeight="1" ht="15">
      <c r="A410" s="1659"/>
      <c r="B410" s="2421"/>
      <c r="C410" s="2422"/>
      <c r="D410" s="713" t="str">
        <f>B408&amp;".3"</f>
        <v>3.124.3</v>
      </c>
      <c r="E410" s="1691" t="s">
        <v>1042</v>
      </c>
      <c r="F410" s="2287" t="s">
        <v>390</v>
      </c>
      <c r="G410" s="1762" t="s">
        <v>22</v>
      </c>
      <c r="H410" s="842" t="s">
        <v>22</v>
      </c>
      <c r="I410" s="1762" t="s">
        <v>22</v>
      </c>
      <c r="J410" s="842" t="s">
        <v>22</v>
      </c>
      <c r="K410" s="1762" t="s">
        <v>22</v>
      </c>
      <c r="L410" s="842" t="s">
        <v>22</v>
      </c>
      <c r="M410" s="2943" t="s">
        <v>22</v>
      </c>
      <c r="N410" s="2940" t="s">
        <v>22</v>
      </c>
      <c r="O410" s="1762" t="s">
        <v>22</v>
      </c>
      <c r="P410" s="842" t="s">
        <v>22</v>
      </c>
      <c r="Q410" s="1762" t="s">
        <v>22</v>
      </c>
      <c r="R410" s="842" t="s">
        <v>22</v>
      </c>
      <c r="S410" s="1762"/>
      <c r="T410" s="842" t="s">
        <v>22</v>
      </c>
      <c r="U410" s="1762" t="s">
        <v>22</v>
      </c>
      <c r="V410" s="842" t="s">
        <v>22</v>
      </c>
      <c r="W410" s="1762" t="s">
        <v>22</v>
      </c>
      <c r="X410" s="842" t="s">
        <v>22</v>
      </c>
      <c r="Y410" s="1762" t="s">
        <v>22</v>
      </c>
      <c r="Z410" s="842" t="s">
        <v>22</v>
      </c>
      <c r="AA410" s="2943" t="s">
        <v>22</v>
      </c>
      <c r="AB410" s="2940" t="s">
        <v>22</v>
      </c>
      <c r="AC410" s="1762" t="s">
        <v>22</v>
      </c>
      <c r="AD410" s="842" t="s">
        <v>22</v>
      </c>
      <c r="AE410" s="1762" t="s">
        <v>22</v>
      </c>
      <c r="AF410" s="842" t="s">
        <v>22</v>
      </c>
      <c r="AG410" s="2943" t="s">
        <v>22</v>
      </c>
      <c r="AH410" s="2940" t="s">
        <v>22</v>
      </c>
      <c r="AI410" s="1762" t="s">
        <v>22</v>
      </c>
      <c r="AJ410" s="842" t="s">
        <v>22</v>
      </c>
      <c r="AK410" s="1762" t="s">
        <v>22</v>
      </c>
      <c r="AL410" s="842" t="s">
        <v>22</v>
      </c>
      <c r="AM410" s="1549" t="s">
        <v>1043</v>
      </c>
      <c r="AN410" s="1659"/>
      <c r="AO410" s="1659"/>
      <c r="AP410" s="1659"/>
      <c r="AQ410" s="1659"/>
      <c r="AR410" s="1659"/>
      <c r="AS410" s="1659"/>
      <c r="AT410" s="1659"/>
      <c r="AU410" s="1659"/>
      <c r="AV410" s="1659"/>
      <c r="AW410" s="699"/>
      <c r="AX410" s="1659">
        <v>0</v>
      </c>
    </row>
    <row s="1874" customFormat="1" customHeight="1" ht="22.5">
      <c r="A411" s="1659"/>
      <c r="B411" s="2421" t="s">
        <v>1210</v>
      </c>
      <c r="C411" s="2422" t="s">
        <v>104</v>
      </c>
      <c r="D411" s="713" t="str">
        <f>B411&amp;".1"</f>
        <v>3.125.1</v>
      </c>
      <c r="E411" s="1691" t="s">
        <v>1039</v>
      </c>
      <c r="F411" s="2287" t="s">
        <v>390</v>
      </c>
      <c r="G411" s="2377" t="s">
        <v>22</v>
      </c>
      <c r="H411" s="842" t="s">
        <v>22</v>
      </c>
      <c r="I411" s="2377" t="s">
        <v>22</v>
      </c>
      <c r="J411" s="842" t="s">
        <v>22</v>
      </c>
      <c r="K411" s="2377" t="s">
        <v>22</v>
      </c>
      <c r="L411" s="842" t="s">
        <v>22</v>
      </c>
      <c r="M411" s="2942" t="s">
        <v>22</v>
      </c>
      <c r="N411" s="2940" t="s">
        <v>22</v>
      </c>
      <c r="O411" s="2377" t="s">
        <v>22</v>
      </c>
      <c r="P411" s="842" t="s">
        <v>22</v>
      </c>
      <c r="Q411" s="2377" t="s">
        <v>1059</v>
      </c>
      <c r="R411" s="842" t="s">
        <v>22</v>
      </c>
      <c r="S411" s="2377" t="s">
        <v>1059</v>
      </c>
      <c r="T411" s="842" t="s">
        <v>22</v>
      </c>
      <c r="U411" s="2377" t="s">
        <v>22</v>
      </c>
      <c r="V411" s="842" t="s">
        <v>22</v>
      </c>
      <c r="W411" s="2377" t="s">
        <v>22</v>
      </c>
      <c r="X411" s="842" t="s">
        <v>22</v>
      </c>
      <c r="Y411" s="2377" t="s">
        <v>22</v>
      </c>
      <c r="Z411" s="842" t="s">
        <v>22</v>
      </c>
      <c r="AA411" s="2942" t="s">
        <v>22</v>
      </c>
      <c r="AB411" s="2940" t="s">
        <v>22</v>
      </c>
      <c r="AC411" s="2377" t="s">
        <v>22</v>
      </c>
      <c r="AD411" s="842" t="s">
        <v>22</v>
      </c>
      <c r="AE411" s="2377" t="s">
        <v>22</v>
      </c>
      <c r="AF411" s="842" t="s">
        <v>22</v>
      </c>
      <c r="AG411" s="2942" t="s">
        <v>22</v>
      </c>
      <c r="AH411" s="2940" t="s">
        <v>22</v>
      </c>
      <c r="AI411" s="2377" t="s">
        <v>22</v>
      </c>
      <c r="AJ411" s="842" t="s">
        <v>22</v>
      </c>
      <c r="AK411" s="2377" t="s">
        <v>22</v>
      </c>
      <c r="AL411" s="842" t="s">
        <v>22</v>
      </c>
      <c r="AM411" s="1549"/>
      <c r="AN411" s="1659"/>
      <c r="AO411" s="1659"/>
      <c r="AP411" s="1659"/>
      <c r="AQ411" s="1659"/>
      <c r="AR411" s="1659"/>
      <c r="AS411" s="1659"/>
      <c r="AT411" s="1659"/>
      <c r="AU411" s="1659"/>
      <c r="AV411" s="1659"/>
      <c r="AW411" s="699"/>
      <c r="AX411" s="1659">
        <v>0</v>
      </c>
    </row>
    <row s="1874" customFormat="1" customHeight="1" ht="15">
      <c r="A412" s="1659"/>
      <c r="B412" s="2421"/>
      <c r="C412" s="2422"/>
      <c r="D412" s="713" t="str">
        <f>B411&amp;".2"</f>
        <v>3.125.2</v>
      </c>
      <c r="E412" s="1691" t="s">
        <v>1040</v>
      </c>
      <c r="F412" s="2287" t="s">
        <v>390</v>
      </c>
      <c r="G412" s="1762" t="s">
        <v>22</v>
      </c>
      <c r="H412" s="842" t="s">
        <v>22</v>
      </c>
      <c r="I412" s="1762" t="s">
        <v>22</v>
      </c>
      <c r="J412" s="842" t="s">
        <v>22</v>
      </c>
      <c r="K412" s="1762" t="s">
        <v>22</v>
      </c>
      <c r="L412" s="842" t="s">
        <v>22</v>
      </c>
      <c r="M412" s="2943" t="s">
        <v>22</v>
      </c>
      <c r="N412" s="2940" t="s">
        <v>22</v>
      </c>
      <c r="O412" s="1762" t="s">
        <v>22</v>
      </c>
      <c r="P412" s="842" t="s">
        <v>22</v>
      </c>
      <c r="Q412" s="1762">
        <v>46132</v>
      </c>
      <c r="R412" s="842" t="s">
        <v>22</v>
      </c>
      <c r="S412" s="1762">
        <v>46148</v>
      </c>
      <c r="T412" s="842" t="s">
        <v>22</v>
      </c>
      <c r="U412" s="1762" t="s">
        <v>22</v>
      </c>
      <c r="V412" s="842" t="s">
        <v>22</v>
      </c>
      <c r="W412" s="1762" t="s">
        <v>22</v>
      </c>
      <c r="X412" s="842" t="s">
        <v>22</v>
      </c>
      <c r="Y412" s="1762" t="s">
        <v>22</v>
      </c>
      <c r="Z412" s="842" t="s">
        <v>22</v>
      </c>
      <c r="AA412" s="2943" t="s">
        <v>22</v>
      </c>
      <c r="AB412" s="2940" t="s">
        <v>22</v>
      </c>
      <c r="AC412" s="1762" t="s">
        <v>22</v>
      </c>
      <c r="AD412" s="842" t="s">
        <v>22</v>
      </c>
      <c r="AE412" s="1762" t="s">
        <v>22</v>
      </c>
      <c r="AF412" s="842" t="s">
        <v>22</v>
      </c>
      <c r="AG412" s="2943" t="s">
        <v>22</v>
      </c>
      <c r="AH412" s="2940" t="s">
        <v>22</v>
      </c>
      <c r="AI412" s="1762" t="s">
        <v>22</v>
      </c>
      <c r="AJ412" s="842" t="s">
        <v>22</v>
      </c>
      <c r="AK412" s="1762" t="s">
        <v>22</v>
      </c>
      <c r="AL412" s="842" t="s">
        <v>22</v>
      </c>
      <c r="AM412" s="1549" t="s">
        <v>1041</v>
      </c>
      <c r="AN412" s="1659"/>
      <c r="AO412" s="1659"/>
      <c r="AP412" s="1659"/>
      <c r="AQ412" s="1659"/>
      <c r="AR412" s="1659"/>
      <c r="AS412" s="1659"/>
      <c r="AT412" s="1659"/>
      <c r="AU412" s="1659"/>
      <c r="AV412" s="1659"/>
      <c r="AW412" s="699"/>
      <c r="AX412" s="1659">
        <v>0</v>
      </c>
    </row>
    <row s="1874" customFormat="1" customHeight="1" ht="15">
      <c r="A413" s="1659"/>
      <c r="B413" s="2421"/>
      <c r="C413" s="2422"/>
      <c r="D413" s="713" t="str">
        <f>B411&amp;".3"</f>
        <v>3.125.3</v>
      </c>
      <c r="E413" s="1691" t="s">
        <v>1042</v>
      </c>
      <c r="F413" s="2287" t="s">
        <v>390</v>
      </c>
      <c r="G413" s="1762" t="s">
        <v>22</v>
      </c>
      <c r="H413" s="842" t="s">
        <v>22</v>
      </c>
      <c r="I413" s="1762" t="s">
        <v>22</v>
      </c>
      <c r="J413" s="842" t="s">
        <v>22</v>
      </c>
      <c r="K413" s="1762" t="s">
        <v>22</v>
      </c>
      <c r="L413" s="842" t="s">
        <v>22</v>
      </c>
      <c r="M413" s="2943" t="s">
        <v>22</v>
      </c>
      <c r="N413" s="2940" t="s">
        <v>22</v>
      </c>
      <c r="O413" s="1762" t="s">
        <v>22</v>
      </c>
      <c r="P413" s="842" t="s">
        <v>22</v>
      </c>
      <c r="Q413" s="1762" t="s">
        <v>22</v>
      </c>
      <c r="R413" s="842" t="s">
        <v>22</v>
      </c>
      <c r="S413" s="1762"/>
      <c r="T413" s="842" t="s">
        <v>22</v>
      </c>
      <c r="U413" s="1762" t="s">
        <v>22</v>
      </c>
      <c r="V413" s="842" t="s">
        <v>22</v>
      </c>
      <c r="W413" s="1762" t="s">
        <v>22</v>
      </c>
      <c r="X413" s="842" t="s">
        <v>22</v>
      </c>
      <c r="Y413" s="1762" t="s">
        <v>22</v>
      </c>
      <c r="Z413" s="842" t="s">
        <v>22</v>
      </c>
      <c r="AA413" s="2943" t="s">
        <v>22</v>
      </c>
      <c r="AB413" s="2940" t="s">
        <v>22</v>
      </c>
      <c r="AC413" s="1762" t="s">
        <v>22</v>
      </c>
      <c r="AD413" s="842" t="s">
        <v>22</v>
      </c>
      <c r="AE413" s="1762" t="s">
        <v>22</v>
      </c>
      <c r="AF413" s="842" t="s">
        <v>22</v>
      </c>
      <c r="AG413" s="2943" t="s">
        <v>22</v>
      </c>
      <c r="AH413" s="2940" t="s">
        <v>22</v>
      </c>
      <c r="AI413" s="1762" t="s">
        <v>22</v>
      </c>
      <c r="AJ413" s="842" t="s">
        <v>22</v>
      </c>
      <c r="AK413" s="1762" t="s">
        <v>22</v>
      </c>
      <c r="AL413" s="842" t="s">
        <v>22</v>
      </c>
      <c r="AM413" s="1549" t="s">
        <v>1043</v>
      </c>
      <c r="AN413" s="1659"/>
      <c r="AO413" s="1659"/>
      <c r="AP413" s="1659"/>
      <c r="AQ413" s="1659"/>
      <c r="AR413" s="1659"/>
      <c r="AS413" s="1659"/>
      <c r="AT413" s="1659"/>
      <c r="AU413" s="1659"/>
      <c r="AV413" s="1659"/>
      <c r="AW413" s="699"/>
      <c r="AX413" s="1659">
        <v>0</v>
      </c>
    </row>
    <row s="1874" customFormat="1" customHeight="1" ht="22.5">
      <c r="A414" s="1659"/>
      <c r="B414" s="2421" t="s">
        <v>1211</v>
      </c>
      <c r="C414" s="2422" t="s">
        <v>104</v>
      </c>
      <c r="D414" s="713" t="str">
        <f>B414&amp;".1"</f>
        <v>3.126.1</v>
      </c>
      <c r="E414" s="1691" t="s">
        <v>1039</v>
      </c>
      <c r="F414" s="2287" t="s">
        <v>390</v>
      </c>
      <c r="G414" s="2377" t="s">
        <v>22</v>
      </c>
      <c r="H414" s="842" t="s">
        <v>22</v>
      </c>
      <c r="I414" s="2377" t="s">
        <v>22</v>
      </c>
      <c r="J414" s="842" t="s">
        <v>22</v>
      </c>
      <c r="K414" s="2377" t="s">
        <v>22</v>
      </c>
      <c r="L414" s="842" t="s">
        <v>22</v>
      </c>
      <c r="M414" s="2942" t="s">
        <v>22</v>
      </c>
      <c r="N414" s="2940" t="s">
        <v>22</v>
      </c>
      <c r="O414" s="2377" t="s">
        <v>22</v>
      </c>
      <c r="P414" s="842" t="s">
        <v>22</v>
      </c>
      <c r="Q414" s="2377" t="s">
        <v>1059</v>
      </c>
      <c r="R414" s="842" t="s">
        <v>22</v>
      </c>
      <c r="S414" s="2377"/>
      <c r="T414" s="842" t="s">
        <v>22</v>
      </c>
      <c r="U414" s="2377" t="s">
        <v>22</v>
      </c>
      <c r="V414" s="842" t="s">
        <v>22</v>
      </c>
      <c r="W414" s="2377" t="s">
        <v>22</v>
      </c>
      <c r="X414" s="842" t="s">
        <v>22</v>
      </c>
      <c r="Y414" s="2377" t="s">
        <v>22</v>
      </c>
      <c r="Z414" s="842" t="s">
        <v>22</v>
      </c>
      <c r="AA414" s="2942" t="s">
        <v>22</v>
      </c>
      <c r="AB414" s="2940" t="s">
        <v>22</v>
      </c>
      <c r="AC414" s="2377" t="s">
        <v>22</v>
      </c>
      <c r="AD414" s="842" t="s">
        <v>22</v>
      </c>
      <c r="AE414" s="2377" t="s">
        <v>22</v>
      </c>
      <c r="AF414" s="842" t="s">
        <v>22</v>
      </c>
      <c r="AG414" s="2942" t="s">
        <v>22</v>
      </c>
      <c r="AH414" s="2940" t="s">
        <v>22</v>
      </c>
      <c r="AI414" s="2377" t="s">
        <v>22</v>
      </c>
      <c r="AJ414" s="842" t="s">
        <v>22</v>
      </c>
      <c r="AK414" s="2377" t="s">
        <v>22</v>
      </c>
      <c r="AL414" s="842" t="s">
        <v>22</v>
      </c>
      <c r="AM414" s="1549"/>
      <c r="AN414" s="1659"/>
      <c r="AO414" s="1659"/>
      <c r="AP414" s="1659"/>
      <c r="AQ414" s="1659"/>
      <c r="AR414" s="1659"/>
      <c r="AS414" s="1659"/>
      <c r="AT414" s="1659"/>
      <c r="AU414" s="1659"/>
      <c r="AV414" s="1659"/>
      <c r="AW414" s="699"/>
      <c r="AX414" s="1659">
        <v>0</v>
      </c>
    </row>
    <row s="1874" customFormat="1" customHeight="1" ht="15">
      <c r="A415" s="1659"/>
      <c r="B415" s="2421"/>
      <c r="C415" s="2422"/>
      <c r="D415" s="713" t="str">
        <f>B414&amp;".2"</f>
        <v>3.126.2</v>
      </c>
      <c r="E415" s="1691" t="s">
        <v>1040</v>
      </c>
      <c r="F415" s="2287" t="s">
        <v>390</v>
      </c>
      <c r="G415" s="1762" t="s">
        <v>22</v>
      </c>
      <c r="H415" s="842" t="s">
        <v>22</v>
      </c>
      <c r="I415" s="1762" t="s">
        <v>22</v>
      </c>
      <c r="J415" s="842" t="s">
        <v>22</v>
      </c>
      <c r="K415" s="1762" t="s">
        <v>22</v>
      </c>
      <c r="L415" s="842" t="s">
        <v>22</v>
      </c>
      <c r="M415" s="2943" t="s">
        <v>22</v>
      </c>
      <c r="N415" s="2940" t="s">
        <v>22</v>
      </c>
      <c r="O415" s="1762" t="s">
        <v>22</v>
      </c>
      <c r="P415" s="842" t="s">
        <v>22</v>
      </c>
      <c r="Q415" s="1762">
        <v>46132</v>
      </c>
      <c r="R415" s="842" t="s">
        <v>22</v>
      </c>
      <c r="S415" s="1762"/>
      <c r="T415" s="842" t="s">
        <v>22</v>
      </c>
      <c r="U415" s="1762" t="s">
        <v>22</v>
      </c>
      <c r="V415" s="842" t="s">
        <v>22</v>
      </c>
      <c r="W415" s="1762" t="s">
        <v>22</v>
      </c>
      <c r="X415" s="842" t="s">
        <v>22</v>
      </c>
      <c r="Y415" s="1762" t="s">
        <v>22</v>
      </c>
      <c r="Z415" s="842" t="s">
        <v>22</v>
      </c>
      <c r="AA415" s="2943" t="s">
        <v>22</v>
      </c>
      <c r="AB415" s="2940" t="s">
        <v>22</v>
      </c>
      <c r="AC415" s="1762" t="s">
        <v>22</v>
      </c>
      <c r="AD415" s="842" t="s">
        <v>22</v>
      </c>
      <c r="AE415" s="1762" t="s">
        <v>22</v>
      </c>
      <c r="AF415" s="842" t="s">
        <v>22</v>
      </c>
      <c r="AG415" s="2943" t="s">
        <v>22</v>
      </c>
      <c r="AH415" s="2940" t="s">
        <v>22</v>
      </c>
      <c r="AI415" s="1762" t="s">
        <v>22</v>
      </c>
      <c r="AJ415" s="842" t="s">
        <v>22</v>
      </c>
      <c r="AK415" s="1762" t="s">
        <v>22</v>
      </c>
      <c r="AL415" s="842" t="s">
        <v>22</v>
      </c>
      <c r="AM415" s="1549" t="s">
        <v>1041</v>
      </c>
      <c r="AN415" s="1659"/>
      <c r="AO415" s="1659"/>
      <c r="AP415" s="1659"/>
      <c r="AQ415" s="1659"/>
      <c r="AR415" s="1659"/>
      <c r="AS415" s="1659"/>
      <c r="AT415" s="1659"/>
      <c r="AU415" s="1659"/>
      <c r="AV415" s="1659"/>
      <c r="AW415" s="699"/>
      <c r="AX415" s="1659">
        <v>0</v>
      </c>
    </row>
    <row s="1874" customFormat="1" customHeight="1" ht="15">
      <c r="A416" s="1659"/>
      <c r="B416" s="2421"/>
      <c r="C416" s="2422"/>
      <c r="D416" s="713" t="str">
        <f>B414&amp;".3"</f>
        <v>3.126.3</v>
      </c>
      <c r="E416" s="1691" t="s">
        <v>1042</v>
      </c>
      <c r="F416" s="2287" t="s">
        <v>390</v>
      </c>
      <c r="G416" s="1762" t="s">
        <v>22</v>
      </c>
      <c r="H416" s="842" t="s">
        <v>22</v>
      </c>
      <c r="I416" s="1762" t="s">
        <v>22</v>
      </c>
      <c r="J416" s="842" t="s">
        <v>22</v>
      </c>
      <c r="K416" s="1762" t="s">
        <v>22</v>
      </c>
      <c r="L416" s="842" t="s">
        <v>22</v>
      </c>
      <c r="M416" s="2943" t="s">
        <v>22</v>
      </c>
      <c r="N416" s="2940" t="s">
        <v>22</v>
      </c>
      <c r="O416" s="1762" t="s">
        <v>22</v>
      </c>
      <c r="P416" s="842" t="s">
        <v>22</v>
      </c>
      <c r="Q416" s="1762" t="s">
        <v>22</v>
      </c>
      <c r="R416" s="842" t="s">
        <v>22</v>
      </c>
      <c r="S416" s="1762"/>
      <c r="T416" s="842" t="s">
        <v>22</v>
      </c>
      <c r="U416" s="1762" t="s">
        <v>22</v>
      </c>
      <c r="V416" s="842" t="s">
        <v>22</v>
      </c>
      <c r="W416" s="1762" t="s">
        <v>22</v>
      </c>
      <c r="X416" s="842" t="s">
        <v>22</v>
      </c>
      <c r="Y416" s="1762" t="s">
        <v>22</v>
      </c>
      <c r="Z416" s="842" t="s">
        <v>22</v>
      </c>
      <c r="AA416" s="2943" t="s">
        <v>22</v>
      </c>
      <c r="AB416" s="2940" t="s">
        <v>22</v>
      </c>
      <c r="AC416" s="1762" t="s">
        <v>22</v>
      </c>
      <c r="AD416" s="842" t="s">
        <v>22</v>
      </c>
      <c r="AE416" s="1762" t="s">
        <v>22</v>
      </c>
      <c r="AF416" s="842" t="s">
        <v>22</v>
      </c>
      <c r="AG416" s="2943" t="s">
        <v>22</v>
      </c>
      <c r="AH416" s="2940" t="s">
        <v>22</v>
      </c>
      <c r="AI416" s="1762" t="s">
        <v>22</v>
      </c>
      <c r="AJ416" s="842" t="s">
        <v>22</v>
      </c>
      <c r="AK416" s="1762" t="s">
        <v>22</v>
      </c>
      <c r="AL416" s="842" t="s">
        <v>22</v>
      </c>
      <c r="AM416" s="1549" t="s">
        <v>1043</v>
      </c>
      <c r="AN416" s="1659"/>
      <c r="AO416" s="1659"/>
      <c r="AP416" s="1659"/>
      <c r="AQ416" s="1659"/>
      <c r="AR416" s="1659"/>
      <c r="AS416" s="1659"/>
      <c r="AT416" s="1659"/>
      <c r="AU416" s="1659"/>
      <c r="AV416" s="1659"/>
      <c r="AW416" s="699"/>
      <c r="AX416" s="1659">
        <v>0</v>
      </c>
    </row>
    <row s="1874" customFormat="1" customHeight="1" ht="22.5">
      <c r="A417" s="1659"/>
      <c r="B417" s="2421" t="s">
        <v>1212</v>
      </c>
      <c r="C417" s="2422" t="s">
        <v>104</v>
      </c>
      <c r="D417" s="713" t="str">
        <f>B417&amp;".1"</f>
        <v>3.127.1</v>
      </c>
      <c r="E417" s="1691" t="s">
        <v>1039</v>
      </c>
      <c r="F417" s="2287" t="s">
        <v>390</v>
      </c>
      <c r="G417" s="2377" t="s">
        <v>22</v>
      </c>
      <c r="H417" s="842" t="s">
        <v>22</v>
      </c>
      <c r="I417" s="2377" t="s">
        <v>22</v>
      </c>
      <c r="J417" s="842" t="s">
        <v>22</v>
      </c>
      <c r="K417" s="2377" t="s">
        <v>22</v>
      </c>
      <c r="L417" s="842" t="s">
        <v>22</v>
      </c>
      <c r="M417" s="2942" t="s">
        <v>22</v>
      </c>
      <c r="N417" s="2940" t="s">
        <v>22</v>
      </c>
      <c r="O417" s="2377" t="s">
        <v>22</v>
      </c>
      <c r="P417" s="842" t="s">
        <v>22</v>
      </c>
      <c r="Q417" s="2377" t="s">
        <v>1059</v>
      </c>
      <c r="R417" s="842" t="s">
        <v>22</v>
      </c>
      <c r="S417" s="2377"/>
      <c r="T417" s="842" t="s">
        <v>22</v>
      </c>
      <c r="U417" s="2377" t="s">
        <v>22</v>
      </c>
      <c r="V417" s="842" t="s">
        <v>22</v>
      </c>
      <c r="W417" s="2377" t="s">
        <v>22</v>
      </c>
      <c r="X417" s="842" t="s">
        <v>22</v>
      </c>
      <c r="Y417" s="2377" t="s">
        <v>22</v>
      </c>
      <c r="Z417" s="842" t="s">
        <v>22</v>
      </c>
      <c r="AA417" s="2942" t="s">
        <v>22</v>
      </c>
      <c r="AB417" s="2940" t="s">
        <v>22</v>
      </c>
      <c r="AC417" s="2377" t="s">
        <v>22</v>
      </c>
      <c r="AD417" s="842" t="s">
        <v>22</v>
      </c>
      <c r="AE417" s="2377" t="s">
        <v>22</v>
      </c>
      <c r="AF417" s="842" t="s">
        <v>22</v>
      </c>
      <c r="AG417" s="2942" t="s">
        <v>22</v>
      </c>
      <c r="AH417" s="2940" t="s">
        <v>22</v>
      </c>
      <c r="AI417" s="2377" t="s">
        <v>22</v>
      </c>
      <c r="AJ417" s="842" t="s">
        <v>22</v>
      </c>
      <c r="AK417" s="2377" t="s">
        <v>22</v>
      </c>
      <c r="AL417" s="842" t="s">
        <v>22</v>
      </c>
      <c r="AM417" s="1549"/>
      <c r="AN417" s="1659"/>
      <c r="AO417" s="1659"/>
      <c r="AP417" s="1659"/>
      <c r="AQ417" s="1659"/>
      <c r="AR417" s="1659"/>
      <c r="AS417" s="1659"/>
      <c r="AT417" s="1659"/>
      <c r="AU417" s="1659"/>
      <c r="AV417" s="1659"/>
      <c r="AW417" s="699"/>
      <c r="AX417" s="1659">
        <v>0</v>
      </c>
    </row>
    <row s="1874" customFormat="1" customHeight="1" ht="15">
      <c r="A418" s="1659"/>
      <c r="B418" s="2421"/>
      <c r="C418" s="2422"/>
      <c r="D418" s="713" t="str">
        <f>B417&amp;".2"</f>
        <v>3.127.2</v>
      </c>
      <c r="E418" s="1691" t="s">
        <v>1040</v>
      </c>
      <c r="F418" s="2287" t="s">
        <v>390</v>
      </c>
      <c r="G418" s="1762" t="s">
        <v>22</v>
      </c>
      <c r="H418" s="842" t="s">
        <v>22</v>
      </c>
      <c r="I418" s="1762" t="s">
        <v>22</v>
      </c>
      <c r="J418" s="842" t="s">
        <v>22</v>
      </c>
      <c r="K418" s="1762" t="s">
        <v>22</v>
      </c>
      <c r="L418" s="842" t="s">
        <v>22</v>
      </c>
      <c r="M418" s="2943" t="s">
        <v>22</v>
      </c>
      <c r="N418" s="2940" t="s">
        <v>22</v>
      </c>
      <c r="O418" s="1762" t="s">
        <v>22</v>
      </c>
      <c r="P418" s="842" t="s">
        <v>22</v>
      </c>
      <c r="Q418" s="1762">
        <v>46132</v>
      </c>
      <c r="R418" s="842" t="s">
        <v>22</v>
      </c>
      <c r="S418" s="1762"/>
      <c r="T418" s="842" t="s">
        <v>22</v>
      </c>
      <c r="U418" s="1762" t="s">
        <v>22</v>
      </c>
      <c r="V418" s="842" t="s">
        <v>22</v>
      </c>
      <c r="W418" s="1762" t="s">
        <v>22</v>
      </c>
      <c r="X418" s="842" t="s">
        <v>22</v>
      </c>
      <c r="Y418" s="1762" t="s">
        <v>22</v>
      </c>
      <c r="Z418" s="842" t="s">
        <v>22</v>
      </c>
      <c r="AA418" s="2943" t="s">
        <v>22</v>
      </c>
      <c r="AB418" s="2940" t="s">
        <v>22</v>
      </c>
      <c r="AC418" s="1762" t="s">
        <v>22</v>
      </c>
      <c r="AD418" s="842" t="s">
        <v>22</v>
      </c>
      <c r="AE418" s="1762" t="s">
        <v>22</v>
      </c>
      <c r="AF418" s="842" t="s">
        <v>22</v>
      </c>
      <c r="AG418" s="2943" t="s">
        <v>22</v>
      </c>
      <c r="AH418" s="2940" t="s">
        <v>22</v>
      </c>
      <c r="AI418" s="1762" t="s">
        <v>22</v>
      </c>
      <c r="AJ418" s="842" t="s">
        <v>22</v>
      </c>
      <c r="AK418" s="1762" t="s">
        <v>22</v>
      </c>
      <c r="AL418" s="842" t="s">
        <v>22</v>
      </c>
      <c r="AM418" s="1549" t="s">
        <v>1041</v>
      </c>
      <c r="AN418" s="1659"/>
      <c r="AO418" s="1659"/>
      <c r="AP418" s="1659"/>
      <c r="AQ418" s="1659"/>
      <c r="AR418" s="1659"/>
      <c r="AS418" s="1659"/>
      <c r="AT418" s="1659"/>
      <c r="AU418" s="1659"/>
      <c r="AV418" s="1659"/>
      <c r="AW418" s="699"/>
      <c r="AX418" s="1659">
        <v>0</v>
      </c>
    </row>
    <row s="1874" customFormat="1" customHeight="1" ht="15">
      <c r="A419" s="1659"/>
      <c r="B419" s="2421"/>
      <c r="C419" s="2422"/>
      <c r="D419" s="713" t="str">
        <f>B417&amp;".3"</f>
        <v>3.127.3</v>
      </c>
      <c r="E419" s="1691" t="s">
        <v>1042</v>
      </c>
      <c r="F419" s="2287" t="s">
        <v>390</v>
      </c>
      <c r="G419" s="1762" t="s">
        <v>22</v>
      </c>
      <c r="H419" s="842" t="s">
        <v>22</v>
      </c>
      <c r="I419" s="1762" t="s">
        <v>22</v>
      </c>
      <c r="J419" s="842" t="s">
        <v>22</v>
      </c>
      <c r="K419" s="1762" t="s">
        <v>22</v>
      </c>
      <c r="L419" s="842" t="s">
        <v>22</v>
      </c>
      <c r="M419" s="2943" t="s">
        <v>22</v>
      </c>
      <c r="N419" s="2940" t="s">
        <v>22</v>
      </c>
      <c r="O419" s="1762" t="s">
        <v>22</v>
      </c>
      <c r="P419" s="842" t="s">
        <v>22</v>
      </c>
      <c r="Q419" s="1762" t="s">
        <v>22</v>
      </c>
      <c r="R419" s="842" t="s">
        <v>22</v>
      </c>
      <c r="S419" s="1762"/>
      <c r="T419" s="842" t="s">
        <v>22</v>
      </c>
      <c r="U419" s="1762" t="s">
        <v>22</v>
      </c>
      <c r="V419" s="842" t="s">
        <v>22</v>
      </c>
      <c r="W419" s="1762" t="s">
        <v>22</v>
      </c>
      <c r="X419" s="842" t="s">
        <v>22</v>
      </c>
      <c r="Y419" s="1762" t="s">
        <v>22</v>
      </c>
      <c r="Z419" s="842" t="s">
        <v>22</v>
      </c>
      <c r="AA419" s="2943" t="s">
        <v>22</v>
      </c>
      <c r="AB419" s="2940" t="s">
        <v>22</v>
      </c>
      <c r="AC419" s="1762" t="s">
        <v>22</v>
      </c>
      <c r="AD419" s="842" t="s">
        <v>22</v>
      </c>
      <c r="AE419" s="1762" t="s">
        <v>22</v>
      </c>
      <c r="AF419" s="842" t="s">
        <v>22</v>
      </c>
      <c r="AG419" s="2943" t="s">
        <v>22</v>
      </c>
      <c r="AH419" s="2940" t="s">
        <v>22</v>
      </c>
      <c r="AI419" s="1762" t="s">
        <v>22</v>
      </c>
      <c r="AJ419" s="842" t="s">
        <v>22</v>
      </c>
      <c r="AK419" s="1762" t="s">
        <v>22</v>
      </c>
      <c r="AL419" s="842" t="s">
        <v>22</v>
      </c>
      <c r="AM419" s="1549" t="s">
        <v>1043</v>
      </c>
      <c r="AN419" s="1659"/>
      <c r="AO419" s="1659"/>
      <c r="AP419" s="1659"/>
      <c r="AQ419" s="1659"/>
      <c r="AR419" s="1659"/>
      <c r="AS419" s="1659"/>
      <c r="AT419" s="1659"/>
      <c r="AU419" s="1659"/>
      <c r="AV419" s="1659"/>
      <c r="AW419" s="699"/>
      <c r="AX419" s="1659">
        <v>0</v>
      </c>
    </row>
    <row s="1874" customFormat="1" customHeight="1" ht="22.5">
      <c r="A420" s="1659"/>
      <c r="B420" s="2421" t="s">
        <v>1213</v>
      </c>
      <c r="C420" s="2422" t="s">
        <v>104</v>
      </c>
      <c r="D420" s="713" t="str">
        <f>B420&amp;".1"</f>
        <v>3.128.1</v>
      </c>
      <c r="E420" s="1691" t="s">
        <v>1039</v>
      </c>
      <c r="F420" s="2287" t="s">
        <v>390</v>
      </c>
      <c r="G420" s="2377" t="s">
        <v>22</v>
      </c>
      <c r="H420" s="842" t="s">
        <v>22</v>
      </c>
      <c r="I420" s="2377" t="s">
        <v>22</v>
      </c>
      <c r="J420" s="842" t="s">
        <v>22</v>
      </c>
      <c r="K420" s="2377" t="s">
        <v>22</v>
      </c>
      <c r="L420" s="842" t="s">
        <v>22</v>
      </c>
      <c r="M420" s="2942" t="s">
        <v>22</v>
      </c>
      <c r="N420" s="2940" t="s">
        <v>22</v>
      </c>
      <c r="O420" s="2377" t="s">
        <v>22</v>
      </c>
      <c r="P420" s="842" t="s">
        <v>22</v>
      </c>
      <c r="Q420" s="2377" t="s">
        <v>1059</v>
      </c>
      <c r="R420" s="842" t="s">
        <v>22</v>
      </c>
      <c r="S420" s="2377"/>
      <c r="T420" s="842" t="s">
        <v>22</v>
      </c>
      <c r="U420" s="2377" t="s">
        <v>22</v>
      </c>
      <c r="V420" s="842" t="s">
        <v>22</v>
      </c>
      <c r="W420" s="2377" t="s">
        <v>22</v>
      </c>
      <c r="X420" s="842" t="s">
        <v>22</v>
      </c>
      <c r="Y420" s="2377" t="s">
        <v>22</v>
      </c>
      <c r="Z420" s="842" t="s">
        <v>22</v>
      </c>
      <c r="AA420" s="2942" t="s">
        <v>22</v>
      </c>
      <c r="AB420" s="2940" t="s">
        <v>22</v>
      </c>
      <c r="AC420" s="2377" t="s">
        <v>22</v>
      </c>
      <c r="AD420" s="842" t="s">
        <v>22</v>
      </c>
      <c r="AE420" s="2377" t="s">
        <v>22</v>
      </c>
      <c r="AF420" s="842" t="s">
        <v>22</v>
      </c>
      <c r="AG420" s="2942" t="s">
        <v>22</v>
      </c>
      <c r="AH420" s="2940" t="s">
        <v>22</v>
      </c>
      <c r="AI420" s="2377" t="s">
        <v>22</v>
      </c>
      <c r="AJ420" s="842" t="s">
        <v>22</v>
      </c>
      <c r="AK420" s="2377" t="s">
        <v>22</v>
      </c>
      <c r="AL420" s="842" t="s">
        <v>22</v>
      </c>
      <c r="AM420" s="1549"/>
      <c r="AN420" s="1659"/>
      <c r="AO420" s="1659"/>
      <c r="AP420" s="1659"/>
      <c r="AQ420" s="1659"/>
      <c r="AR420" s="1659"/>
      <c r="AS420" s="1659"/>
      <c r="AT420" s="1659"/>
      <c r="AU420" s="1659"/>
      <c r="AV420" s="1659"/>
      <c r="AW420" s="699"/>
      <c r="AX420" s="1659">
        <v>0</v>
      </c>
    </row>
    <row s="1874" customFormat="1" customHeight="1" ht="15">
      <c r="A421" s="1659"/>
      <c r="B421" s="2421"/>
      <c r="C421" s="2422"/>
      <c r="D421" s="713" t="str">
        <f>B420&amp;".2"</f>
        <v>3.128.2</v>
      </c>
      <c r="E421" s="1691" t="s">
        <v>1040</v>
      </c>
      <c r="F421" s="2287" t="s">
        <v>390</v>
      </c>
      <c r="G421" s="1762" t="s">
        <v>22</v>
      </c>
      <c r="H421" s="842" t="s">
        <v>22</v>
      </c>
      <c r="I421" s="1762" t="s">
        <v>22</v>
      </c>
      <c r="J421" s="842" t="s">
        <v>22</v>
      </c>
      <c r="K421" s="1762" t="s">
        <v>22</v>
      </c>
      <c r="L421" s="842" t="s">
        <v>22</v>
      </c>
      <c r="M421" s="2943" t="s">
        <v>22</v>
      </c>
      <c r="N421" s="2940" t="s">
        <v>22</v>
      </c>
      <c r="O421" s="1762" t="s">
        <v>22</v>
      </c>
      <c r="P421" s="842" t="s">
        <v>22</v>
      </c>
      <c r="Q421" s="1762">
        <v>46132</v>
      </c>
      <c r="R421" s="842" t="s">
        <v>22</v>
      </c>
      <c r="S421" s="1762"/>
      <c r="T421" s="842" t="s">
        <v>22</v>
      </c>
      <c r="U421" s="1762" t="s">
        <v>22</v>
      </c>
      <c r="V421" s="842" t="s">
        <v>22</v>
      </c>
      <c r="W421" s="1762" t="s">
        <v>22</v>
      </c>
      <c r="X421" s="842" t="s">
        <v>22</v>
      </c>
      <c r="Y421" s="1762" t="s">
        <v>22</v>
      </c>
      <c r="Z421" s="842" t="s">
        <v>22</v>
      </c>
      <c r="AA421" s="2943" t="s">
        <v>22</v>
      </c>
      <c r="AB421" s="2940" t="s">
        <v>22</v>
      </c>
      <c r="AC421" s="1762" t="s">
        <v>22</v>
      </c>
      <c r="AD421" s="842" t="s">
        <v>22</v>
      </c>
      <c r="AE421" s="1762" t="s">
        <v>22</v>
      </c>
      <c r="AF421" s="842" t="s">
        <v>22</v>
      </c>
      <c r="AG421" s="2943" t="s">
        <v>22</v>
      </c>
      <c r="AH421" s="2940" t="s">
        <v>22</v>
      </c>
      <c r="AI421" s="1762" t="s">
        <v>22</v>
      </c>
      <c r="AJ421" s="842" t="s">
        <v>22</v>
      </c>
      <c r="AK421" s="1762" t="s">
        <v>22</v>
      </c>
      <c r="AL421" s="842" t="s">
        <v>22</v>
      </c>
      <c r="AM421" s="1549" t="s">
        <v>1041</v>
      </c>
      <c r="AN421" s="1659"/>
      <c r="AO421" s="1659"/>
      <c r="AP421" s="1659"/>
      <c r="AQ421" s="1659"/>
      <c r="AR421" s="1659"/>
      <c r="AS421" s="1659"/>
      <c r="AT421" s="1659"/>
      <c r="AU421" s="1659"/>
      <c r="AV421" s="1659"/>
      <c r="AW421" s="699"/>
      <c r="AX421" s="1659">
        <v>0</v>
      </c>
    </row>
    <row s="1874" customFormat="1" customHeight="1" ht="15">
      <c r="A422" s="1659"/>
      <c r="B422" s="2421"/>
      <c r="C422" s="2422"/>
      <c r="D422" s="713" t="str">
        <f>B420&amp;".3"</f>
        <v>3.128.3</v>
      </c>
      <c r="E422" s="1691" t="s">
        <v>1042</v>
      </c>
      <c r="F422" s="2287" t="s">
        <v>390</v>
      </c>
      <c r="G422" s="1762" t="s">
        <v>22</v>
      </c>
      <c r="H422" s="842" t="s">
        <v>22</v>
      </c>
      <c r="I422" s="1762" t="s">
        <v>22</v>
      </c>
      <c r="J422" s="842" t="s">
        <v>22</v>
      </c>
      <c r="K422" s="1762" t="s">
        <v>22</v>
      </c>
      <c r="L422" s="842" t="s">
        <v>22</v>
      </c>
      <c r="M422" s="2943" t="s">
        <v>22</v>
      </c>
      <c r="N422" s="2940" t="s">
        <v>22</v>
      </c>
      <c r="O422" s="1762" t="s">
        <v>22</v>
      </c>
      <c r="P422" s="842" t="s">
        <v>22</v>
      </c>
      <c r="Q422" s="1762" t="s">
        <v>22</v>
      </c>
      <c r="R422" s="842" t="s">
        <v>22</v>
      </c>
      <c r="S422" s="1762"/>
      <c r="T422" s="842" t="s">
        <v>22</v>
      </c>
      <c r="U422" s="1762" t="s">
        <v>22</v>
      </c>
      <c r="V422" s="842" t="s">
        <v>22</v>
      </c>
      <c r="W422" s="1762" t="s">
        <v>22</v>
      </c>
      <c r="X422" s="842" t="s">
        <v>22</v>
      </c>
      <c r="Y422" s="1762" t="s">
        <v>22</v>
      </c>
      <c r="Z422" s="842" t="s">
        <v>22</v>
      </c>
      <c r="AA422" s="2943" t="s">
        <v>22</v>
      </c>
      <c r="AB422" s="2940" t="s">
        <v>22</v>
      </c>
      <c r="AC422" s="1762" t="s">
        <v>22</v>
      </c>
      <c r="AD422" s="842" t="s">
        <v>22</v>
      </c>
      <c r="AE422" s="1762" t="s">
        <v>22</v>
      </c>
      <c r="AF422" s="842" t="s">
        <v>22</v>
      </c>
      <c r="AG422" s="2943" t="s">
        <v>22</v>
      </c>
      <c r="AH422" s="2940" t="s">
        <v>22</v>
      </c>
      <c r="AI422" s="1762" t="s">
        <v>22</v>
      </c>
      <c r="AJ422" s="842" t="s">
        <v>22</v>
      </c>
      <c r="AK422" s="1762" t="s">
        <v>22</v>
      </c>
      <c r="AL422" s="842" t="s">
        <v>22</v>
      </c>
      <c r="AM422" s="1549" t="s">
        <v>1043</v>
      </c>
      <c r="AN422" s="1659"/>
      <c r="AO422" s="1659"/>
      <c r="AP422" s="1659"/>
      <c r="AQ422" s="1659"/>
      <c r="AR422" s="1659"/>
      <c r="AS422" s="1659"/>
      <c r="AT422" s="1659"/>
      <c r="AU422" s="1659"/>
      <c r="AV422" s="1659"/>
      <c r="AW422" s="699"/>
      <c r="AX422" s="1659">
        <v>0</v>
      </c>
    </row>
    <row s="1874" customFormat="1" customHeight="1" ht="22.5">
      <c r="A423" s="1659"/>
      <c r="B423" s="2421" t="s">
        <v>1214</v>
      </c>
      <c r="C423" s="2422" t="s">
        <v>104</v>
      </c>
      <c r="D423" s="713" t="str">
        <f>B423&amp;".1"</f>
        <v>3.129.1</v>
      </c>
      <c r="E423" s="1691" t="s">
        <v>1039</v>
      </c>
      <c r="F423" s="2287" t="s">
        <v>390</v>
      </c>
      <c r="G423" s="2377" t="s">
        <v>22</v>
      </c>
      <c r="H423" s="842" t="s">
        <v>22</v>
      </c>
      <c r="I423" s="2377" t="s">
        <v>22</v>
      </c>
      <c r="J423" s="842" t="s">
        <v>22</v>
      </c>
      <c r="K423" s="2377" t="s">
        <v>22</v>
      </c>
      <c r="L423" s="842" t="s">
        <v>22</v>
      </c>
      <c r="M423" s="2942" t="s">
        <v>22</v>
      </c>
      <c r="N423" s="2940" t="s">
        <v>22</v>
      </c>
      <c r="O423" s="2377" t="s">
        <v>22</v>
      </c>
      <c r="P423" s="842" t="s">
        <v>22</v>
      </c>
      <c r="Q423" s="2377" t="s">
        <v>1059</v>
      </c>
      <c r="R423" s="842" t="s">
        <v>22</v>
      </c>
      <c r="S423" s="2377"/>
      <c r="T423" s="842" t="s">
        <v>22</v>
      </c>
      <c r="U423" s="2377" t="s">
        <v>22</v>
      </c>
      <c r="V423" s="842" t="s">
        <v>22</v>
      </c>
      <c r="W423" s="2377" t="s">
        <v>22</v>
      </c>
      <c r="X423" s="842" t="s">
        <v>22</v>
      </c>
      <c r="Y423" s="2377" t="s">
        <v>22</v>
      </c>
      <c r="Z423" s="842" t="s">
        <v>22</v>
      </c>
      <c r="AA423" s="2942" t="s">
        <v>22</v>
      </c>
      <c r="AB423" s="2940" t="s">
        <v>22</v>
      </c>
      <c r="AC423" s="2377" t="s">
        <v>22</v>
      </c>
      <c r="AD423" s="842" t="s">
        <v>22</v>
      </c>
      <c r="AE423" s="2377" t="s">
        <v>22</v>
      </c>
      <c r="AF423" s="842" t="s">
        <v>22</v>
      </c>
      <c r="AG423" s="2942" t="s">
        <v>22</v>
      </c>
      <c r="AH423" s="2940" t="s">
        <v>22</v>
      </c>
      <c r="AI423" s="2377" t="s">
        <v>22</v>
      </c>
      <c r="AJ423" s="842" t="s">
        <v>22</v>
      </c>
      <c r="AK423" s="2377" t="s">
        <v>22</v>
      </c>
      <c r="AL423" s="842" t="s">
        <v>22</v>
      </c>
      <c r="AM423" s="1549"/>
      <c r="AN423" s="1659"/>
      <c r="AO423" s="1659"/>
      <c r="AP423" s="1659"/>
      <c r="AQ423" s="1659"/>
      <c r="AR423" s="1659"/>
      <c r="AS423" s="1659"/>
      <c r="AT423" s="1659"/>
      <c r="AU423" s="1659"/>
      <c r="AV423" s="1659"/>
      <c r="AW423" s="699"/>
      <c r="AX423" s="1659">
        <v>0</v>
      </c>
    </row>
    <row s="1874" customFormat="1" customHeight="1" ht="15">
      <c r="A424" s="1659"/>
      <c r="B424" s="2421"/>
      <c r="C424" s="2422"/>
      <c r="D424" s="713" t="str">
        <f>B423&amp;".2"</f>
        <v>3.129.2</v>
      </c>
      <c r="E424" s="1691" t="s">
        <v>1040</v>
      </c>
      <c r="F424" s="2287" t="s">
        <v>390</v>
      </c>
      <c r="G424" s="1762" t="s">
        <v>22</v>
      </c>
      <c r="H424" s="842" t="s">
        <v>22</v>
      </c>
      <c r="I424" s="1762" t="s">
        <v>22</v>
      </c>
      <c r="J424" s="842" t="s">
        <v>22</v>
      </c>
      <c r="K424" s="1762" t="s">
        <v>22</v>
      </c>
      <c r="L424" s="842" t="s">
        <v>22</v>
      </c>
      <c r="M424" s="2943" t="s">
        <v>22</v>
      </c>
      <c r="N424" s="2940" t="s">
        <v>22</v>
      </c>
      <c r="O424" s="1762" t="s">
        <v>22</v>
      </c>
      <c r="P424" s="842" t="s">
        <v>22</v>
      </c>
      <c r="Q424" s="1762">
        <v>46132</v>
      </c>
      <c r="R424" s="842" t="s">
        <v>22</v>
      </c>
      <c r="S424" s="1762"/>
      <c r="T424" s="842" t="s">
        <v>22</v>
      </c>
      <c r="U424" s="1762" t="s">
        <v>22</v>
      </c>
      <c r="V424" s="842" t="s">
        <v>22</v>
      </c>
      <c r="W424" s="1762" t="s">
        <v>22</v>
      </c>
      <c r="X424" s="842" t="s">
        <v>22</v>
      </c>
      <c r="Y424" s="1762" t="s">
        <v>22</v>
      </c>
      <c r="Z424" s="842" t="s">
        <v>22</v>
      </c>
      <c r="AA424" s="2943" t="s">
        <v>22</v>
      </c>
      <c r="AB424" s="2940" t="s">
        <v>22</v>
      </c>
      <c r="AC424" s="1762" t="s">
        <v>22</v>
      </c>
      <c r="AD424" s="842" t="s">
        <v>22</v>
      </c>
      <c r="AE424" s="1762" t="s">
        <v>22</v>
      </c>
      <c r="AF424" s="842" t="s">
        <v>22</v>
      </c>
      <c r="AG424" s="2943" t="s">
        <v>22</v>
      </c>
      <c r="AH424" s="2940" t="s">
        <v>22</v>
      </c>
      <c r="AI424" s="1762" t="s">
        <v>22</v>
      </c>
      <c r="AJ424" s="842" t="s">
        <v>22</v>
      </c>
      <c r="AK424" s="1762" t="s">
        <v>22</v>
      </c>
      <c r="AL424" s="842" t="s">
        <v>22</v>
      </c>
      <c r="AM424" s="1549" t="s">
        <v>1041</v>
      </c>
      <c r="AN424" s="1659"/>
      <c r="AO424" s="1659"/>
      <c r="AP424" s="1659"/>
      <c r="AQ424" s="1659"/>
      <c r="AR424" s="1659"/>
      <c r="AS424" s="1659"/>
      <c r="AT424" s="1659"/>
      <c r="AU424" s="1659"/>
      <c r="AV424" s="1659"/>
      <c r="AW424" s="699"/>
      <c r="AX424" s="1659">
        <v>0</v>
      </c>
    </row>
    <row s="1874" customFormat="1" customHeight="1" ht="15">
      <c r="A425" s="1659"/>
      <c r="B425" s="2421"/>
      <c r="C425" s="2422"/>
      <c r="D425" s="713" t="str">
        <f>B423&amp;".3"</f>
        <v>3.129.3</v>
      </c>
      <c r="E425" s="1691" t="s">
        <v>1042</v>
      </c>
      <c r="F425" s="2287" t="s">
        <v>390</v>
      </c>
      <c r="G425" s="1762" t="s">
        <v>22</v>
      </c>
      <c r="H425" s="842" t="s">
        <v>22</v>
      </c>
      <c r="I425" s="1762" t="s">
        <v>22</v>
      </c>
      <c r="J425" s="842" t="s">
        <v>22</v>
      </c>
      <c r="K425" s="1762" t="s">
        <v>22</v>
      </c>
      <c r="L425" s="842" t="s">
        <v>22</v>
      </c>
      <c r="M425" s="2943" t="s">
        <v>22</v>
      </c>
      <c r="N425" s="2940" t="s">
        <v>22</v>
      </c>
      <c r="O425" s="1762" t="s">
        <v>22</v>
      </c>
      <c r="P425" s="842" t="s">
        <v>22</v>
      </c>
      <c r="Q425" s="1762" t="s">
        <v>22</v>
      </c>
      <c r="R425" s="842" t="s">
        <v>22</v>
      </c>
      <c r="S425" s="1762"/>
      <c r="T425" s="842" t="s">
        <v>22</v>
      </c>
      <c r="U425" s="1762" t="s">
        <v>22</v>
      </c>
      <c r="V425" s="842" t="s">
        <v>22</v>
      </c>
      <c r="W425" s="1762" t="s">
        <v>22</v>
      </c>
      <c r="X425" s="842" t="s">
        <v>22</v>
      </c>
      <c r="Y425" s="1762" t="s">
        <v>22</v>
      </c>
      <c r="Z425" s="842" t="s">
        <v>22</v>
      </c>
      <c r="AA425" s="2943" t="s">
        <v>22</v>
      </c>
      <c r="AB425" s="2940" t="s">
        <v>22</v>
      </c>
      <c r="AC425" s="1762" t="s">
        <v>22</v>
      </c>
      <c r="AD425" s="842" t="s">
        <v>22</v>
      </c>
      <c r="AE425" s="1762" t="s">
        <v>22</v>
      </c>
      <c r="AF425" s="842" t="s">
        <v>22</v>
      </c>
      <c r="AG425" s="2943" t="s">
        <v>22</v>
      </c>
      <c r="AH425" s="2940" t="s">
        <v>22</v>
      </c>
      <c r="AI425" s="1762" t="s">
        <v>22</v>
      </c>
      <c r="AJ425" s="842" t="s">
        <v>22</v>
      </c>
      <c r="AK425" s="1762" t="s">
        <v>22</v>
      </c>
      <c r="AL425" s="842" t="s">
        <v>22</v>
      </c>
      <c r="AM425" s="1549" t="s">
        <v>1043</v>
      </c>
      <c r="AN425" s="1659"/>
      <c r="AO425" s="1659"/>
      <c r="AP425" s="1659"/>
      <c r="AQ425" s="1659"/>
      <c r="AR425" s="1659"/>
      <c r="AS425" s="1659"/>
      <c r="AT425" s="1659"/>
      <c r="AU425" s="1659"/>
      <c r="AV425" s="1659"/>
      <c r="AW425" s="699"/>
      <c r="AX425" s="1659">
        <v>0</v>
      </c>
    </row>
    <row s="1874" customFormat="1" customHeight="1" ht="22.5">
      <c r="A426" s="1659"/>
      <c r="B426" s="2421" t="s">
        <v>1215</v>
      </c>
      <c r="C426" s="2422" t="s">
        <v>104</v>
      </c>
      <c r="D426" s="713" t="str">
        <f>B426&amp;".1"</f>
        <v>3.130.1</v>
      </c>
      <c r="E426" s="1691" t="s">
        <v>1039</v>
      </c>
      <c r="F426" s="2287" t="s">
        <v>390</v>
      </c>
      <c r="G426" s="2377" t="s">
        <v>22</v>
      </c>
      <c r="H426" s="842" t="s">
        <v>22</v>
      </c>
      <c r="I426" s="2377" t="s">
        <v>22</v>
      </c>
      <c r="J426" s="842" t="s">
        <v>22</v>
      </c>
      <c r="K426" s="2377" t="s">
        <v>22</v>
      </c>
      <c r="L426" s="842" t="s">
        <v>22</v>
      </c>
      <c r="M426" s="2942" t="s">
        <v>22</v>
      </c>
      <c r="N426" s="2940" t="s">
        <v>22</v>
      </c>
      <c r="O426" s="2377" t="s">
        <v>22</v>
      </c>
      <c r="P426" s="842" t="s">
        <v>22</v>
      </c>
      <c r="Q426" s="2377" t="s">
        <v>1059</v>
      </c>
      <c r="R426" s="842" t="s">
        <v>22</v>
      </c>
      <c r="S426" s="2377"/>
      <c r="T426" s="842" t="s">
        <v>22</v>
      </c>
      <c r="U426" s="2377" t="s">
        <v>22</v>
      </c>
      <c r="V426" s="842" t="s">
        <v>22</v>
      </c>
      <c r="W426" s="2377" t="s">
        <v>22</v>
      </c>
      <c r="X426" s="842" t="s">
        <v>22</v>
      </c>
      <c r="Y426" s="2377" t="s">
        <v>22</v>
      </c>
      <c r="Z426" s="842" t="s">
        <v>22</v>
      </c>
      <c r="AA426" s="2942" t="s">
        <v>22</v>
      </c>
      <c r="AB426" s="2940" t="s">
        <v>22</v>
      </c>
      <c r="AC426" s="2377" t="s">
        <v>22</v>
      </c>
      <c r="AD426" s="842" t="s">
        <v>22</v>
      </c>
      <c r="AE426" s="2377" t="s">
        <v>22</v>
      </c>
      <c r="AF426" s="842" t="s">
        <v>22</v>
      </c>
      <c r="AG426" s="2942" t="s">
        <v>22</v>
      </c>
      <c r="AH426" s="2940" t="s">
        <v>22</v>
      </c>
      <c r="AI426" s="2377" t="s">
        <v>22</v>
      </c>
      <c r="AJ426" s="842" t="s">
        <v>22</v>
      </c>
      <c r="AK426" s="2377" t="s">
        <v>22</v>
      </c>
      <c r="AL426" s="842" t="s">
        <v>22</v>
      </c>
      <c r="AM426" s="1549"/>
      <c r="AN426" s="1659"/>
      <c r="AO426" s="1659"/>
      <c r="AP426" s="1659"/>
      <c r="AQ426" s="1659"/>
      <c r="AR426" s="1659"/>
      <c r="AS426" s="1659"/>
      <c r="AT426" s="1659"/>
      <c r="AU426" s="1659"/>
      <c r="AV426" s="1659"/>
      <c r="AW426" s="699"/>
      <c r="AX426" s="1659">
        <v>0</v>
      </c>
    </row>
    <row s="1874" customFormat="1" customHeight="1" ht="15">
      <c r="A427" s="1659"/>
      <c r="B427" s="2421"/>
      <c r="C427" s="2422"/>
      <c r="D427" s="713" t="str">
        <f>B426&amp;".2"</f>
        <v>3.130.2</v>
      </c>
      <c r="E427" s="1691" t="s">
        <v>1040</v>
      </c>
      <c r="F427" s="2287" t="s">
        <v>390</v>
      </c>
      <c r="G427" s="1762" t="s">
        <v>22</v>
      </c>
      <c r="H427" s="842" t="s">
        <v>22</v>
      </c>
      <c r="I427" s="1762" t="s">
        <v>22</v>
      </c>
      <c r="J427" s="842" t="s">
        <v>22</v>
      </c>
      <c r="K427" s="1762" t="s">
        <v>22</v>
      </c>
      <c r="L427" s="842" t="s">
        <v>22</v>
      </c>
      <c r="M427" s="2943" t="s">
        <v>22</v>
      </c>
      <c r="N427" s="2940" t="s">
        <v>22</v>
      </c>
      <c r="O427" s="1762" t="s">
        <v>22</v>
      </c>
      <c r="P427" s="842" t="s">
        <v>22</v>
      </c>
      <c r="Q427" s="1762">
        <v>46132</v>
      </c>
      <c r="R427" s="842" t="s">
        <v>22</v>
      </c>
      <c r="S427" s="1762"/>
      <c r="T427" s="842" t="s">
        <v>22</v>
      </c>
      <c r="U427" s="1762" t="s">
        <v>22</v>
      </c>
      <c r="V427" s="842" t="s">
        <v>22</v>
      </c>
      <c r="W427" s="1762" t="s">
        <v>22</v>
      </c>
      <c r="X427" s="842" t="s">
        <v>22</v>
      </c>
      <c r="Y427" s="1762" t="s">
        <v>22</v>
      </c>
      <c r="Z427" s="842" t="s">
        <v>22</v>
      </c>
      <c r="AA427" s="2943" t="s">
        <v>22</v>
      </c>
      <c r="AB427" s="2940" t="s">
        <v>22</v>
      </c>
      <c r="AC427" s="1762" t="s">
        <v>22</v>
      </c>
      <c r="AD427" s="842" t="s">
        <v>22</v>
      </c>
      <c r="AE427" s="1762" t="s">
        <v>22</v>
      </c>
      <c r="AF427" s="842" t="s">
        <v>22</v>
      </c>
      <c r="AG427" s="2943" t="s">
        <v>22</v>
      </c>
      <c r="AH427" s="2940" t="s">
        <v>22</v>
      </c>
      <c r="AI427" s="1762" t="s">
        <v>22</v>
      </c>
      <c r="AJ427" s="842" t="s">
        <v>22</v>
      </c>
      <c r="AK427" s="1762" t="s">
        <v>22</v>
      </c>
      <c r="AL427" s="842" t="s">
        <v>22</v>
      </c>
      <c r="AM427" s="1549" t="s">
        <v>1041</v>
      </c>
      <c r="AN427" s="1659"/>
      <c r="AO427" s="1659"/>
      <c r="AP427" s="1659"/>
      <c r="AQ427" s="1659"/>
      <c r="AR427" s="1659"/>
      <c r="AS427" s="1659"/>
      <c r="AT427" s="1659"/>
      <c r="AU427" s="1659"/>
      <c r="AV427" s="1659"/>
      <c r="AW427" s="699"/>
      <c r="AX427" s="1659">
        <v>0</v>
      </c>
    </row>
    <row s="1874" customFormat="1" customHeight="1" ht="15">
      <c r="A428" s="1659"/>
      <c r="B428" s="2421"/>
      <c r="C428" s="2422"/>
      <c r="D428" s="713" t="str">
        <f>B426&amp;".3"</f>
        <v>3.130.3</v>
      </c>
      <c r="E428" s="1691" t="s">
        <v>1042</v>
      </c>
      <c r="F428" s="2287" t="s">
        <v>390</v>
      </c>
      <c r="G428" s="1762" t="s">
        <v>22</v>
      </c>
      <c r="H428" s="842" t="s">
        <v>22</v>
      </c>
      <c r="I428" s="1762" t="s">
        <v>22</v>
      </c>
      <c r="J428" s="842" t="s">
        <v>22</v>
      </c>
      <c r="K428" s="1762" t="s">
        <v>22</v>
      </c>
      <c r="L428" s="842" t="s">
        <v>22</v>
      </c>
      <c r="M428" s="2943" t="s">
        <v>22</v>
      </c>
      <c r="N428" s="2940" t="s">
        <v>22</v>
      </c>
      <c r="O428" s="1762" t="s">
        <v>22</v>
      </c>
      <c r="P428" s="842" t="s">
        <v>22</v>
      </c>
      <c r="Q428" s="1762" t="s">
        <v>22</v>
      </c>
      <c r="R428" s="842" t="s">
        <v>22</v>
      </c>
      <c r="S428" s="1762"/>
      <c r="T428" s="842" t="s">
        <v>22</v>
      </c>
      <c r="U428" s="1762" t="s">
        <v>22</v>
      </c>
      <c r="V428" s="842" t="s">
        <v>22</v>
      </c>
      <c r="W428" s="1762" t="s">
        <v>22</v>
      </c>
      <c r="X428" s="842" t="s">
        <v>22</v>
      </c>
      <c r="Y428" s="1762" t="s">
        <v>22</v>
      </c>
      <c r="Z428" s="842" t="s">
        <v>22</v>
      </c>
      <c r="AA428" s="2943" t="s">
        <v>22</v>
      </c>
      <c r="AB428" s="2940" t="s">
        <v>22</v>
      </c>
      <c r="AC428" s="1762" t="s">
        <v>22</v>
      </c>
      <c r="AD428" s="842" t="s">
        <v>22</v>
      </c>
      <c r="AE428" s="1762" t="s">
        <v>22</v>
      </c>
      <c r="AF428" s="842" t="s">
        <v>22</v>
      </c>
      <c r="AG428" s="2943" t="s">
        <v>22</v>
      </c>
      <c r="AH428" s="2940" t="s">
        <v>22</v>
      </c>
      <c r="AI428" s="1762" t="s">
        <v>22</v>
      </c>
      <c r="AJ428" s="842" t="s">
        <v>22</v>
      </c>
      <c r="AK428" s="1762" t="s">
        <v>22</v>
      </c>
      <c r="AL428" s="842" t="s">
        <v>22</v>
      </c>
      <c r="AM428" s="1549" t="s">
        <v>1043</v>
      </c>
      <c r="AN428" s="1659"/>
      <c r="AO428" s="1659"/>
      <c r="AP428" s="1659"/>
      <c r="AQ428" s="1659"/>
      <c r="AR428" s="1659"/>
      <c r="AS428" s="1659"/>
      <c r="AT428" s="1659"/>
      <c r="AU428" s="1659"/>
      <c r="AV428" s="1659"/>
      <c r="AW428" s="699"/>
      <c r="AX428" s="1659">
        <v>0</v>
      </c>
    </row>
    <row s="1874" customFormat="1" customHeight="1" ht="22.5">
      <c r="A429" s="1659"/>
      <c r="B429" s="2421" t="s">
        <v>1216</v>
      </c>
      <c r="C429" s="2422" t="s">
        <v>104</v>
      </c>
      <c r="D429" s="713" t="str">
        <f>B429&amp;".1"</f>
        <v>3.131.1</v>
      </c>
      <c r="E429" s="1691" t="s">
        <v>1039</v>
      </c>
      <c r="F429" s="2287" t="s">
        <v>390</v>
      </c>
      <c r="G429" s="2377" t="s">
        <v>22</v>
      </c>
      <c r="H429" s="842" t="s">
        <v>22</v>
      </c>
      <c r="I429" s="2377" t="s">
        <v>22</v>
      </c>
      <c r="J429" s="842" t="s">
        <v>22</v>
      </c>
      <c r="K429" s="2377" t="s">
        <v>22</v>
      </c>
      <c r="L429" s="842" t="s">
        <v>22</v>
      </c>
      <c r="M429" s="2942" t="s">
        <v>22</v>
      </c>
      <c r="N429" s="2940" t="s">
        <v>22</v>
      </c>
      <c r="O429" s="2377" t="s">
        <v>22</v>
      </c>
      <c r="P429" s="842" t="s">
        <v>22</v>
      </c>
      <c r="Q429" s="2377" t="s">
        <v>1059</v>
      </c>
      <c r="R429" s="842" t="s">
        <v>22</v>
      </c>
      <c r="S429" s="2377"/>
      <c r="T429" s="842" t="s">
        <v>22</v>
      </c>
      <c r="U429" s="2377" t="s">
        <v>22</v>
      </c>
      <c r="V429" s="842" t="s">
        <v>22</v>
      </c>
      <c r="W429" s="2377" t="s">
        <v>22</v>
      </c>
      <c r="X429" s="842" t="s">
        <v>22</v>
      </c>
      <c r="Y429" s="2377" t="s">
        <v>22</v>
      </c>
      <c r="Z429" s="842" t="s">
        <v>22</v>
      </c>
      <c r="AA429" s="2942" t="s">
        <v>22</v>
      </c>
      <c r="AB429" s="2940" t="s">
        <v>22</v>
      </c>
      <c r="AC429" s="2377" t="s">
        <v>22</v>
      </c>
      <c r="AD429" s="842" t="s">
        <v>22</v>
      </c>
      <c r="AE429" s="2377" t="s">
        <v>22</v>
      </c>
      <c r="AF429" s="842" t="s">
        <v>22</v>
      </c>
      <c r="AG429" s="2942" t="s">
        <v>22</v>
      </c>
      <c r="AH429" s="2940" t="s">
        <v>22</v>
      </c>
      <c r="AI429" s="2377" t="s">
        <v>22</v>
      </c>
      <c r="AJ429" s="842" t="s">
        <v>22</v>
      </c>
      <c r="AK429" s="2377" t="s">
        <v>22</v>
      </c>
      <c r="AL429" s="842" t="s">
        <v>22</v>
      </c>
      <c r="AM429" s="1549"/>
      <c r="AN429" s="1659"/>
      <c r="AO429" s="1659"/>
      <c r="AP429" s="1659"/>
      <c r="AQ429" s="1659"/>
      <c r="AR429" s="1659"/>
      <c r="AS429" s="1659"/>
      <c r="AT429" s="1659"/>
      <c r="AU429" s="1659"/>
      <c r="AV429" s="1659"/>
      <c r="AW429" s="699"/>
      <c r="AX429" s="1659">
        <v>0</v>
      </c>
    </row>
    <row s="1874" customFormat="1" customHeight="1" ht="15">
      <c r="A430" s="1659"/>
      <c r="B430" s="2421"/>
      <c r="C430" s="2422"/>
      <c r="D430" s="713" t="str">
        <f>B429&amp;".2"</f>
        <v>3.131.2</v>
      </c>
      <c r="E430" s="1691" t="s">
        <v>1040</v>
      </c>
      <c r="F430" s="2287" t="s">
        <v>390</v>
      </c>
      <c r="G430" s="1762" t="s">
        <v>22</v>
      </c>
      <c r="H430" s="842" t="s">
        <v>22</v>
      </c>
      <c r="I430" s="1762" t="s">
        <v>22</v>
      </c>
      <c r="J430" s="842" t="s">
        <v>22</v>
      </c>
      <c r="K430" s="1762" t="s">
        <v>22</v>
      </c>
      <c r="L430" s="842" t="s">
        <v>22</v>
      </c>
      <c r="M430" s="2943" t="s">
        <v>22</v>
      </c>
      <c r="N430" s="2940" t="s">
        <v>22</v>
      </c>
      <c r="O430" s="1762" t="s">
        <v>22</v>
      </c>
      <c r="P430" s="842" t="s">
        <v>22</v>
      </c>
      <c r="Q430" s="1762">
        <v>46132</v>
      </c>
      <c r="R430" s="842" t="s">
        <v>22</v>
      </c>
      <c r="S430" s="1762"/>
      <c r="T430" s="842" t="s">
        <v>22</v>
      </c>
      <c r="U430" s="1762" t="s">
        <v>22</v>
      </c>
      <c r="V430" s="842" t="s">
        <v>22</v>
      </c>
      <c r="W430" s="1762" t="s">
        <v>22</v>
      </c>
      <c r="X430" s="842" t="s">
        <v>22</v>
      </c>
      <c r="Y430" s="1762" t="s">
        <v>22</v>
      </c>
      <c r="Z430" s="842" t="s">
        <v>22</v>
      </c>
      <c r="AA430" s="2943" t="s">
        <v>22</v>
      </c>
      <c r="AB430" s="2940" t="s">
        <v>22</v>
      </c>
      <c r="AC430" s="1762" t="s">
        <v>22</v>
      </c>
      <c r="AD430" s="842" t="s">
        <v>22</v>
      </c>
      <c r="AE430" s="1762" t="s">
        <v>22</v>
      </c>
      <c r="AF430" s="842" t="s">
        <v>22</v>
      </c>
      <c r="AG430" s="2943" t="s">
        <v>22</v>
      </c>
      <c r="AH430" s="2940" t="s">
        <v>22</v>
      </c>
      <c r="AI430" s="1762" t="s">
        <v>22</v>
      </c>
      <c r="AJ430" s="842" t="s">
        <v>22</v>
      </c>
      <c r="AK430" s="1762" t="s">
        <v>22</v>
      </c>
      <c r="AL430" s="842" t="s">
        <v>22</v>
      </c>
      <c r="AM430" s="1549" t="s">
        <v>1041</v>
      </c>
      <c r="AN430" s="1659"/>
      <c r="AO430" s="1659"/>
      <c r="AP430" s="1659"/>
      <c r="AQ430" s="1659"/>
      <c r="AR430" s="1659"/>
      <c r="AS430" s="1659"/>
      <c r="AT430" s="1659"/>
      <c r="AU430" s="1659"/>
      <c r="AV430" s="1659"/>
      <c r="AW430" s="699"/>
      <c r="AX430" s="1659">
        <v>0</v>
      </c>
    </row>
    <row s="1874" customFormat="1" customHeight="1" ht="15">
      <c r="A431" s="1659"/>
      <c r="B431" s="2421"/>
      <c r="C431" s="2422"/>
      <c r="D431" s="713" t="str">
        <f>B429&amp;".3"</f>
        <v>3.131.3</v>
      </c>
      <c r="E431" s="1691" t="s">
        <v>1042</v>
      </c>
      <c r="F431" s="2287" t="s">
        <v>390</v>
      </c>
      <c r="G431" s="1762" t="s">
        <v>22</v>
      </c>
      <c r="H431" s="842" t="s">
        <v>22</v>
      </c>
      <c r="I431" s="1762" t="s">
        <v>22</v>
      </c>
      <c r="J431" s="842" t="s">
        <v>22</v>
      </c>
      <c r="K431" s="1762" t="s">
        <v>22</v>
      </c>
      <c r="L431" s="842" t="s">
        <v>22</v>
      </c>
      <c r="M431" s="2943" t="s">
        <v>22</v>
      </c>
      <c r="N431" s="2940" t="s">
        <v>22</v>
      </c>
      <c r="O431" s="1762" t="s">
        <v>22</v>
      </c>
      <c r="P431" s="842" t="s">
        <v>22</v>
      </c>
      <c r="Q431" s="1762" t="s">
        <v>22</v>
      </c>
      <c r="R431" s="842" t="s">
        <v>22</v>
      </c>
      <c r="S431" s="1762"/>
      <c r="T431" s="842" t="s">
        <v>22</v>
      </c>
      <c r="U431" s="1762" t="s">
        <v>22</v>
      </c>
      <c r="V431" s="842" t="s">
        <v>22</v>
      </c>
      <c r="W431" s="1762" t="s">
        <v>22</v>
      </c>
      <c r="X431" s="842" t="s">
        <v>22</v>
      </c>
      <c r="Y431" s="1762" t="s">
        <v>22</v>
      </c>
      <c r="Z431" s="842" t="s">
        <v>22</v>
      </c>
      <c r="AA431" s="2943" t="s">
        <v>22</v>
      </c>
      <c r="AB431" s="2940" t="s">
        <v>22</v>
      </c>
      <c r="AC431" s="1762" t="s">
        <v>22</v>
      </c>
      <c r="AD431" s="842" t="s">
        <v>22</v>
      </c>
      <c r="AE431" s="1762" t="s">
        <v>22</v>
      </c>
      <c r="AF431" s="842" t="s">
        <v>22</v>
      </c>
      <c r="AG431" s="2943" t="s">
        <v>22</v>
      </c>
      <c r="AH431" s="2940" t="s">
        <v>22</v>
      </c>
      <c r="AI431" s="1762" t="s">
        <v>22</v>
      </c>
      <c r="AJ431" s="842" t="s">
        <v>22</v>
      </c>
      <c r="AK431" s="1762" t="s">
        <v>22</v>
      </c>
      <c r="AL431" s="842" t="s">
        <v>22</v>
      </c>
      <c r="AM431" s="1549" t="s">
        <v>1043</v>
      </c>
      <c r="AN431" s="1659"/>
      <c r="AO431" s="1659"/>
      <c r="AP431" s="1659"/>
      <c r="AQ431" s="1659"/>
      <c r="AR431" s="1659"/>
      <c r="AS431" s="1659"/>
      <c r="AT431" s="1659"/>
      <c r="AU431" s="1659"/>
      <c r="AV431" s="1659"/>
      <c r="AW431" s="699"/>
      <c r="AX431" s="1659">
        <v>0</v>
      </c>
    </row>
    <row s="1874" customFormat="1" customHeight="1" ht="22.5">
      <c r="A432" s="1659"/>
      <c r="B432" s="2421" t="s">
        <v>1217</v>
      </c>
      <c r="C432" s="2422" t="s">
        <v>104</v>
      </c>
      <c r="D432" s="713" t="str">
        <f>B432&amp;".1"</f>
        <v>3.132.1</v>
      </c>
      <c r="E432" s="1691" t="s">
        <v>1039</v>
      </c>
      <c r="F432" s="2287" t="s">
        <v>390</v>
      </c>
      <c r="G432" s="2377" t="s">
        <v>22</v>
      </c>
      <c r="H432" s="842" t="s">
        <v>22</v>
      </c>
      <c r="I432" s="2377" t="s">
        <v>22</v>
      </c>
      <c r="J432" s="842" t="s">
        <v>22</v>
      </c>
      <c r="K432" s="2377" t="s">
        <v>22</v>
      </c>
      <c r="L432" s="842" t="s">
        <v>22</v>
      </c>
      <c r="M432" s="2942" t="s">
        <v>22</v>
      </c>
      <c r="N432" s="2940" t="s">
        <v>22</v>
      </c>
      <c r="O432" s="2377" t="s">
        <v>22</v>
      </c>
      <c r="P432" s="842" t="s">
        <v>22</v>
      </c>
      <c r="Q432" s="2377" t="s">
        <v>1059</v>
      </c>
      <c r="R432" s="842" t="s">
        <v>22</v>
      </c>
      <c r="S432" s="2377"/>
      <c r="T432" s="842" t="s">
        <v>22</v>
      </c>
      <c r="U432" s="2377" t="s">
        <v>22</v>
      </c>
      <c r="V432" s="842" t="s">
        <v>22</v>
      </c>
      <c r="W432" s="2377" t="s">
        <v>22</v>
      </c>
      <c r="X432" s="842" t="s">
        <v>22</v>
      </c>
      <c r="Y432" s="2377" t="s">
        <v>22</v>
      </c>
      <c r="Z432" s="842" t="s">
        <v>22</v>
      </c>
      <c r="AA432" s="2942" t="s">
        <v>22</v>
      </c>
      <c r="AB432" s="2940" t="s">
        <v>22</v>
      </c>
      <c r="AC432" s="2377" t="s">
        <v>22</v>
      </c>
      <c r="AD432" s="842" t="s">
        <v>22</v>
      </c>
      <c r="AE432" s="2377" t="s">
        <v>22</v>
      </c>
      <c r="AF432" s="842" t="s">
        <v>22</v>
      </c>
      <c r="AG432" s="2942" t="s">
        <v>22</v>
      </c>
      <c r="AH432" s="2940" t="s">
        <v>22</v>
      </c>
      <c r="AI432" s="2377" t="s">
        <v>22</v>
      </c>
      <c r="AJ432" s="842" t="s">
        <v>22</v>
      </c>
      <c r="AK432" s="2377" t="s">
        <v>22</v>
      </c>
      <c r="AL432" s="842" t="s">
        <v>22</v>
      </c>
      <c r="AM432" s="1549"/>
      <c r="AN432" s="1659"/>
      <c r="AO432" s="1659"/>
      <c r="AP432" s="1659"/>
      <c r="AQ432" s="1659"/>
      <c r="AR432" s="1659"/>
      <c r="AS432" s="1659"/>
      <c r="AT432" s="1659"/>
      <c r="AU432" s="1659"/>
      <c r="AV432" s="1659"/>
      <c r="AW432" s="699"/>
      <c r="AX432" s="1659">
        <v>0</v>
      </c>
    </row>
    <row s="1874" customFormat="1" customHeight="1" ht="15">
      <c r="A433" s="1659"/>
      <c r="B433" s="2421"/>
      <c r="C433" s="2422"/>
      <c r="D433" s="713" t="str">
        <f>B432&amp;".2"</f>
        <v>3.132.2</v>
      </c>
      <c r="E433" s="1691" t="s">
        <v>1040</v>
      </c>
      <c r="F433" s="2287" t="s">
        <v>390</v>
      </c>
      <c r="G433" s="1762" t="s">
        <v>22</v>
      </c>
      <c r="H433" s="842" t="s">
        <v>22</v>
      </c>
      <c r="I433" s="1762" t="s">
        <v>22</v>
      </c>
      <c r="J433" s="842" t="s">
        <v>22</v>
      </c>
      <c r="K433" s="1762" t="s">
        <v>22</v>
      </c>
      <c r="L433" s="842" t="s">
        <v>22</v>
      </c>
      <c r="M433" s="2943" t="s">
        <v>22</v>
      </c>
      <c r="N433" s="2940" t="s">
        <v>22</v>
      </c>
      <c r="O433" s="1762" t="s">
        <v>22</v>
      </c>
      <c r="P433" s="842" t="s">
        <v>22</v>
      </c>
      <c r="Q433" s="1762">
        <v>46132</v>
      </c>
      <c r="R433" s="842" t="s">
        <v>22</v>
      </c>
      <c r="S433" s="1762"/>
      <c r="T433" s="842" t="s">
        <v>22</v>
      </c>
      <c r="U433" s="1762" t="s">
        <v>22</v>
      </c>
      <c r="V433" s="842" t="s">
        <v>22</v>
      </c>
      <c r="W433" s="1762" t="s">
        <v>22</v>
      </c>
      <c r="X433" s="842" t="s">
        <v>22</v>
      </c>
      <c r="Y433" s="1762" t="s">
        <v>22</v>
      </c>
      <c r="Z433" s="842" t="s">
        <v>22</v>
      </c>
      <c r="AA433" s="2943" t="s">
        <v>22</v>
      </c>
      <c r="AB433" s="2940" t="s">
        <v>22</v>
      </c>
      <c r="AC433" s="1762" t="s">
        <v>22</v>
      </c>
      <c r="AD433" s="842" t="s">
        <v>22</v>
      </c>
      <c r="AE433" s="1762" t="s">
        <v>22</v>
      </c>
      <c r="AF433" s="842" t="s">
        <v>22</v>
      </c>
      <c r="AG433" s="2943" t="s">
        <v>22</v>
      </c>
      <c r="AH433" s="2940" t="s">
        <v>22</v>
      </c>
      <c r="AI433" s="1762" t="s">
        <v>22</v>
      </c>
      <c r="AJ433" s="842" t="s">
        <v>22</v>
      </c>
      <c r="AK433" s="1762" t="s">
        <v>22</v>
      </c>
      <c r="AL433" s="842" t="s">
        <v>22</v>
      </c>
      <c r="AM433" s="1549" t="s">
        <v>1041</v>
      </c>
      <c r="AN433" s="1659"/>
      <c r="AO433" s="1659"/>
      <c r="AP433" s="1659"/>
      <c r="AQ433" s="1659"/>
      <c r="AR433" s="1659"/>
      <c r="AS433" s="1659"/>
      <c r="AT433" s="1659"/>
      <c r="AU433" s="1659"/>
      <c r="AV433" s="1659"/>
      <c r="AW433" s="699"/>
      <c r="AX433" s="1659">
        <v>0</v>
      </c>
    </row>
    <row s="1874" customFormat="1" customHeight="1" ht="15">
      <c r="A434" s="1659"/>
      <c r="B434" s="2421"/>
      <c r="C434" s="2422"/>
      <c r="D434" s="713" t="str">
        <f>B432&amp;".3"</f>
        <v>3.132.3</v>
      </c>
      <c r="E434" s="1691" t="s">
        <v>1042</v>
      </c>
      <c r="F434" s="2287" t="s">
        <v>390</v>
      </c>
      <c r="G434" s="1762" t="s">
        <v>22</v>
      </c>
      <c r="H434" s="842" t="s">
        <v>22</v>
      </c>
      <c r="I434" s="1762" t="s">
        <v>22</v>
      </c>
      <c r="J434" s="842" t="s">
        <v>22</v>
      </c>
      <c r="K434" s="1762" t="s">
        <v>22</v>
      </c>
      <c r="L434" s="842" t="s">
        <v>22</v>
      </c>
      <c r="M434" s="2943" t="s">
        <v>22</v>
      </c>
      <c r="N434" s="2940" t="s">
        <v>22</v>
      </c>
      <c r="O434" s="1762" t="s">
        <v>22</v>
      </c>
      <c r="P434" s="842" t="s">
        <v>22</v>
      </c>
      <c r="Q434" s="1762" t="s">
        <v>22</v>
      </c>
      <c r="R434" s="842" t="s">
        <v>22</v>
      </c>
      <c r="S434" s="1762"/>
      <c r="T434" s="842" t="s">
        <v>22</v>
      </c>
      <c r="U434" s="1762" t="s">
        <v>22</v>
      </c>
      <c r="V434" s="842" t="s">
        <v>22</v>
      </c>
      <c r="W434" s="1762" t="s">
        <v>22</v>
      </c>
      <c r="X434" s="842" t="s">
        <v>22</v>
      </c>
      <c r="Y434" s="1762" t="s">
        <v>22</v>
      </c>
      <c r="Z434" s="842" t="s">
        <v>22</v>
      </c>
      <c r="AA434" s="2943" t="s">
        <v>22</v>
      </c>
      <c r="AB434" s="2940" t="s">
        <v>22</v>
      </c>
      <c r="AC434" s="1762" t="s">
        <v>22</v>
      </c>
      <c r="AD434" s="842" t="s">
        <v>22</v>
      </c>
      <c r="AE434" s="1762" t="s">
        <v>22</v>
      </c>
      <c r="AF434" s="842" t="s">
        <v>22</v>
      </c>
      <c r="AG434" s="2943" t="s">
        <v>22</v>
      </c>
      <c r="AH434" s="2940" t="s">
        <v>22</v>
      </c>
      <c r="AI434" s="1762" t="s">
        <v>22</v>
      </c>
      <c r="AJ434" s="842" t="s">
        <v>22</v>
      </c>
      <c r="AK434" s="1762" t="s">
        <v>22</v>
      </c>
      <c r="AL434" s="842" t="s">
        <v>22</v>
      </c>
      <c r="AM434" s="1549" t="s">
        <v>1043</v>
      </c>
      <c r="AN434" s="1659"/>
      <c r="AO434" s="1659"/>
      <c r="AP434" s="1659"/>
      <c r="AQ434" s="1659"/>
      <c r="AR434" s="1659"/>
      <c r="AS434" s="1659"/>
      <c r="AT434" s="1659"/>
      <c r="AU434" s="1659"/>
      <c r="AV434" s="1659"/>
      <c r="AW434" s="699"/>
      <c r="AX434" s="1659">
        <v>0</v>
      </c>
    </row>
    <row s="1874" customFormat="1" customHeight="1" ht="22.5">
      <c r="A435" s="1659"/>
      <c r="B435" s="2421" t="s">
        <v>1218</v>
      </c>
      <c r="C435" s="2422" t="s">
        <v>104</v>
      </c>
      <c r="D435" s="713" t="str">
        <f>B435&amp;".1"</f>
        <v>3.133.1</v>
      </c>
      <c r="E435" s="1691" t="s">
        <v>1039</v>
      </c>
      <c r="F435" s="2287" t="s">
        <v>390</v>
      </c>
      <c r="G435" s="2377" t="s">
        <v>22</v>
      </c>
      <c r="H435" s="842" t="s">
        <v>22</v>
      </c>
      <c r="I435" s="2377" t="s">
        <v>22</v>
      </c>
      <c r="J435" s="842" t="s">
        <v>22</v>
      </c>
      <c r="K435" s="2377" t="s">
        <v>22</v>
      </c>
      <c r="L435" s="842" t="s">
        <v>22</v>
      </c>
      <c r="M435" s="2942" t="s">
        <v>22</v>
      </c>
      <c r="N435" s="2940" t="s">
        <v>22</v>
      </c>
      <c r="O435" s="2377" t="s">
        <v>22</v>
      </c>
      <c r="P435" s="842" t="s">
        <v>22</v>
      </c>
      <c r="Q435" s="2377" t="s">
        <v>1059</v>
      </c>
      <c r="R435" s="842" t="s">
        <v>22</v>
      </c>
      <c r="S435" s="2377"/>
      <c r="T435" s="842" t="s">
        <v>22</v>
      </c>
      <c r="U435" s="2377" t="s">
        <v>22</v>
      </c>
      <c r="V435" s="842" t="s">
        <v>22</v>
      </c>
      <c r="W435" s="2377" t="s">
        <v>22</v>
      </c>
      <c r="X435" s="842" t="s">
        <v>22</v>
      </c>
      <c r="Y435" s="2377" t="s">
        <v>22</v>
      </c>
      <c r="Z435" s="842" t="s">
        <v>22</v>
      </c>
      <c r="AA435" s="2942" t="s">
        <v>22</v>
      </c>
      <c r="AB435" s="2940" t="s">
        <v>22</v>
      </c>
      <c r="AC435" s="2377" t="s">
        <v>22</v>
      </c>
      <c r="AD435" s="842" t="s">
        <v>22</v>
      </c>
      <c r="AE435" s="2377" t="s">
        <v>22</v>
      </c>
      <c r="AF435" s="842" t="s">
        <v>22</v>
      </c>
      <c r="AG435" s="2942" t="s">
        <v>22</v>
      </c>
      <c r="AH435" s="2940" t="s">
        <v>22</v>
      </c>
      <c r="AI435" s="2377" t="s">
        <v>22</v>
      </c>
      <c r="AJ435" s="842" t="s">
        <v>22</v>
      </c>
      <c r="AK435" s="2377" t="s">
        <v>22</v>
      </c>
      <c r="AL435" s="842" t="s">
        <v>22</v>
      </c>
      <c r="AM435" s="1549"/>
      <c r="AN435" s="1659"/>
      <c r="AO435" s="1659"/>
      <c r="AP435" s="1659"/>
      <c r="AQ435" s="1659"/>
      <c r="AR435" s="1659"/>
      <c r="AS435" s="1659"/>
      <c r="AT435" s="1659"/>
      <c r="AU435" s="1659"/>
      <c r="AV435" s="1659"/>
      <c r="AW435" s="699"/>
      <c r="AX435" s="1659">
        <v>0</v>
      </c>
    </row>
    <row s="1874" customFormat="1" customHeight="1" ht="15">
      <c r="A436" s="1659"/>
      <c r="B436" s="2421"/>
      <c r="C436" s="2422"/>
      <c r="D436" s="713" t="str">
        <f>B435&amp;".2"</f>
        <v>3.133.2</v>
      </c>
      <c r="E436" s="1691" t="s">
        <v>1040</v>
      </c>
      <c r="F436" s="2287" t="s">
        <v>390</v>
      </c>
      <c r="G436" s="1762" t="s">
        <v>22</v>
      </c>
      <c r="H436" s="842" t="s">
        <v>22</v>
      </c>
      <c r="I436" s="1762" t="s">
        <v>22</v>
      </c>
      <c r="J436" s="842" t="s">
        <v>22</v>
      </c>
      <c r="K436" s="1762" t="s">
        <v>22</v>
      </c>
      <c r="L436" s="842" t="s">
        <v>22</v>
      </c>
      <c r="M436" s="2943" t="s">
        <v>22</v>
      </c>
      <c r="N436" s="2940" t="s">
        <v>22</v>
      </c>
      <c r="O436" s="1762" t="s">
        <v>22</v>
      </c>
      <c r="P436" s="842" t="s">
        <v>22</v>
      </c>
      <c r="Q436" s="1762">
        <v>46132</v>
      </c>
      <c r="R436" s="842" t="s">
        <v>22</v>
      </c>
      <c r="S436" s="1762"/>
      <c r="T436" s="842" t="s">
        <v>22</v>
      </c>
      <c r="U436" s="1762" t="s">
        <v>22</v>
      </c>
      <c r="V436" s="842" t="s">
        <v>22</v>
      </c>
      <c r="W436" s="1762" t="s">
        <v>22</v>
      </c>
      <c r="X436" s="842" t="s">
        <v>22</v>
      </c>
      <c r="Y436" s="1762" t="s">
        <v>22</v>
      </c>
      <c r="Z436" s="842" t="s">
        <v>22</v>
      </c>
      <c r="AA436" s="2943" t="s">
        <v>22</v>
      </c>
      <c r="AB436" s="2940" t="s">
        <v>22</v>
      </c>
      <c r="AC436" s="1762" t="s">
        <v>22</v>
      </c>
      <c r="AD436" s="842" t="s">
        <v>22</v>
      </c>
      <c r="AE436" s="1762" t="s">
        <v>22</v>
      </c>
      <c r="AF436" s="842" t="s">
        <v>22</v>
      </c>
      <c r="AG436" s="2943" t="s">
        <v>22</v>
      </c>
      <c r="AH436" s="2940" t="s">
        <v>22</v>
      </c>
      <c r="AI436" s="1762" t="s">
        <v>22</v>
      </c>
      <c r="AJ436" s="842" t="s">
        <v>22</v>
      </c>
      <c r="AK436" s="1762" t="s">
        <v>22</v>
      </c>
      <c r="AL436" s="842" t="s">
        <v>22</v>
      </c>
      <c r="AM436" s="1549" t="s">
        <v>1041</v>
      </c>
      <c r="AN436" s="1659"/>
      <c r="AO436" s="1659"/>
      <c r="AP436" s="1659"/>
      <c r="AQ436" s="1659"/>
      <c r="AR436" s="1659"/>
      <c r="AS436" s="1659"/>
      <c r="AT436" s="1659"/>
      <c r="AU436" s="1659"/>
      <c r="AV436" s="1659"/>
      <c r="AW436" s="699"/>
      <c r="AX436" s="1659">
        <v>0</v>
      </c>
    </row>
    <row s="1874" customFormat="1" customHeight="1" ht="15">
      <c r="A437" s="1659"/>
      <c r="B437" s="2421"/>
      <c r="C437" s="2422"/>
      <c r="D437" s="713" t="str">
        <f>B435&amp;".3"</f>
        <v>3.133.3</v>
      </c>
      <c r="E437" s="1691" t="s">
        <v>1042</v>
      </c>
      <c r="F437" s="2287" t="s">
        <v>390</v>
      </c>
      <c r="G437" s="1762" t="s">
        <v>22</v>
      </c>
      <c r="H437" s="842" t="s">
        <v>22</v>
      </c>
      <c r="I437" s="1762" t="s">
        <v>22</v>
      </c>
      <c r="J437" s="842" t="s">
        <v>22</v>
      </c>
      <c r="K437" s="1762" t="s">
        <v>22</v>
      </c>
      <c r="L437" s="842" t="s">
        <v>22</v>
      </c>
      <c r="M437" s="2943" t="s">
        <v>22</v>
      </c>
      <c r="N437" s="2940" t="s">
        <v>22</v>
      </c>
      <c r="O437" s="1762" t="s">
        <v>22</v>
      </c>
      <c r="P437" s="842" t="s">
        <v>22</v>
      </c>
      <c r="Q437" s="1762" t="s">
        <v>22</v>
      </c>
      <c r="R437" s="842" t="s">
        <v>22</v>
      </c>
      <c r="S437" s="1762"/>
      <c r="T437" s="842" t="s">
        <v>22</v>
      </c>
      <c r="U437" s="1762" t="s">
        <v>22</v>
      </c>
      <c r="V437" s="842" t="s">
        <v>22</v>
      </c>
      <c r="W437" s="1762" t="s">
        <v>22</v>
      </c>
      <c r="X437" s="842" t="s">
        <v>22</v>
      </c>
      <c r="Y437" s="1762" t="s">
        <v>22</v>
      </c>
      <c r="Z437" s="842" t="s">
        <v>22</v>
      </c>
      <c r="AA437" s="2943" t="s">
        <v>22</v>
      </c>
      <c r="AB437" s="2940" t="s">
        <v>22</v>
      </c>
      <c r="AC437" s="1762" t="s">
        <v>22</v>
      </c>
      <c r="AD437" s="842" t="s">
        <v>22</v>
      </c>
      <c r="AE437" s="1762" t="s">
        <v>22</v>
      </c>
      <c r="AF437" s="842" t="s">
        <v>22</v>
      </c>
      <c r="AG437" s="2943" t="s">
        <v>22</v>
      </c>
      <c r="AH437" s="2940" t="s">
        <v>22</v>
      </c>
      <c r="AI437" s="1762" t="s">
        <v>22</v>
      </c>
      <c r="AJ437" s="842" t="s">
        <v>22</v>
      </c>
      <c r="AK437" s="1762" t="s">
        <v>22</v>
      </c>
      <c r="AL437" s="842" t="s">
        <v>22</v>
      </c>
      <c r="AM437" s="1549" t="s">
        <v>1043</v>
      </c>
      <c r="AN437" s="1659"/>
      <c r="AO437" s="1659"/>
      <c r="AP437" s="1659"/>
      <c r="AQ437" s="1659"/>
      <c r="AR437" s="1659"/>
      <c r="AS437" s="1659"/>
      <c r="AT437" s="1659"/>
      <c r="AU437" s="1659"/>
      <c r="AV437" s="1659"/>
      <c r="AW437" s="699"/>
      <c r="AX437" s="1659">
        <v>0</v>
      </c>
    </row>
    <row s="1874" customFormat="1" customHeight="1" ht="22.5">
      <c r="A438" s="1659"/>
      <c r="B438" s="2421" t="s">
        <v>1219</v>
      </c>
      <c r="C438" s="2422" t="s">
        <v>104</v>
      </c>
      <c r="D438" s="713" t="str">
        <f>B438&amp;".1"</f>
        <v>3.134.1</v>
      </c>
      <c r="E438" s="1691" t="s">
        <v>1039</v>
      </c>
      <c r="F438" s="2287" t="s">
        <v>390</v>
      </c>
      <c r="G438" s="2377" t="s">
        <v>22</v>
      </c>
      <c r="H438" s="842" t="s">
        <v>22</v>
      </c>
      <c r="I438" s="2377" t="s">
        <v>22</v>
      </c>
      <c r="J438" s="842" t="s">
        <v>22</v>
      </c>
      <c r="K438" s="2377" t="s">
        <v>22</v>
      </c>
      <c r="L438" s="842" t="s">
        <v>22</v>
      </c>
      <c r="M438" s="2942" t="s">
        <v>22</v>
      </c>
      <c r="N438" s="2940" t="s">
        <v>22</v>
      </c>
      <c r="O438" s="2377" t="s">
        <v>22</v>
      </c>
      <c r="P438" s="842" t="s">
        <v>22</v>
      </c>
      <c r="Q438" s="2377" t="s">
        <v>1059</v>
      </c>
      <c r="R438" s="842" t="s">
        <v>22</v>
      </c>
      <c r="S438" s="2377"/>
      <c r="T438" s="842" t="s">
        <v>22</v>
      </c>
      <c r="U438" s="2377" t="s">
        <v>22</v>
      </c>
      <c r="V438" s="842" t="s">
        <v>22</v>
      </c>
      <c r="W438" s="2377" t="s">
        <v>22</v>
      </c>
      <c r="X438" s="842" t="s">
        <v>22</v>
      </c>
      <c r="Y438" s="2377" t="s">
        <v>22</v>
      </c>
      <c r="Z438" s="842" t="s">
        <v>22</v>
      </c>
      <c r="AA438" s="2942" t="s">
        <v>22</v>
      </c>
      <c r="AB438" s="2940" t="s">
        <v>22</v>
      </c>
      <c r="AC438" s="2377" t="s">
        <v>22</v>
      </c>
      <c r="AD438" s="842" t="s">
        <v>22</v>
      </c>
      <c r="AE438" s="2377" t="s">
        <v>22</v>
      </c>
      <c r="AF438" s="842" t="s">
        <v>22</v>
      </c>
      <c r="AG438" s="2942" t="s">
        <v>22</v>
      </c>
      <c r="AH438" s="2940" t="s">
        <v>22</v>
      </c>
      <c r="AI438" s="2377" t="s">
        <v>22</v>
      </c>
      <c r="AJ438" s="842" t="s">
        <v>22</v>
      </c>
      <c r="AK438" s="2377" t="s">
        <v>22</v>
      </c>
      <c r="AL438" s="842" t="s">
        <v>22</v>
      </c>
      <c r="AM438" s="1549"/>
      <c r="AN438" s="1659"/>
      <c r="AO438" s="1659"/>
      <c r="AP438" s="1659"/>
      <c r="AQ438" s="1659"/>
      <c r="AR438" s="1659"/>
      <c r="AS438" s="1659"/>
      <c r="AT438" s="1659"/>
      <c r="AU438" s="1659"/>
      <c r="AV438" s="1659"/>
      <c r="AW438" s="699"/>
      <c r="AX438" s="1659">
        <v>0</v>
      </c>
    </row>
    <row s="1874" customFormat="1" customHeight="1" ht="15">
      <c r="A439" s="1659"/>
      <c r="B439" s="2421"/>
      <c r="C439" s="2422"/>
      <c r="D439" s="713" t="str">
        <f>B438&amp;".2"</f>
        <v>3.134.2</v>
      </c>
      <c r="E439" s="1691" t="s">
        <v>1040</v>
      </c>
      <c r="F439" s="2287" t="s">
        <v>390</v>
      </c>
      <c r="G439" s="1762" t="s">
        <v>22</v>
      </c>
      <c r="H439" s="842" t="s">
        <v>22</v>
      </c>
      <c r="I439" s="1762" t="s">
        <v>22</v>
      </c>
      <c r="J439" s="842" t="s">
        <v>22</v>
      </c>
      <c r="K439" s="1762" t="s">
        <v>22</v>
      </c>
      <c r="L439" s="842" t="s">
        <v>22</v>
      </c>
      <c r="M439" s="2943" t="s">
        <v>22</v>
      </c>
      <c r="N439" s="2940" t="s">
        <v>22</v>
      </c>
      <c r="O439" s="1762" t="s">
        <v>22</v>
      </c>
      <c r="P439" s="842" t="s">
        <v>22</v>
      </c>
      <c r="Q439" s="1762">
        <v>46132</v>
      </c>
      <c r="R439" s="842" t="s">
        <v>22</v>
      </c>
      <c r="S439" s="1762"/>
      <c r="T439" s="842" t="s">
        <v>22</v>
      </c>
      <c r="U439" s="1762" t="s">
        <v>22</v>
      </c>
      <c r="V439" s="842" t="s">
        <v>22</v>
      </c>
      <c r="W439" s="1762" t="s">
        <v>22</v>
      </c>
      <c r="X439" s="842" t="s">
        <v>22</v>
      </c>
      <c r="Y439" s="1762" t="s">
        <v>22</v>
      </c>
      <c r="Z439" s="842" t="s">
        <v>22</v>
      </c>
      <c r="AA439" s="2943" t="s">
        <v>22</v>
      </c>
      <c r="AB439" s="2940" t="s">
        <v>22</v>
      </c>
      <c r="AC439" s="1762" t="s">
        <v>22</v>
      </c>
      <c r="AD439" s="842" t="s">
        <v>22</v>
      </c>
      <c r="AE439" s="1762" t="s">
        <v>22</v>
      </c>
      <c r="AF439" s="842" t="s">
        <v>22</v>
      </c>
      <c r="AG439" s="2943" t="s">
        <v>22</v>
      </c>
      <c r="AH439" s="2940" t="s">
        <v>22</v>
      </c>
      <c r="AI439" s="1762" t="s">
        <v>22</v>
      </c>
      <c r="AJ439" s="842" t="s">
        <v>22</v>
      </c>
      <c r="AK439" s="1762" t="s">
        <v>22</v>
      </c>
      <c r="AL439" s="842" t="s">
        <v>22</v>
      </c>
      <c r="AM439" s="1549" t="s">
        <v>1041</v>
      </c>
      <c r="AN439" s="1659"/>
      <c r="AO439" s="1659"/>
      <c r="AP439" s="1659"/>
      <c r="AQ439" s="1659"/>
      <c r="AR439" s="1659"/>
      <c r="AS439" s="1659"/>
      <c r="AT439" s="1659"/>
      <c r="AU439" s="1659"/>
      <c r="AV439" s="1659"/>
      <c r="AW439" s="699"/>
      <c r="AX439" s="1659">
        <v>0</v>
      </c>
    </row>
    <row s="1874" customFormat="1" customHeight="1" ht="15">
      <c r="A440" s="1659"/>
      <c r="B440" s="2421"/>
      <c r="C440" s="2422"/>
      <c r="D440" s="713" t="str">
        <f>B438&amp;".3"</f>
        <v>3.134.3</v>
      </c>
      <c r="E440" s="1691" t="s">
        <v>1042</v>
      </c>
      <c r="F440" s="2287" t="s">
        <v>390</v>
      </c>
      <c r="G440" s="1762" t="s">
        <v>22</v>
      </c>
      <c r="H440" s="842" t="s">
        <v>22</v>
      </c>
      <c r="I440" s="1762" t="s">
        <v>22</v>
      </c>
      <c r="J440" s="842" t="s">
        <v>22</v>
      </c>
      <c r="K440" s="1762" t="s">
        <v>22</v>
      </c>
      <c r="L440" s="842" t="s">
        <v>22</v>
      </c>
      <c r="M440" s="2943" t="s">
        <v>22</v>
      </c>
      <c r="N440" s="2940" t="s">
        <v>22</v>
      </c>
      <c r="O440" s="1762" t="s">
        <v>22</v>
      </c>
      <c r="P440" s="842" t="s">
        <v>22</v>
      </c>
      <c r="Q440" s="1762" t="s">
        <v>22</v>
      </c>
      <c r="R440" s="842" t="s">
        <v>22</v>
      </c>
      <c r="S440" s="1762"/>
      <c r="T440" s="842" t="s">
        <v>22</v>
      </c>
      <c r="U440" s="1762" t="s">
        <v>22</v>
      </c>
      <c r="V440" s="842" t="s">
        <v>22</v>
      </c>
      <c r="W440" s="1762" t="s">
        <v>22</v>
      </c>
      <c r="X440" s="842" t="s">
        <v>22</v>
      </c>
      <c r="Y440" s="1762" t="s">
        <v>22</v>
      </c>
      <c r="Z440" s="842" t="s">
        <v>22</v>
      </c>
      <c r="AA440" s="2943" t="s">
        <v>22</v>
      </c>
      <c r="AB440" s="2940" t="s">
        <v>22</v>
      </c>
      <c r="AC440" s="1762" t="s">
        <v>22</v>
      </c>
      <c r="AD440" s="842" t="s">
        <v>22</v>
      </c>
      <c r="AE440" s="1762" t="s">
        <v>22</v>
      </c>
      <c r="AF440" s="842" t="s">
        <v>22</v>
      </c>
      <c r="AG440" s="2943" t="s">
        <v>22</v>
      </c>
      <c r="AH440" s="2940" t="s">
        <v>22</v>
      </c>
      <c r="AI440" s="1762" t="s">
        <v>22</v>
      </c>
      <c r="AJ440" s="842" t="s">
        <v>22</v>
      </c>
      <c r="AK440" s="1762" t="s">
        <v>22</v>
      </c>
      <c r="AL440" s="842" t="s">
        <v>22</v>
      </c>
      <c r="AM440" s="1549" t="s">
        <v>1043</v>
      </c>
      <c r="AN440" s="1659"/>
      <c r="AO440" s="1659"/>
      <c r="AP440" s="1659"/>
      <c r="AQ440" s="1659"/>
      <c r="AR440" s="1659"/>
      <c r="AS440" s="1659"/>
      <c r="AT440" s="1659"/>
      <c r="AU440" s="1659"/>
      <c r="AV440" s="1659"/>
      <c r="AW440" s="699"/>
      <c r="AX440" s="1659">
        <v>0</v>
      </c>
    </row>
    <row s="1874" customFormat="1" customHeight="1" ht="22.5">
      <c r="A441" s="1659"/>
      <c r="B441" s="2421" t="s">
        <v>1220</v>
      </c>
      <c r="C441" s="2422" t="s">
        <v>104</v>
      </c>
      <c r="D441" s="713" t="str">
        <f>B441&amp;".1"</f>
        <v>3.135.1</v>
      </c>
      <c r="E441" s="1691" t="s">
        <v>1039</v>
      </c>
      <c r="F441" s="2287" t="s">
        <v>390</v>
      </c>
      <c r="G441" s="2377" t="s">
        <v>22</v>
      </c>
      <c r="H441" s="842" t="s">
        <v>22</v>
      </c>
      <c r="I441" s="2377" t="s">
        <v>22</v>
      </c>
      <c r="J441" s="842" t="s">
        <v>22</v>
      </c>
      <c r="K441" s="2377" t="s">
        <v>22</v>
      </c>
      <c r="L441" s="842" t="s">
        <v>22</v>
      </c>
      <c r="M441" s="2942" t="s">
        <v>22</v>
      </c>
      <c r="N441" s="2940" t="s">
        <v>22</v>
      </c>
      <c r="O441" s="2377" t="s">
        <v>22</v>
      </c>
      <c r="P441" s="842" t="s">
        <v>22</v>
      </c>
      <c r="Q441" s="2377" t="s">
        <v>1059</v>
      </c>
      <c r="R441" s="842" t="s">
        <v>22</v>
      </c>
      <c r="S441" s="2377"/>
      <c r="T441" s="842" t="s">
        <v>22</v>
      </c>
      <c r="U441" s="2377" t="s">
        <v>22</v>
      </c>
      <c r="V441" s="842" t="s">
        <v>22</v>
      </c>
      <c r="W441" s="2377" t="s">
        <v>22</v>
      </c>
      <c r="X441" s="842" t="s">
        <v>22</v>
      </c>
      <c r="Y441" s="2377" t="s">
        <v>22</v>
      </c>
      <c r="Z441" s="842" t="s">
        <v>22</v>
      </c>
      <c r="AA441" s="2942" t="s">
        <v>22</v>
      </c>
      <c r="AB441" s="2940" t="s">
        <v>22</v>
      </c>
      <c r="AC441" s="2377" t="s">
        <v>22</v>
      </c>
      <c r="AD441" s="842" t="s">
        <v>22</v>
      </c>
      <c r="AE441" s="2377" t="s">
        <v>22</v>
      </c>
      <c r="AF441" s="842" t="s">
        <v>22</v>
      </c>
      <c r="AG441" s="2942" t="s">
        <v>22</v>
      </c>
      <c r="AH441" s="2940" t="s">
        <v>22</v>
      </c>
      <c r="AI441" s="2377" t="s">
        <v>22</v>
      </c>
      <c r="AJ441" s="842" t="s">
        <v>22</v>
      </c>
      <c r="AK441" s="2377" t="s">
        <v>22</v>
      </c>
      <c r="AL441" s="842" t="s">
        <v>22</v>
      </c>
      <c r="AM441" s="1549"/>
      <c r="AN441" s="1659"/>
      <c r="AO441" s="1659"/>
      <c r="AP441" s="1659"/>
      <c r="AQ441" s="1659"/>
      <c r="AR441" s="1659"/>
      <c r="AS441" s="1659"/>
      <c r="AT441" s="1659"/>
      <c r="AU441" s="1659"/>
      <c r="AV441" s="1659"/>
      <c r="AW441" s="699"/>
      <c r="AX441" s="1659">
        <v>0</v>
      </c>
    </row>
    <row s="1874" customFormat="1" customHeight="1" ht="15">
      <c r="A442" s="1659"/>
      <c r="B442" s="2421"/>
      <c r="C442" s="2422"/>
      <c r="D442" s="713" t="str">
        <f>B441&amp;".2"</f>
        <v>3.135.2</v>
      </c>
      <c r="E442" s="1691" t="s">
        <v>1040</v>
      </c>
      <c r="F442" s="2287" t="s">
        <v>390</v>
      </c>
      <c r="G442" s="1762" t="s">
        <v>22</v>
      </c>
      <c r="H442" s="842" t="s">
        <v>22</v>
      </c>
      <c r="I442" s="1762" t="s">
        <v>22</v>
      </c>
      <c r="J442" s="842" t="s">
        <v>22</v>
      </c>
      <c r="K442" s="1762" t="s">
        <v>22</v>
      </c>
      <c r="L442" s="842" t="s">
        <v>22</v>
      </c>
      <c r="M442" s="2943" t="s">
        <v>22</v>
      </c>
      <c r="N442" s="2940" t="s">
        <v>22</v>
      </c>
      <c r="O442" s="1762" t="s">
        <v>22</v>
      </c>
      <c r="P442" s="842" t="s">
        <v>22</v>
      </c>
      <c r="Q442" s="1762">
        <v>46132</v>
      </c>
      <c r="R442" s="842" t="s">
        <v>22</v>
      </c>
      <c r="S442" s="1762"/>
      <c r="T442" s="842" t="s">
        <v>22</v>
      </c>
      <c r="U442" s="1762" t="s">
        <v>22</v>
      </c>
      <c r="V442" s="842" t="s">
        <v>22</v>
      </c>
      <c r="W442" s="1762" t="s">
        <v>22</v>
      </c>
      <c r="X442" s="842" t="s">
        <v>22</v>
      </c>
      <c r="Y442" s="1762" t="s">
        <v>22</v>
      </c>
      <c r="Z442" s="842" t="s">
        <v>22</v>
      </c>
      <c r="AA442" s="2943" t="s">
        <v>22</v>
      </c>
      <c r="AB442" s="2940" t="s">
        <v>22</v>
      </c>
      <c r="AC442" s="1762" t="s">
        <v>22</v>
      </c>
      <c r="AD442" s="842" t="s">
        <v>22</v>
      </c>
      <c r="AE442" s="1762" t="s">
        <v>22</v>
      </c>
      <c r="AF442" s="842" t="s">
        <v>22</v>
      </c>
      <c r="AG442" s="2943" t="s">
        <v>22</v>
      </c>
      <c r="AH442" s="2940" t="s">
        <v>22</v>
      </c>
      <c r="AI442" s="1762" t="s">
        <v>22</v>
      </c>
      <c r="AJ442" s="842" t="s">
        <v>22</v>
      </c>
      <c r="AK442" s="1762" t="s">
        <v>22</v>
      </c>
      <c r="AL442" s="842" t="s">
        <v>22</v>
      </c>
      <c r="AM442" s="1549" t="s">
        <v>1041</v>
      </c>
      <c r="AN442" s="1659"/>
      <c r="AO442" s="1659"/>
      <c r="AP442" s="1659"/>
      <c r="AQ442" s="1659"/>
      <c r="AR442" s="1659"/>
      <c r="AS442" s="1659"/>
      <c r="AT442" s="1659"/>
      <c r="AU442" s="1659"/>
      <c r="AV442" s="1659"/>
      <c r="AW442" s="699"/>
      <c r="AX442" s="1659">
        <v>0</v>
      </c>
    </row>
    <row s="1874" customFormat="1" customHeight="1" ht="15">
      <c r="A443" s="1659"/>
      <c r="B443" s="2421"/>
      <c r="C443" s="2422"/>
      <c r="D443" s="713" t="str">
        <f>B441&amp;".3"</f>
        <v>3.135.3</v>
      </c>
      <c r="E443" s="1691" t="s">
        <v>1042</v>
      </c>
      <c r="F443" s="2287" t="s">
        <v>390</v>
      </c>
      <c r="G443" s="1762" t="s">
        <v>22</v>
      </c>
      <c r="H443" s="842" t="s">
        <v>22</v>
      </c>
      <c r="I443" s="1762" t="s">
        <v>22</v>
      </c>
      <c r="J443" s="842" t="s">
        <v>22</v>
      </c>
      <c r="K443" s="1762" t="s">
        <v>22</v>
      </c>
      <c r="L443" s="842" t="s">
        <v>22</v>
      </c>
      <c r="M443" s="2943" t="s">
        <v>22</v>
      </c>
      <c r="N443" s="2940" t="s">
        <v>22</v>
      </c>
      <c r="O443" s="1762" t="s">
        <v>22</v>
      </c>
      <c r="P443" s="842" t="s">
        <v>22</v>
      </c>
      <c r="Q443" s="1762" t="s">
        <v>22</v>
      </c>
      <c r="R443" s="842" t="s">
        <v>22</v>
      </c>
      <c r="S443" s="1762"/>
      <c r="T443" s="842" t="s">
        <v>22</v>
      </c>
      <c r="U443" s="1762" t="s">
        <v>22</v>
      </c>
      <c r="V443" s="842" t="s">
        <v>22</v>
      </c>
      <c r="W443" s="1762" t="s">
        <v>22</v>
      </c>
      <c r="X443" s="842" t="s">
        <v>22</v>
      </c>
      <c r="Y443" s="1762" t="s">
        <v>22</v>
      </c>
      <c r="Z443" s="842" t="s">
        <v>22</v>
      </c>
      <c r="AA443" s="2943" t="s">
        <v>22</v>
      </c>
      <c r="AB443" s="2940" t="s">
        <v>22</v>
      </c>
      <c r="AC443" s="1762" t="s">
        <v>22</v>
      </c>
      <c r="AD443" s="842" t="s">
        <v>22</v>
      </c>
      <c r="AE443" s="1762" t="s">
        <v>22</v>
      </c>
      <c r="AF443" s="842" t="s">
        <v>22</v>
      </c>
      <c r="AG443" s="2943" t="s">
        <v>22</v>
      </c>
      <c r="AH443" s="2940" t="s">
        <v>22</v>
      </c>
      <c r="AI443" s="1762" t="s">
        <v>22</v>
      </c>
      <c r="AJ443" s="842" t="s">
        <v>22</v>
      </c>
      <c r="AK443" s="1762" t="s">
        <v>22</v>
      </c>
      <c r="AL443" s="842" t="s">
        <v>22</v>
      </c>
      <c r="AM443" s="1549" t="s">
        <v>1043</v>
      </c>
      <c r="AN443" s="1659"/>
      <c r="AO443" s="1659"/>
      <c r="AP443" s="1659"/>
      <c r="AQ443" s="1659"/>
      <c r="AR443" s="1659"/>
      <c r="AS443" s="1659"/>
      <c r="AT443" s="1659"/>
      <c r="AU443" s="1659"/>
      <c r="AV443" s="1659"/>
      <c r="AW443" s="699"/>
      <c r="AX443" s="1659">
        <v>0</v>
      </c>
    </row>
    <row s="1874" customFormat="1" customHeight="1" ht="22.5">
      <c r="A444" s="1659"/>
      <c r="B444" s="2421" t="s">
        <v>1221</v>
      </c>
      <c r="C444" s="2422" t="s">
        <v>104</v>
      </c>
      <c r="D444" s="713" t="str">
        <f>B444&amp;".1"</f>
        <v>3.136.1</v>
      </c>
      <c r="E444" s="1691" t="s">
        <v>1039</v>
      </c>
      <c r="F444" s="2287" t="s">
        <v>390</v>
      </c>
      <c r="G444" s="2377" t="s">
        <v>22</v>
      </c>
      <c r="H444" s="842" t="s">
        <v>22</v>
      </c>
      <c r="I444" s="2377" t="s">
        <v>22</v>
      </c>
      <c r="J444" s="842" t="s">
        <v>22</v>
      </c>
      <c r="K444" s="2377" t="s">
        <v>22</v>
      </c>
      <c r="L444" s="842" t="s">
        <v>22</v>
      </c>
      <c r="M444" s="2942" t="s">
        <v>22</v>
      </c>
      <c r="N444" s="2940" t="s">
        <v>22</v>
      </c>
      <c r="O444" s="2377" t="s">
        <v>22</v>
      </c>
      <c r="P444" s="842" t="s">
        <v>22</v>
      </c>
      <c r="Q444" s="2377" t="s">
        <v>1059</v>
      </c>
      <c r="R444" s="842" t="s">
        <v>22</v>
      </c>
      <c r="S444" s="2377"/>
      <c r="T444" s="842" t="s">
        <v>22</v>
      </c>
      <c r="U444" s="2377" t="s">
        <v>22</v>
      </c>
      <c r="V444" s="842" t="s">
        <v>22</v>
      </c>
      <c r="W444" s="2377" t="s">
        <v>22</v>
      </c>
      <c r="X444" s="842" t="s">
        <v>22</v>
      </c>
      <c r="Y444" s="2377" t="s">
        <v>22</v>
      </c>
      <c r="Z444" s="842" t="s">
        <v>22</v>
      </c>
      <c r="AA444" s="2942" t="s">
        <v>22</v>
      </c>
      <c r="AB444" s="2940" t="s">
        <v>22</v>
      </c>
      <c r="AC444" s="2377" t="s">
        <v>22</v>
      </c>
      <c r="AD444" s="842" t="s">
        <v>22</v>
      </c>
      <c r="AE444" s="2377" t="s">
        <v>22</v>
      </c>
      <c r="AF444" s="842" t="s">
        <v>22</v>
      </c>
      <c r="AG444" s="2942" t="s">
        <v>22</v>
      </c>
      <c r="AH444" s="2940" t="s">
        <v>22</v>
      </c>
      <c r="AI444" s="2377" t="s">
        <v>22</v>
      </c>
      <c r="AJ444" s="842" t="s">
        <v>22</v>
      </c>
      <c r="AK444" s="2377" t="s">
        <v>22</v>
      </c>
      <c r="AL444" s="842" t="s">
        <v>22</v>
      </c>
      <c r="AM444" s="1549"/>
      <c r="AN444" s="1659"/>
      <c r="AO444" s="1659"/>
      <c r="AP444" s="1659"/>
      <c r="AQ444" s="1659"/>
      <c r="AR444" s="1659"/>
      <c r="AS444" s="1659"/>
      <c r="AT444" s="1659"/>
      <c r="AU444" s="1659"/>
      <c r="AV444" s="1659"/>
      <c r="AW444" s="699"/>
      <c r="AX444" s="1659">
        <v>0</v>
      </c>
    </row>
    <row s="1874" customFormat="1" customHeight="1" ht="15">
      <c r="A445" s="1659"/>
      <c r="B445" s="2421"/>
      <c r="C445" s="2422"/>
      <c r="D445" s="713" t="str">
        <f>B444&amp;".2"</f>
        <v>3.136.2</v>
      </c>
      <c r="E445" s="1691" t="s">
        <v>1040</v>
      </c>
      <c r="F445" s="2287" t="s">
        <v>390</v>
      </c>
      <c r="G445" s="1762" t="s">
        <v>22</v>
      </c>
      <c r="H445" s="842" t="s">
        <v>22</v>
      </c>
      <c r="I445" s="1762" t="s">
        <v>22</v>
      </c>
      <c r="J445" s="842" t="s">
        <v>22</v>
      </c>
      <c r="K445" s="1762" t="s">
        <v>22</v>
      </c>
      <c r="L445" s="842" t="s">
        <v>22</v>
      </c>
      <c r="M445" s="2943" t="s">
        <v>22</v>
      </c>
      <c r="N445" s="2940" t="s">
        <v>22</v>
      </c>
      <c r="O445" s="1762" t="s">
        <v>22</v>
      </c>
      <c r="P445" s="842" t="s">
        <v>22</v>
      </c>
      <c r="Q445" s="1762">
        <v>46132</v>
      </c>
      <c r="R445" s="842" t="s">
        <v>22</v>
      </c>
      <c r="S445" s="1762"/>
      <c r="T445" s="842" t="s">
        <v>22</v>
      </c>
      <c r="U445" s="1762" t="s">
        <v>22</v>
      </c>
      <c r="V445" s="842" t="s">
        <v>22</v>
      </c>
      <c r="W445" s="1762" t="s">
        <v>22</v>
      </c>
      <c r="X445" s="842" t="s">
        <v>22</v>
      </c>
      <c r="Y445" s="1762" t="s">
        <v>22</v>
      </c>
      <c r="Z445" s="842" t="s">
        <v>22</v>
      </c>
      <c r="AA445" s="2943" t="s">
        <v>22</v>
      </c>
      <c r="AB445" s="2940" t="s">
        <v>22</v>
      </c>
      <c r="AC445" s="1762" t="s">
        <v>22</v>
      </c>
      <c r="AD445" s="842" t="s">
        <v>22</v>
      </c>
      <c r="AE445" s="1762" t="s">
        <v>22</v>
      </c>
      <c r="AF445" s="842" t="s">
        <v>22</v>
      </c>
      <c r="AG445" s="2943" t="s">
        <v>22</v>
      </c>
      <c r="AH445" s="2940" t="s">
        <v>22</v>
      </c>
      <c r="AI445" s="1762" t="s">
        <v>22</v>
      </c>
      <c r="AJ445" s="842" t="s">
        <v>22</v>
      </c>
      <c r="AK445" s="1762" t="s">
        <v>22</v>
      </c>
      <c r="AL445" s="842" t="s">
        <v>22</v>
      </c>
      <c r="AM445" s="1549" t="s">
        <v>1041</v>
      </c>
      <c r="AN445" s="1659"/>
      <c r="AO445" s="1659"/>
      <c r="AP445" s="1659"/>
      <c r="AQ445" s="1659"/>
      <c r="AR445" s="1659"/>
      <c r="AS445" s="1659"/>
      <c r="AT445" s="1659"/>
      <c r="AU445" s="1659"/>
      <c r="AV445" s="1659"/>
      <c r="AW445" s="699"/>
      <c r="AX445" s="1659">
        <v>0</v>
      </c>
    </row>
    <row s="1874" customFormat="1" customHeight="1" ht="15">
      <c r="A446" s="1659"/>
      <c r="B446" s="2421"/>
      <c r="C446" s="2422"/>
      <c r="D446" s="713" t="str">
        <f>B444&amp;".3"</f>
        <v>3.136.3</v>
      </c>
      <c r="E446" s="1691" t="s">
        <v>1042</v>
      </c>
      <c r="F446" s="2287" t="s">
        <v>390</v>
      </c>
      <c r="G446" s="1762" t="s">
        <v>22</v>
      </c>
      <c r="H446" s="842" t="s">
        <v>22</v>
      </c>
      <c r="I446" s="1762" t="s">
        <v>22</v>
      </c>
      <c r="J446" s="842" t="s">
        <v>22</v>
      </c>
      <c r="K446" s="1762" t="s">
        <v>22</v>
      </c>
      <c r="L446" s="842" t="s">
        <v>22</v>
      </c>
      <c r="M446" s="2943" t="s">
        <v>22</v>
      </c>
      <c r="N446" s="2940" t="s">
        <v>22</v>
      </c>
      <c r="O446" s="1762" t="s">
        <v>22</v>
      </c>
      <c r="P446" s="842" t="s">
        <v>22</v>
      </c>
      <c r="Q446" s="1762" t="s">
        <v>22</v>
      </c>
      <c r="R446" s="842" t="s">
        <v>22</v>
      </c>
      <c r="S446" s="1762"/>
      <c r="T446" s="842" t="s">
        <v>22</v>
      </c>
      <c r="U446" s="1762" t="s">
        <v>22</v>
      </c>
      <c r="V446" s="842" t="s">
        <v>22</v>
      </c>
      <c r="W446" s="1762" t="s">
        <v>22</v>
      </c>
      <c r="X446" s="842" t="s">
        <v>22</v>
      </c>
      <c r="Y446" s="1762" t="s">
        <v>22</v>
      </c>
      <c r="Z446" s="842" t="s">
        <v>22</v>
      </c>
      <c r="AA446" s="2943" t="s">
        <v>22</v>
      </c>
      <c r="AB446" s="2940" t="s">
        <v>22</v>
      </c>
      <c r="AC446" s="1762" t="s">
        <v>22</v>
      </c>
      <c r="AD446" s="842" t="s">
        <v>22</v>
      </c>
      <c r="AE446" s="1762" t="s">
        <v>22</v>
      </c>
      <c r="AF446" s="842" t="s">
        <v>22</v>
      </c>
      <c r="AG446" s="2943" t="s">
        <v>22</v>
      </c>
      <c r="AH446" s="2940" t="s">
        <v>22</v>
      </c>
      <c r="AI446" s="1762" t="s">
        <v>22</v>
      </c>
      <c r="AJ446" s="842" t="s">
        <v>22</v>
      </c>
      <c r="AK446" s="1762" t="s">
        <v>22</v>
      </c>
      <c r="AL446" s="842" t="s">
        <v>22</v>
      </c>
      <c r="AM446" s="1549" t="s">
        <v>1043</v>
      </c>
      <c r="AN446" s="1659"/>
      <c r="AO446" s="1659"/>
      <c r="AP446" s="1659"/>
      <c r="AQ446" s="1659"/>
      <c r="AR446" s="1659"/>
      <c r="AS446" s="1659"/>
      <c r="AT446" s="1659"/>
      <c r="AU446" s="1659"/>
      <c r="AV446" s="1659"/>
      <c r="AW446" s="699"/>
      <c r="AX446" s="1659">
        <v>0</v>
      </c>
    </row>
    <row s="1874" customFormat="1" customHeight="1" ht="22.5">
      <c r="A447" s="1659"/>
      <c r="B447" s="2421" t="s">
        <v>1222</v>
      </c>
      <c r="C447" s="2422" t="s">
        <v>104</v>
      </c>
      <c r="D447" s="713" t="str">
        <f>B447&amp;".1"</f>
        <v>3.137.1</v>
      </c>
      <c r="E447" s="1691" t="s">
        <v>1039</v>
      </c>
      <c r="F447" s="2287" t="s">
        <v>390</v>
      </c>
      <c r="G447" s="2377" t="s">
        <v>22</v>
      </c>
      <c r="H447" s="842" t="s">
        <v>22</v>
      </c>
      <c r="I447" s="2377" t="s">
        <v>22</v>
      </c>
      <c r="J447" s="842" t="s">
        <v>22</v>
      </c>
      <c r="K447" s="2377" t="s">
        <v>22</v>
      </c>
      <c r="L447" s="842" t="s">
        <v>22</v>
      </c>
      <c r="M447" s="2942" t="s">
        <v>22</v>
      </c>
      <c r="N447" s="2940" t="s">
        <v>22</v>
      </c>
      <c r="O447" s="2377" t="s">
        <v>22</v>
      </c>
      <c r="P447" s="842" t="s">
        <v>22</v>
      </c>
      <c r="Q447" s="2377" t="s">
        <v>1059</v>
      </c>
      <c r="R447" s="842" t="s">
        <v>22</v>
      </c>
      <c r="S447" s="2377"/>
      <c r="T447" s="842" t="s">
        <v>22</v>
      </c>
      <c r="U447" s="2377" t="s">
        <v>22</v>
      </c>
      <c r="V447" s="842" t="s">
        <v>22</v>
      </c>
      <c r="W447" s="2377" t="s">
        <v>22</v>
      </c>
      <c r="X447" s="842" t="s">
        <v>22</v>
      </c>
      <c r="Y447" s="2377" t="s">
        <v>22</v>
      </c>
      <c r="Z447" s="842" t="s">
        <v>22</v>
      </c>
      <c r="AA447" s="2942" t="s">
        <v>22</v>
      </c>
      <c r="AB447" s="2940" t="s">
        <v>22</v>
      </c>
      <c r="AC447" s="2377" t="s">
        <v>22</v>
      </c>
      <c r="AD447" s="842" t="s">
        <v>22</v>
      </c>
      <c r="AE447" s="2377" t="s">
        <v>22</v>
      </c>
      <c r="AF447" s="842" t="s">
        <v>22</v>
      </c>
      <c r="AG447" s="2942" t="s">
        <v>22</v>
      </c>
      <c r="AH447" s="2940" t="s">
        <v>22</v>
      </c>
      <c r="AI447" s="2377" t="s">
        <v>22</v>
      </c>
      <c r="AJ447" s="842" t="s">
        <v>22</v>
      </c>
      <c r="AK447" s="2377" t="s">
        <v>22</v>
      </c>
      <c r="AL447" s="842" t="s">
        <v>22</v>
      </c>
      <c r="AM447" s="1549"/>
      <c r="AN447" s="1659"/>
      <c r="AO447" s="1659"/>
      <c r="AP447" s="1659"/>
      <c r="AQ447" s="1659"/>
      <c r="AR447" s="1659"/>
      <c r="AS447" s="1659"/>
      <c r="AT447" s="1659"/>
      <c r="AU447" s="1659"/>
      <c r="AV447" s="1659"/>
      <c r="AW447" s="699"/>
      <c r="AX447" s="1659">
        <v>0</v>
      </c>
    </row>
    <row s="1874" customFormat="1" customHeight="1" ht="15">
      <c r="A448" s="1659"/>
      <c r="B448" s="2421"/>
      <c r="C448" s="2422"/>
      <c r="D448" s="713" t="str">
        <f>B447&amp;".2"</f>
        <v>3.137.2</v>
      </c>
      <c r="E448" s="1691" t="s">
        <v>1040</v>
      </c>
      <c r="F448" s="2287" t="s">
        <v>390</v>
      </c>
      <c r="G448" s="1762" t="s">
        <v>22</v>
      </c>
      <c r="H448" s="842" t="s">
        <v>22</v>
      </c>
      <c r="I448" s="1762" t="s">
        <v>22</v>
      </c>
      <c r="J448" s="842" t="s">
        <v>22</v>
      </c>
      <c r="K448" s="1762" t="s">
        <v>22</v>
      </c>
      <c r="L448" s="842" t="s">
        <v>22</v>
      </c>
      <c r="M448" s="2943" t="s">
        <v>22</v>
      </c>
      <c r="N448" s="2940" t="s">
        <v>22</v>
      </c>
      <c r="O448" s="1762" t="s">
        <v>22</v>
      </c>
      <c r="P448" s="842" t="s">
        <v>22</v>
      </c>
      <c r="Q448" s="1762">
        <v>46132</v>
      </c>
      <c r="R448" s="842" t="s">
        <v>22</v>
      </c>
      <c r="S448" s="1762"/>
      <c r="T448" s="842" t="s">
        <v>22</v>
      </c>
      <c r="U448" s="1762" t="s">
        <v>22</v>
      </c>
      <c r="V448" s="842" t="s">
        <v>22</v>
      </c>
      <c r="W448" s="1762" t="s">
        <v>22</v>
      </c>
      <c r="X448" s="842" t="s">
        <v>22</v>
      </c>
      <c r="Y448" s="1762" t="s">
        <v>22</v>
      </c>
      <c r="Z448" s="842" t="s">
        <v>22</v>
      </c>
      <c r="AA448" s="2943" t="s">
        <v>22</v>
      </c>
      <c r="AB448" s="2940" t="s">
        <v>22</v>
      </c>
      <c r="AC448" s="1762" t="s">
        <v>22</v>
      </c>
      <c r="AD448" s="842" t="s">
        <v>22</v>
      </c>
      <c r="AE448" s="1762" t="s">
        <v>22</v>
      </c>
      <c r="AF448" s="842" t="s">
        <v>22</v>
      </c>
      <c r="AG448" s="2943" t="s">
        <v>22</v>
      </c>
      <c r="AH448" s="2940" t="s">
        <v>22</v>
      </c>
      <c r="AI448" s="1762" t="s">
        <v>22</v>
      </c>
      <c r="AJ448" s="842" t="s">
        <v>22</v>
      </c>
      <c r="AK448" s="1762" t="s">
        <v>22</v>
      </c>
      <c r="AL448" s="842" t="s">
        <v>22</v>
      </c>
      <c r="AM448" s="1549" t="s">
        <v>1041</v>
      </c>
      <c r="AN448" s="1659"/>
      <c r="AO448" s="1659"/>
      <c r="AP448" s="1659"/>
      <c r="AQ448" s="1659"/>
      <c r="AR448" s="1659"/>
      <c r="AS448" s="1659"/>
      <c r="AT448" s="1659"/>
      <c r="AU448" s="1659"/>
      <c r="AV448" s="1659"/>
      <c r="AW448" s="699"/>
      <c r="AX448" s="1659">
        <v>0</v>
      </c>
    </row>
    <row s="1874" customFormat="1" customHeight="1" ht="15">
      <c r="A449" s="1659"/>
      <c r="B449" s="2421"/>
      <c r="C449" s="2422"/>
      <c r="D449" s="713" t="str">
        <f>B447&amp;".3"</f>
        <v>3.137.3</v>
      </c>
      <c r="E449" s="1691" t="s">
        <v>1042</v>
      </c>
      <c r="F449" s="2287" t="s">
        <v>390</v>
      </c>
      <c r="G449" s="1762" t="s">
        <v>22</v>
      </c>
      <c r="H449" s="842" t="s">
        <v>22</v>
      </c>
      <c r="I449" s="1762" t="s">
        <v>22</v>
      </c>
      <c r="J449" s="842" t="s">
        <v>22</v>
      </c>
      <c r="K449" s="1762" t="s">
        <v>22</v>
      </c>
      <c r="L449" s="842" t="s">
        <v>22</v>
      </c>
      <c r="M449" s="2943" t="s">
        <v>22</v>
      </c>
      <c r="N449" s="2940" t="s">
        <v>22</v>
      </c>
      <c r="O449" s="1762" t="s">
        <v>22</v>
      </c>
      <c r="P449" s="842" t="s">
        <v>22</v>
      </c>
      <c r="Q449" s="1762" t="s">
        <v>22</v>
      </c>
      <c r="R449" s="842" t="s">
        <v>22</v>
      </c>
      <c r="S449" s="1762"/>
      <c r="T449" s="842" t="s">
        <v>22</v>
      </c>
      <c r="U449" s="1762" t="s">
        <v>22</v>
      </c>
      <c r="V449" s="842" t="s">
        <v>22</v>
      </c>
      <c r="W449" s="1762" t="s">
        <v>22</v>
      </c>
      <c r="X449" s="842" t="s">
        <v>22</v>
      </c>
      <c r="Y449" s="1762" t="s">
        <v>22</v>
      </c>
      <c r="Z449" s="842" t="s">
        <v>22</v>
      </c>
      <c r="AA449" s="2943" t="s">
        <v>22</v>
      </c>
      <c r="AB449" s="2940" t="s">
        <v>22</v>
      </c>
      <c r="AC449" s="1762" t="s">
        <v>22</v>
      </c>
      <c r="AD449" s="842" t="s">
        <v>22</v>
      </c>
      <c r="AE449" s="1762" t="s">
        <v>22</v>
      </c>
      <c r="AF449" s="842" t="s">
        <v>22</v>
      </c>
      <c r="AG449" s="2943" t="s">
        <v>22</v>
      </c>
      <c r="AH449" s="2940" t="s">
        <v>22</v>
      </c>
      <c r="AI449" s="1762" t="s">
        <v>22</v>
      </c>
      <c r="AJ449" s="842" t="s">
        <v>22</v>
      </c>
      <c r="AK449" s="1762" t="s">
        <v>22</v>
      </c>
      <c r="AL449" s="842" t="s">
        <v>22</v>
      </c>
      <c r="AM449" s="1549" t="s">
        <v>1043</v>
      </c>
      <c r="AN449" s="1659"/>
      <c r="AO449" s="1659"/>
      <c r="AP449" s="1659"/>
      <c r="AQ449" s="1659"/>
      <c r="AR449" s="1659"/>
      <c r="AS449" s="1659"/>
      <c r="AT449" s="1659"/>
      <c r="AU449" s="1659"/>
      <c r="AV449" s="1659"/>
      <c r="AW449" s="699"/>
      <c r="AX449" s="1659">
        <v>0</v>
      </c>
    </row>
    <row s="1874" customFormat="1" customHeight="1" ht="22.5">
      <c r="A450" s="1659"/>
      <c r="B450" s="2421" t="s">
        <v>1223</v>
      </c>
      <c r="C450" s="2422" t="s">
        <v>104</v>
      </c>
      <c r="D450" s="713" t="str">
        <f>B450&amp;".1"</f>
        <v>3.138.1</v>
      </c>
      <c r="E450" s="1691" t="s">
        <v>1039</v>
      </c>
      <c r="F450" s="2287" t="s">
        <v>390</v>
      </c>
      <c r="G450" s="2377" t="s">
        <v>22</v>
      </c>
      <c r="H450" s="842" t="s">
        <v>22</v>
      </c>
      <c r="I450" s="2377" t="s">
        <v>22</v>
      </c>
      <c r="J450" s="842" t="s">
        <v>22</v>
      </c>
      <c r="K450" s="2377" t="s">
        <v>22</v>
      </c>
      <c r="L450" s="842" t="s">
        <v>22</v>
      </c>
      <c r="M450" s="2942" t="s">
        <v>22</v>
      </c>
      <c r="N450" s="2940" t="s">
        <v>22</v>
      </c>
      <c r="O450" s="2377" t="s">
        <v>22</v>
      </c>
      <c r="P450" s="842" t="s">
        <v>22</v>
      </c>
      <c r="Q450" s="2377" t="s">
        <v>1059</v>
      </c>
      <c r="R450" s="842" t="s">
        <v>22</v>
      </c>
      <c r="S450" s="2377"/>
      <c r="T450" s="842" t="s">
        <v>22</v>
      </c>
      <c r="U450" s="2377" t="s">
        <v>22</v>
      </c>
      <c r="V450" s="842" t="s">
        <v>22</v>
      </c>
      <c r="W450" s="2377" t="s">
        <v>22</v>
      </c>
      <c r="X450" s="842" t="s">
        <v>22</v>
      </c>
      <c r="Y450" s="2377" t="s">
        <v>22</v>
      </c>
      <c r="Z450" s="842" t="s">
        <v>22</v>
      </c>
      <c r="AA450" s="2942" t="s">
        <v>22</v>
      </c>
      <c r="AB450" s="2940" t="s">
        <v>22</v>
      </c>
      <c r="AC450" s="2377" t="s">
        <v>22</v>
      </c>
      <c r="AD450" s="842" t="s">
        <v>22</v>
      </c>
      <c r="AE450" s="2377" t="s">
        <v>22</v>
      </c>
      <c r="AF450" s="842" t="s">
        <v>22</v>
      </c>
      <c r="AG450" s="2942" t="s">
        <v>22</v>
      </c>
      <c r="AH450" s="2940" t="s">
        <v>22</v>
      </c>
      <c r="AI450" s="2377" t="s">
        <v>22</v>
      </c>
      <c r="AJ450" s="842" t="s">
        <v>22</v>
      </c>
      <c r="AK450" s="2377" t="s">
        <v>22</v>
      </c>
      <c r="AL450" s="842" t="s">
        <v>22</v>
      </c>
      <c r="AM450" s="1549"/>
      <c r="AN450" s="1659"/>
      <c r="AO450" s="1659"/>
      <c r="AP450" s="1659"/>
      <c r="AQ450" s="1659"/>
      <c r="AR450" s="1659"/>
      <c r="AS450" s="1659"/>
      <c r="AT450" s="1659"/>
      <c r="AU450" s="1659"/>
      <c r="AV450" s="1659"/>
      <c r="AW450" s="699"/>
      <c r="AX450" s="1659">
        <v>0</v>
      </c>
    </row>
    <row s="1874" customFormat="1" customHeight="1" ht="15">
      <c r="A451" s="1659"/>
      <c r="B451" s="2421"/>
      <c r="C451" s="2422"/>
      <c r="D451" s="713" t="str">
        <f>B450&amp;".2"</f>
        <v>3.138.2</v>
      </c>
      <c r="E451" s="1691" t="s">
        <v>1040</v>
      </c>
      <c r="F451" s="2287" t="s">
        <v>390</v>
      </c>
      <c r="G451" s="1762" t="s">
        <v>22</v>
      </c>
      <c r="H451" s="842" t="s">
        <v>22</v>
      </c>
      <c r="I451" s="1762" t="s">
        <v>22</v>
      </c>
      <c r="J451" s="842" t="s">
        <v>22</v>
      </c>
      <c r="K451" s="1762" t="s">
        <v>22</v>
      </c>
      <c r="L451" s="842" t="s">
        <v>22</v>
      </c>
      <c r="M451" s="2943" t="s">
        <v>22</v>
      </c>
      <c r="N451" s="2940" t="s">
        <v>22</v>
      </c>
      <c r="O451" s="1762" t="s">
        <v>22</v>
      </c>
      <c r="P451" s="842" t="s">
        <v>22</v>
      </c>
      <c r="Q451" s="1762">
        <v>46132</v>
      </c>
      <c r="R451" s="842" t="s">
        <v>22</v>
      </c>
      <c r="S451" s="1762"/>
      <c r="T451" s="842" t="s">
        <v>22</v>
      </c>
      <c r="U451" s="1762" t="s">
        <v>22</v>
      </c>
      <c r="V451" s="842" t="s">
        <v>22</v>
      </c>
      <c r="W451" s="1762" t="s">
        <v>22</v>
      </c>
      <c r="X451" s="842" t="s">
        <v>22</v>
      </c>
      <c r="Y451" s="1762" t="s">
        <v>22</v>
      </c>
      <c r="Z451" s="842" t="s">
        <v>22</v>
      </c>
      <c r="AA451" s="2943" t="s">
        <v>22</v>
      </c>
      <c r="AB451" s="2940" t="s">
        <v>22</v>
      </c>
      <c r="AC451" s="1762" t="s">
        <v>22</v>
      </c>
      <c r="AD451" s="842" t="s">
        <v>22</v>
      </c>
      <c r="AE451" s="1762" t="s">
        <v>22</v>
      </c>
      <c r="AF451" s="842" t="s">
        <v>22</v>
      </c>
      <c r="AG451" s="2943" t="s">
        <v>22</v>
      </c>
      <c r="AH451" s="2940" t="s">
        <v>22</v>
      </c>
      <c r="AI451" s="1762" t="s">
        <v>22</v>
      </c>
      <c r="AJ451" s="842" t="s">
        <v>22</v>
      </c>
      <c r="AK451" s="1762" t="s">
        <v>22</v>
      </c>
      <c r="AL451" s="842" t="s">
        <v>22</v>
      </c>
      <c r="AM451" s="1549" t="s">
        <v>1041</v>
      </c>
      <c r="AN451" s="1659"/>
      <c r="AO451" s="1659"/>
      <c r="AP451" s="1659"/>
      <c r="AQ451" s="1659"/>
      <c r="AR451" s="1659"/>
      <c r="AS451" s="1659"/>
      <c r="AT451" s="1659"/>
      <c r="AU451" s="1659"/>
      <c r="AV451" s="1659"/>
      <c r="AW451" s="699"/>
      <c r="AX451" s="1659">
        <v>0</v>
      </c>
    </row>
    <row s="1874" customFormat="1" customHeight="1" ht="15">
      <c r="A452" s="1659"/>
      <c r="B452" s="2421"/>
      <c r="C452" s="2422"/>
      <c r="D452" s="713" t="str">
        <f>B450&amp;".3"</f>
        <v>3.138.3</v>
      </c>
      <c r="E452" s="1691" t="s">
        <v>1042</v>
      </c>
      <c r="F452" s="2287" t="s">
        <v>390</v>
      </c>
      <c r="G452" s="1762" t="s">
        <v>22</v>
      </c>
      <c r="H452" s="842" t="s">
        <v>22</v>
      </c>
      <c r="I452" s="1762" t="s">
        <v>22</v>
      </c>
      <c r="J452" s="842" t="s">
        <v>22</v>
      </c>
      <c r="K452" s="1762" t="s">
        <v>22</v>
      </c>
      <c r="L452" s="842" t="s">
        <v>22</v>
      </c>
      <c r="M452" s="2943" t="s">
        <v>22</v>
      </c>
      <c r="N452" s="2940" t="s">
        <v>22</v>
      </c>
      <c r="O452" s="1762" t="s">
        <v>22</v>
      </c>
      <c r="P452" s="842" t="s">
        <v>22</v>
      </c>
      <c r="Q452" s="1762" t="s">
        <v>22</v>
      </c>
      <c r="R452" s="842" t="s">
        <v>22</v>
      </c>
      <c r="S452" s="1762"/>
      <c r="T452" s="842" t="s">
        <v>22</v>
      </c>
      <c r="U452" s="1762" t="s">
        <v>22</v>
      </c>
      <c r="V452" s="842" t="s">
        <v>22</v>
      </c>
      <c r="W452" s="1762" t="s">
        <v>22</v>
      </c>
      <c r="X452" s="842" t="s">
        <v>22</v>
      </c>
      <c r="Y452" s="1762" t="s">
        <v>22</v>
      </c>
      <c r="Z452" s="842" t="s">
        <v>22</v>
      </c>
      <c r="AA452" s="2943" t="s">
        <v>22</v>
      </c>
      <c r="AB452" s="2940" t="s">
        <v>22</v>
      </c>
      <c r="AC452" s="1762" t="s">
        <v>22</v>
      </c>
      <c r="AD452" s="842" t="s">
        <v>22</v>
      </c>
      <c r="AE452" s="1762" t="s">
        <v>22</v>
      </c>
      <c r="AF452" s="842" t="s">
        <v>22</v>
      </c>
      <c r="AG452" s="2943" t="s">
        <v>22</v>
      </c>
      <c r="AH452" s="2940" t="s">
        <v>22</v>
      </c>
      <c r="AI452" s="1762" t="s">
        <v>22</v>
      </c>
      <c r="AJ452" s="842" t="s">
        <v>22</v>
      </c>
      <c r="AK452" s="1762" t="s">
        <v>22</v>
      </c>
      <c r="AL452" s="842" t="s">
        <v>22</v>
      </c>
      <c r="AM452" s="1549" t="s">
        <v>1043</v>
      </c>
      <c r="AN452" s="1659"/>
      <c r="AO452" s="1659"/>
      <c r="AP452" s="1659"/>
      <c r="AQ452" s="1659"/>
      <c r="AR452" s="1659"/>
      <c r="AS452" s="1659"/>
      <c r="AT452" s="1659"/>
      <c r="AU452" s="1659"/>
      <c r="AV452" s="1659"/>
      <c r="AW452" s="699"/>
      <c r="AX452" s="1659">
        <v>0</v>
      </c>
    </row>
    <row s="1874" customFormat="1" customHeight="1" ht="22.5">
      <c r="A453" s="1659"/>
      <c r="B453" s="2421" t="s">
        <v>1224</v>
      </c>
      <c r="C453" s="2422" t="s">
        <v>104</v>
      </c>
      <c r="D453" s="713" t="str">
        <f>B453&amp;".1"</f>
        <v>3.139.1</v>
      </c>
      <c r="E453" s="1691" t="s">
        <v>1039</v>
      </c>
      <c r="F453" s="2287" t="s">
        <v>390</v>
      </c>
      <c r="G453" s="2377" t="s">
        <v>22</v>
      </c>
      <c r="H453" s="842" t="s">
        <v>22</v>
      </c>
      <c r="I453" s="2377" t="s">
        <v>22</v>
      </c>
      <c r="J453" s="842" t="s">
        <v>22</v>
      </c>
      <c r="K453" s="2377" t="s">
        <v>22</v>
      </c>
      <c r="L453" s="842" t="s">
        <v>22</v>
      </c>
      <c r="M453" s="2942" t="s">
        <v>22</v>
      </c>
      <c r="N453" s="2940" t="s">
        <v>22</v>
      </c>
      <c r="O453" s="2377" t="s">
        <v>22</v>
      </c>
      <c r="P453" s="842" t="s">
        <v>22</v>
      </c>
      <c r="Q453" s="2377" t="s">
        <v>1059</v>
      </c>
      <c r="R453" s="842" t="s">
        <v>22</v>
      </c>
      <c r="S453" s="2377"/>
      <c r="T453" s="842" t="s">
        <v>22</v>
      </c>
      <c r="U453" s="2377" t="s">
        <v>22</v>
      </c>
      <c r="V453" s="842" t="s">
        <v>22</v>
      </c>
      <c r="W453" s="2377" t="s">
        <v>22</v>
      </c>
      <c r="X453" s="842" t="s">
        <v>22</v>
      </c>
      <c r="Y453" s="2377" t="s">
        <v>22</v>
      </c>
      <c r="Z453" s="842" t="s">
        <v>22</v>
      </c>
      <c r="AA453" s="2942" t="s">
        <v>22</v>
      </c>
      <c r="AB453" s="2940" t="s">
        <v>22</v>
      </c>
      <c r="AC453" s="2377" t="s">
        <v>22</v>
      </c>
      <c r="AD453" s="842" t="s">
        <v>22</v>
      </c>
      <c r="AE453" s="2377" t="s">
        <v>22</v>
      </c>
      <c r="AF453" s="842" t="s">
        <v>22</v>
      </c>
      <c r="AG453" s="2942" t="s">
        <v>22</v>
      </c>
      <c r="AH453" s="2940" t="s">
        <v>22</v>
      </c>
      <c r="AI453" s="2377" t="s">
        <v>22</v>
      </c>
      <c r="AJ453" s="842" t="s">
        <v>22</v>
      </c>
      <c r="AK453" s="2377" t="s">
        <v>22</v>
      </c>
      <c r="AL453" s="842" t="s">
        <v>22</v>
      </c>
      <c r="AM453" s="1549"/>
      <c r="AN453" s="1659"/>
      <c r="AO453" s="1659"/>
      <c r="AP453" s="1659"/>
      <c r="AQ453" s="1659"/>
      <c r="AR453" s="1659"/>
      <c r="AS453" s="1659"/>
      <c r="AT453" s="1659"/>
      <c r="AU453" s="1659"/>
      <c r="AV453" s="1659"/>
      <c r="AW453" s="699"/>
      <c r="AX453" s="1659">
        <v>0</v>
      </c>
    </row>
    <row s="1874" customFormat="1" customHeight="1" ht="15">
      <c r="A454" s="1659"/>
      <c r="B454" s="2421"/>
      <c r="C454" s="2422"/>
      <c r="D454" s="713" t="str">
        <f>B453&amp;".2"</f>
        <v>3.139.2</v>
      </c>
      <c r="E454" s="1691" t="s">
        <v>1040</v>
      </c>
      <c r="F454" s="2287" t="s">
        <v>390</v>
      </c>
      <c r="G454" s="1762" t="s">
        <v>22</v>
      </c>
      <c r="H454" s="842" t="s">
        <v>22</v>
      </c>
      <c r="I454" s="1762" t="s">
        <v>22</v>
      </c>
      <c r="J454" s="842" t="s">
        <v>22</v>
      </c>
      <c r="K454" s="1762" t="s">
        <v>22</v>
      </c>
      <c r="L454" s="842" t="s">
        <v>22</v>
      </c>
      <c r="M454" s="2943" t="s">
        <v>22</v>
      </c>
      <c r="N454" s="2940" t="s">
        <v>22</v>
      </c>
      <c r="O454" s="1762" t="s">
        <v>22</v>
      </c>
      <c r="P454" s="842" t="s">
        <v>22</v>
      </c>
      <c r="Q454" s="1762">
        <v>46132</v>
      </c>
      <c r="R454" s="842" t="s">
        <v>22</v>
      </c>
      <c r="S454" s="1762"/>
      <c r="T454" s="842" t="s">
        <v>22</v>
      </c>
      <c r="U454" s="1762" t="s">
        <v>22</v>
      </c>
      <c r="V454" s="842" t="s">
        <v>22</v>
      </c>
      <c r="W454" s="1762" t="s">
        <v>22</v>
      </c>
      <c r="X454" s="842" t="s">
        <v>22</v>
      </c>
      <c r="Y454" s="1762" t="s">
        <v>22</v>
      </c>
      <c r="Z454" s="842" t="s">
        <v>22</v>
      </c>
      <c r="AA454" s="2943" t="s">
        <v>22</v>
      </c>
      <c r="AB454" s="2940" t="s">
        <v>22</v>
      </c>
      <c r="AC454" s="1762" t="s">
        <v>22</v>
      </c>
      <c r="AD454" s="842" t="s">
        <v>22</v>
      </c>
      <c r="AE454" s="1762" t="s">
        <v>22</v>
      </c>
      <c r="AF454" s="842" t="s">
        <v>22</v>
      </c>
      <c r="AG454" s="2943" t="s">
        <v>22</v>
      </c>
      <c r="AH454" s="2940" t="s">
        <v>22</v>
      </c>
      <c r="AI454" s="1762" t="s">
        <v>22</v>
      </c>
      <c r="AJ454" s="842" t="s">
        <v>22</v>
      </c>
      <c r="AK454" s="1762" t="s">
        <v>22</v>
      </c>
      <c r="AL454" s="842" t="s">
        <v>22</v>
      </c>
      <c r="AM454" s="1549" t="s">
        <v>1041</v>
      </c>
      <c r="AN454" s="1659"/>
      <c r="AO454" s="1659"/>
      <c r="AP454" s="1659"/>
      <c r="AQ454" s="1659"/>
      <c r="AR454" s="1659"/>
      <c r="AS454" s="1659"/>
      <c r="AT454" s="1659"/>
      <c r="AU454" s="1659"/>
      <c r="AV454" s="1659"/>
      <c r="AW454" s="699"/>
      <c r="AX454" s="1659">
        <v>0</v>
      </c>
    </row>
    <row s="1874" customFormat="1" customHeight="1" ht="15">
      <c r="A455" s="1659"/>
      <c r="B455" s="2421"/>
      <c r="C455" s="2422"/>
      <c r="D455" s="713" t="str">
        <f>B453&amp;".3"</f>
        <v>3.139.3</v>
      </c>
      <c r="E455" s="1691" t="s">
        <v>1042</v>
      </c>
      <c r="F455" s="2287" t="s">
        <v>390</v>
      </c>
      <c r="G455" s="1762" t="s">
        <v>22</v>
      </c>
      <c r="H455" s="842" t="s">
        <v>22</v>
      </c>
      <c r="I455" s="1762" t="s">
        <v>22</v>
      </c>
      <c r="J455" s="842" t="s">
        <v>22</v>
      </c>
      <c r="K455" s="1762" t="s">
        <v>22</v>
      </c>
      <c r="L455" s="842" t="s">
        <v>22</v>
      </c>
      <c r="M455" s="2943" t="s">
        <v>22</v>
      </c>
      <c r="N455" s="2940" t="s">
        <v>22</v>
      </c>
      <c r="O455" s="1762" t="s">
        <v>22</v>
      </c>
      <c r="P455" s="842" t="s">
        <v>22</v>
      </c>
      <c r="Q455" s="1762" t="s">
        <v>22</v>
      </c>
      <c r="R455" s="842" t="s">
        <v>22</v>
      </c>
      <c r="S455" s="1762"/>
      <c r="T455" s="842" t="s">
        <v>22</v>
      </c>
      <c r="U455" s="1762" t="s">
        <v>22</v>
      </c>
      <c r="V455" s="842" t="s">
        <v>22</v>
      </c>
      <c r="W455" s="1762" t="s">
        <v>22</v>
      </c>
      <c r="X455" s="842" t="s">
        <v>22</v>
      </c>
      <c r="Y455" s="1762" t="s">
        <v>22</v>
      </c>
      <c r="Z455" s="842" t="s">
        <v>22</v>
      </c>
      <c r="AA455" s="2943" t="s">
        <v>22</v>
      </c>
      <c r="AB455" s="2940" t="s">
        <v>22</v>
      </c>
      <c r="AC455" s="1762" t="s">
        <v>22</v>
      </c>
      <c r="AD455" s="842" t="s">
        <v>22</v>
      </c>
      <c r="AE455" s="1762" t="s">
        <v>22</v>
      </c>
      <c r="AF455" s="842" t="s">
        <v>22</v>
      </c>
      <c r="AG455" s="2943" t="s">
        <v>22</v>
      </c>
      <c r="AH455" s="2940" t="s">
        <v>22</v>
      </c>
      <c r="AI455" s="1762" t="s">
        <v>22</v>
      </c>
      <c r="AJ455" s="842" t="s">
        <v>22</v>
      </c>
      <c r="AK455" s="1762" t="s">
        <v>22</v>
      </c>
      <c r="AL455" s="842" t="s">
        <v>22</v>
      </c>
      <c r="AM455" s="1549" t="s">
        <v>1043</v>
      </c>
      <c r="AN455" s="1659"/>
      <c r="AO455" s="1659"/>
      <c r="AP455" s="1659"/>
      <c r="AQ455" s="1659"/>
      <c r="AR455" s="1659"/>
      <c r="AS455" s="1659"/>
      <c r="AT455" s="1659"/>
      <c r="AU455" s="1659"/>
      <c r="AV455" s="1659"/>
      <c r="AW455" s="699"/>
      <c r="AX455" s="1659">
        <v>0</v>
      </c>
    </row>
    <row s="1874" customFormat="1" customHeight="1" ht="22.5">
      <c r="A456" s="1659"/>
      <c r="B456" s="2421" t="s">
        <v>1225</v>
      </c>
      <c r="C456" s="2422" t="s">
        <v>104</v>
      </c>
      <c r="D456" s="713" t="str">
        <f>B456&amp;".1"</f>
        <v>3.140.1</v>
      </c>
      <c r="E456" s="1691" t="s">
        <v>1039</v>
      </c>
      <c r="F456" s="2287" t="s">
        <v>390</v>
      </c>
      <c r="G456" s="2377" t="s">
        <v>22</v>
      </c>
      <c r="H456" s="842" t="s">
        <v>22</v>
      </c>
      <c r="I456" s="2377" t="s">
        <v>22</v>
      </c>
      <c r="J456" s="842" t="s">
        <v>22</v>
      </c>
      <c r="K456" s="2377" t="s">
        <v>22</v>
      </c>
      <c r="L456" s="842" t="s">
        <v>22</v>
      </c>
      <c r="M456" s="2942" t="s">
        <v>22</v>
      </c>
      <c r="N456" s="2940" t="s">
        <v>22</v>
      </c>
      <c r="O456" s="2377" t="s">
        <v>22</v>
      </c>
      <c r="P456" s="842" t="s">
        <v>22</v>
      </c>
      <c r="Q456" s="2377" t="s">
        <v>1059</v>
      </c>
      <c r="R456" s="842" t="s">
        <v>22</v>
      </c>
      <c r="S456" s="2377"/>
      <c r="T456" s="842" t="s">
        <v>22</v>
      </c>
      <c r="U456" s="2377" t="s">
        <v>22</v>
      </c>
      <c r="V456" s="842" t="s">
        <v>22</v>
      </c>
      <c r="W456" s="2377" t="s">
        <v>22</v>
      </c>
      <c r="X456" s="842" t="s">
        <v>22</v>
      </c>
      <c r="Y456" s="2377" t="s">
        <v>22</v>
      </c>
      <c r="Z456" s="842" t="s">
        <v>22</v>
      </c>
      <c r="AA456" s="2942" t="s">
        <v>22</v>
      </c>
      <c r="AB456" s="2940" t="s">
        <v>22</v>
      </c>
      <c r="AC456" s="2377" t="s">
        <v>22</v>
      </c>
      <c r="AD456" s="842" t="s">
        <v>22</v>
      </c>
      <c r="AE456" s="2377" t="s">
        <v>22</v>
      </c>
      <c r="AF456" s="842" t="s">
        <v>22</v>
      </c>
      <c r="AG456" s="2942" t="s">
        <v>22</v>
      </c>
      <c r="AH456" s="2940" t="s">
        <v>22</v>
      </c>
      <c r="AI456" s="2377" t="s">
        <v>22</v>
      </c>
      <c r="AJ456" s="842" t="s">
        <v>22</v>
      </c>
      <c r="AK456" s="2377" t="s">
        <v>22</v>
      </c>
      <c r="AL456" s="842" t="s">
        <v>22</v>
      </c>
      <c r="AM456" s="1549"/>
      <c r="AN456" s="1659"/>
      <c r="AO456" s="1659"/>
      <c r="AP456" s="1659"/>
      <c r="AQ456" s="1659"/>
      <c r="AR456" s="1659"/>
      <c r="AS456" s="1659"/>
      <c r="AT456" s="1659"/>
      <c r="AU456" s="1659"/>
      <c r="AV456" s="1659"/>
      <c r="AW456" s="699"/>
      <c r="AX456" s="1659">
        <v>0</v>
      </c>
    </row>
    <row s="1874" customFormat="1" customHeight="1" ht="15">
      <c r="A457" s="1659"/>
      <c r="B457" s="2421"/>
      <c r="C457" s="2422"/>
      <c r="D457" s="713" t="str">
        <f>B456&amp;".2"</f>
        <v>3.140.2</v>
      </c>
      <c r="E457" s="1691" t="s">
        <v>1040</v>
      </c>
      <c r="F457" s="2287" t="s">
        <v>390</v>
      </c>
      <c r="G457" s="1762" t="s">
        <v>22</v>
      </c>
      <c r="H457" s="842" t="s">
        <v>22</v>
      </c>
      <c r="I457" s="1762" t="s">
        <v>22</v>
      </c>
      <c r="J457" s="842" t="s">
        <v>22</v>
      </c>
      <c r="K457" s="1762" t="s">
        <v>22</v>
      </c>
      <c r="L457" s="842" t="s">
        <v>22</v>
      </c>
      <c r="M457" s="2943" t="s">
        <v>22</v>
      </c>
      <c r="N457" s="2940" t="s">
        <v>22</v>
      </c>
      <c r="O457" s="1762" t="s">
        <v>22</v>
      </c>
      <c r="P457" s="842" t="s">
        <v>22</v>
      </c>
      <c r="Q457" s="1762">
        <v>46132</v>
      </c>
      <c r="R457" s="842" t="s">
        <v>22</v>
      </c>
      <c r="S457" s="1762"/>
      <c r="T457" s="842" t="s">
        <v>22</v>
      </c>
      <c r="U457" s="1762" t="s">
        <v>22</v>
      </c>
      <c r="V457" s="842" t="s">
        <v>22</v>
      </c>
      <c r="W457" s="1762" t="s">
        <v>22</v>
      </c>
      <c r="X457" s="842" t="s">
        <v>22</v>
      </c>
      <c r="Y457" s="1762" t="s">
        <v>22</v>
      </c>
      <c r="Z457" s="842" t="s">
        <v>22</v>
      </c>
      <c r="AA457" s="2943" t="s">
        <v>22</v>
      </c>
      <c r="AB457" s="2940" t="s">
        <v>22</v>
      </c>
      <c r="AC457" s="1762" t="s">
        <v>22</v>
      </c>
      <c r="AD457" s="842" t="s">
        <v>22</v>
      </c>
      <c r="AE457" s="1762" t="s">
        <v>22</v>
      </c>
      <c r="AF457" s="842" t="s">
        <v>22</v>
      </c>
      <c r="AG457" s="2943" t="s">
        <v>22</v>
      </c>
      <c r="AH457" s="2940" t="s">
        <v>22</v>
      </c>
      <c r="AI457" s="1762" t="s">
        <v>22</v>
      </c>
      <c r="AJ457" s="842" t="s">
        <v>22</v>
      </c>
      <c r="AK457" s="1762" t="s">
        <v>22</v>
      </c>
      <c r="AL457" s="842" t="s">
        <v>22</v>
      </c>
      <c r="AM457" s="1549" t="s">
        <v>1041</v>
      </c>
      <c r="AN457" s="1659"/>
      <c r="AO457" s="1659"/>
      <c r="AP457" s="1659"/>
      <c r="AQ457" s="1659"/>
      <c r="AR457" s="1659"/>
      <c r="AS457" s="1659"/>
      <c r="AT457" s="1659"/>
      <c r="AU457" s="1659"/>
      <c r="AV457" s="1659"/>
      <c r="AW457" s="699"/>
      <c r="AX457" s="1659">
        <v>0</v>
      </c>
    </row>
    <row s="1874" customFormat="1" customHeight="1" ht="15">
      <c r="A458" s="1659"/>
      <c r="B458" s="2421"/>
      <c r="C458" s="2422"/>
      <c r="D458" s="713" t="str">
        <f>B456&amp;".3"</f>
        <v>3.140.3</v>
      </c>
      <c r="E458" s="1691" t="s">
        <v>1042</v>
      </c>
      <c r="F458" s="2287" t="s">
        <v>390</v>
      </c>
      <c r="G458" s="1762" t="s">
        <v>22</v>
      </c>
      <c r="H458" s="842" t="s">
        <v>22</v>
      </c>
      <c r="I458" s="1762" t="s">
        <v>22</v>
      </c>
      <c r="J458" s="842" t="s">
        <v>22</v>
      </c>
      <c r="K458" s="1762" t="s">
        <v>22</v>
      </c>
      <c r="L458" s="842" t="s">
        <v>22</v>
      </c>
      <c r="M458" s="2943" t="s">
        <v>22</v>
      </c>
      <c r="N458" s="2940" t="s">
        <v>22</v>
      </c>
      <c r="O458" s="1762" t="s">
        <v>22</v>
      </c>
      <c r="P458" s="842" t="s">
        <v>22</v>
      </c>
      <c r="Q458" s="1762" t="s">
        <v>22</v>
      </c>
      <c r="R458" s="842" t="s">
        <v>22</v>
      </c>
      <c r="S458" s="1762"/>
      <c r="T458" s="842" t="s">
        <v>22</v>
      </c>
      <c r="U458" s="1762" t="s">
        <v>22</v>
      </c>
      <c r="V458" s="842" t="s">
        <v>22</v>
      </c>
      <c r="W458" s="1762" t="s">
        <v>22</v>
      </c>
      <c r="X458" s="842" t="s">
        <v>22</v>
      </c>
      <c r="Y458" s="1762" t="s">
        <v>22</v>
      </c>
      <c r="Z458" s="842" t="s">
        <v>22</v>
      </c>
      <c r="AA458" s="2943" t="s">
        <v>22</v>
      </c>
      <c r="AB458" s="2940" t="s">
        <v>22</v>
      </c>
      <c r="AC458" s="1762" t="s">
        <v>22</v>
      </c>
      <c r="AD458" s="842" t="s">
        <v>22</v>
      </c>
      <c r="AE458" s="1762" t="s">
        <v>22</v>
      </c>
      <c r="AF458" s="842" t="s">
        <v>22</v>
      </c>
      <c r="AG458" s="2943" t="s">
        <v>22</v>
      </c>
      <c r="AH458" s="2940" t="s">
        <v>22</v>
      </c>
      <c r="AI458" s="1762" t="s">
        <v>22</v>
      </c>
      <c r="AJ458" s="842" t="s">
        <v>22</v>
      </c>
      <c r="AK458" s="1762" t="s">
        <v>22</v>
      </c>
      <c r="AL458" s="842" t="s">
        <v>22</v>
      </c>
      <c r="AM458" s="1549" t="s">
        <v>1043</v>
      </c>
      <c r="AN458" s="1659"/>
      <c r="AO458" s="1659"/>
      <c r="AP458" s="1659"/>
      <c r="AQ458" s="1659"/>
      <c r="AR458" s="1659"/>
      <c r="AS458" s="1659"/>
      <c r="AT458" s="1659"/>
      <c r="AU458" s="1659"/>
      <c r="AV458" s="1659"/>
      <c r="AW458" s="699"/>
      <c r="AX458" s="1659">
        <v>0</v>
      </c>
    </row>
    <row s="1874" customFormat="1" customHeight="1" ht="22.5">
      <c r="A459" s="1659"/>
      <c r="B459" s="2421" t="s">
        <v>1226</v>
      </c>
      <c r="C459" s="2422" t="s">
        <v>104</v>
      </c>
      <c r="D459" s="713" t="str">
        <f>B459&amp;".1"</f>
        <v>3.141.1</v>
      </c>
      <c r="E459" s="1691" t="s">
        <v>1039</v>
      </c>
      <c r="F459" s="2287" t="s">
        <v>390</v>
      </c>
      <c r="G459" s="2377" t="s">
        <v>22</v>
      </c>
      <c r="H459" s="842" t="s">
        <v>22</v>
      </c>
      <c r="I459" s="2377" t="s">
        <v>22</v>
      </c>
      <c r="J459" s="842" t="s">
        <v>22</v>
      </c>
      <c r="K459" s="2377" t="s">
        <v>22</v>
      </c>
      <c r="L459" s="842" t="s">
        <v>22</v>
      </c>
      <c r="M459" s="2942" t="s">
        <v>22</v>
      </c>
      <c r="N459" s="2940" t="s">
        <v>22</v>
      </c>
      <c r="O459" s="2377" t="s">
        <v>22</v>
      </c>
      <c r="P459" s="842" t="s">
        <v>22</v>
      </c>
      <c r="Q459" s="2377" t="s">
        <v>1059</v>
      </c>
      <c r="R459" s="842" t="s">
        <v>22</v>
      </c>
      <c r="S459" s="2377"/>
      <c r="T459" s="842" t="s">
        <v>22</v>
      </c>
      <c r="U459" s="2377" t="s">
        <v>22</v>
      </c>
      <c r="V459" s="842" t="s">
        <v>22</v>
      </c>
      <c r="W459" s="2377" t="s">
        <v>22</v>
      </c>
      <c r="X459" s="842" t="s">
        <v>22</v>
      </c>
      <c r="Y459" s="2377" t="s">
        <v>22</v>
      </c>
      <c r="Z459" s="842" t="s">
        <v>22</v>
      </c>
      <c r="AA459" s="2942" t="s">
        <v>22</v>
      </c>
      <c r="AB459" s="2940" t="s">
        <v>22</v>
      </c>
      <c r="AC459" s="2377" t="s">
        <v>22</v>
      </c>
      <c r="AD459" s="842" t="s">
        <v>22</v>
      </c>
      <c r="AE459" s="2377" t="s">
        <v>22</v>
      </c>
      <c r="AF459" s="842" t="s">
        <v>22</v>
      </c>
      <c r="AG459" s="2942" t="s">
        <v>22</v>
      </c>
      <c r="AH459" s="2940" t="s">
        <v>22</v>
      </c>
      <c r="AI459" s="2377" t="s">
        <v>22</v>
      </c>
      <c r="AJ459" s="842" t="s">
        <v>22</v>
      </c>
      <c r="AK459" s="2377" t="s">
        <v>22</v>
      </c>
      <c r="AL459" s="842" t="s">
        <v>22</v>
      </c>
      <c r="AM459" s="1549"/>
      <c r="AN459" s="1659"/>
      <c r="AO459" s="1659"/>
      <c r="AP459" s="1659"/>
      <c r="AQ459" s="1659"/>
      <c r="AR459" s="1659"/>
      <c r="AS459" s="1659"/>
      <c r="AT459" s="1659"/>
      <c r="AU459" s="1659"/>
      <c r="AV459" s="1659"/>
      <c r="AW459" s="699"/>
      <c r="AX459" s="1659">
        <v>0</v>
      </c>
    </row>
    <row s="1874" customFormat="1" customHeight="1" ht="15">
      <c r="A460" s="1659"/>
      <c r="B460" s="2421"/>
      <c r="C460" s="2422"/>
      <c r="D460" s="713" t="str">
        <f>B459&amp;".2"</f>
        <v>3.141.2</v>
      </c>
      <c r="E460" s="1691" t="s">
        <v>1040</v>
      </c>
      <c r="F460" s="2287" t="s">
        <v>390</v>
      </c>
      <c r="G460" s="1762" t="s">
        <v>22</v>
      </c>
      <c r="H460" s="842" t="s">
        <v>22</v>
      </c>
      <c r="I460" s="1762" t="s">
        <v>22</v>
      </c>
      <c r="J460" s="842" t="s">
        <v>22</v>
      </c>
      <c r="K460" s="1762" t="s">
        <v>22</v>
      </c>
      <c r="L460" s="842" t="s">
        <v>22</v>
      </c>
      <c r="M460" s="2943" t="s">
        <v>22</v>
      </c>
      <c r="N460" s="2940" t="s">
        <v>22</v>
      </c>
      <c r="O460" s="1762" t="s">
        <v>22</v>
      </c>
      <c r="P460" s="842" t="s">
        <v>22</v>
      </c>
      <c r="Q460" s="1762">
        <v>200996</v>
      </c>
      <c r="R460" s="842" t="s">
        <v>22</v>
      </c>
      <c r="S460" s="1762"/>
      <c r="T460" s="842" t="s">
        <v>22</v>
      </c>
      <c r="U460" s="1762" t="s">
        <v>22</v>
      </c>
      <c r="V460" s="842" t="s">
        <v>22</v>
      </c>
      <c r="W460" s="1762" t="s">
        <v>22</v>
      </c>
      <c r="X460" s="842" t="s">
        <v>22</v>
      </c>
      <c r="Y460" s="1762" t="s">
        <v>22</v>
      </c>
      <c r="Z460" s="842" t="s">
        <v>22</v>
      </c>
      <c r="AA460" s="2943" t="s">
        <v>22</v>
      </c>
      <c r="AB460" s="2940" t="s">
        <v>22</v>
      </c>
      <c r="AC460" s="1762" t="s">
        <v>22</v>
      </c>
      <c r="AD460" s="842" t="s">
        <v>22</v>
      </c>
      <c r="AE460" s="1762" t="s">
        <v>22</v>
      </c>
      <c r="AF460" s="842" t="s">
        <v>22</v>
      </c>
      <c r="AG460" s="2943" t="s">
        <v>22</v>
      </c>
      <c r="AH460" s="2940" t="s">
        <v>22</v>
      </c>
      <c r="AI460" s="1762" t="s">
        <v>22</v>
      </c>
      <c r="AJ460" s="842" t="s">
        <v>22</v>
      </c>
      <c r="AK460" s="1762" t="s">
        <v>22</v>
      </c>
      <c r="AL460" s="842" t="s">
        <v>22</v>
      </c>
      <c r="AM460" s="1549" t="s">
        <v>1041</v>
      </c>
      <c r="AN460" s="1659"/>
      <c r="AO460" s="1659"/>
      <c r="AP460" s="1659"/>
      <c r="AQ460" s="1659"/>
      <c r="AR460" s="1659"/>
      <c r="AS460" s="1659"/>
      <c r="AT460" s="1659"/>
      <c r="AU460" s="1659"/>
      <c r="AV460" s="1659"/>
      <c r="AW460" s="699"/>
      <c r="AX460" s="1659">
        <v>0</v>
      </c>
    </row>
    <row s="1874" customFormat="1" customHeight="1" ht="15">
      <c r="A461" s="1659"/>
      <c r="B461" s="2421"/>
      <c r="C461" s="2422"/>
      <c r="D461" s="713" t="str">
        <f>B459&amp;".3"</f>
        <v>3.141.3</v>
      </c>
      <c r="E461" s="1691" t="s">
        <v>1042</v>
      </c>
      <c r="F461" s="2287" t="s">
        <v>390</v>
      </c>
      <c r="G461" s="1762" t="s">
        <v>22</v>
      </c>
      <c r="H461" s="842" t="s">
        <v>22</v>
      </c>
      <c r="I461" s="1762" t="s">
        <v>22</v>
      </c>
      <c r="J461" s="842" t="s">
        <v>22</v>
      </c>
      <c r="K461" s="1762" t="s">
        <v>22</v>
      </c>
      <c r="L461" s="842" t="s">
        <v>22</v>
      </c>
      <c r="M461" s="2943" t="s">
        <v>22</v>
      </c>
      <c r="N461" s="2940" t="s">
        <v>22</v>
      </c>
      <c r="O461" s="1762" t="s">
        <v>22</v>
      </c>
      <c r="P461" s="842" t="s">
        <v>22</v>
      </c>
      <c r="Q461" s="1762" t="s">
        <v>22</v>
      </c>
      <c r="R461" s="842" t="s">
        <v>22</v>
      </c>
      <c r="S461" s="1762"/>
      <c r="T461" s="842" t="s">
        <v>22</v>
      </c>
      <c r="U461" s="1762" t="s">
        <v>22</v>
      </c>
      <c r="V461" s="842" t="s">
        <v>22</v>
      </c>
      <c r="W461" s="1762" t="s">
        <v>22</v>
      </c>
      <c r="X461" s="842" t="s">
        <v>22</v>
      </c>
      <c r="Y461" s="1762" t="s">
        <v>22</v>
      </c>
      <c r="Z461" s="842" t="s">
        <v>22</v>
      </c>
      <c r="AA461" s="2943" t="s">
        <v>22</v>
      </c>
      <c r="AB461" s="2940" t="s">
        <v>22</v>
      </c>
      <c r="AC461" s="1762" t="s">
        <v>22</v>
      </c>
      <c r="AD461" s="842" t="s">
        <v>22</v>
      </c>
      <c r="AE461" s="1762" t="s">
        <v>22</v>
      </c>
      <c r="AF461" s="842" t="s">
        <v>22</v>
      </c>
      <c r="AG461" s="2943" t="s">
        <v>22</v>
      </c>
      <c r="AH461" s="2940" t="s">
        <v>22</v>
      </c>
      <c r="AI461" s="1762" t="s">
        <v>22</v>
      </c>
      <c r="AJ461" s="842" t="s">
        <v>22</v>
      </c>
      <c r="AK461" s="1762" t="s">
        <v>22</v>
      </c>
      <c r="AL461" s="842" t="s">
        <v>22</v>
      </c>
      <c r="AM461" s="1549" t="s">
        <v>1043</v>
      </c>
      <c r="AN461" s="1659"/>
      <c r="AO461" s="1659"/>
      <c r="AP461" s="1659"/>
      <c r="AQ461" s="1659"/>
      <c r="AR461" s="1659"/>
      <c r="AS461" s="1659"/>
      <c r="AT461" s="1659"/>
      <c r="AU461" s="1659"/>
      <c r="AV461" s="1659"/>
      <c r="AW461" s="699"/>
      <c r="AX461" s="1659">
        <v>0</v>
      </c>
    </row>
    <row s="1874" customFormat="1" customHeight="1" ht="22.5">
      <c r="A462" s="1659"/>
      <c r="B462" s="2421" t="s">
        <v>1227</v>
      </c>
      <c r="C462" s="2422" t="s">
        <v>104</v>
      </c>
      <c r="D462" s="713" t="str">
        <f>B462&amp;".1"</f>
        <v>3.142.1</v>
      </c>
      <c r="E462" s="1691" t="s">
        <v>1039</v>
      </c>
      <c r="F462" s="2287" t="s">
        <v>390</v>
      </c>
      <c r="G462" s="2377" t="s">
        <v>22</v>
      </c>
      <c r="H462" s="842" t="s">
        <v>22</v>
      </c>
      <c r="I462" s="2377" t="s">
        <v>22</v>
      </c>
      <c r="J462" s="842" t="s">
        <v>22</v>
      </c>
      <c r="K462" s="2377" t="s">
        <v>22</v>
      </c>
      <c r="L462" s="842" t="s">
        <v>22</v>
      </c>
      <c r="M462" s="2942" t="s">
        <v>22</v>
      </c>
      <c r="N462" s="2940" t="s">
        <v>22</v>
      </c>
      <c r="O462" s="2377" t="s">
        <v>22</v>
      </c>
      <c r="P462" s="842" t="s">
        <v>22</v>
      </c>
      <c r="Q462" s="2377" t="s">
        <v>1059</v>
      </c>
      <c r="R462" s="842" t="s">
        <v>22</v>
      </c>
      <c r="S462" s="2377"/>
      <c r="T462" s="842" t="s">
        <v>22</v>
      </c>
      <c r="U462" s="2377" t="s">
        <v>22</v>
      </c>
      <c r="V462" s="842" t="s">
        <v>22</v>
      </c>
      <c r="W462" s="2377" t="s">
        <v>22</v>
      </c>
      <c r="X462" s="842" t="s">
        <v>22</v>
      </c>
      <c r="Y462" s="2377" t="s">
        <v>22</v>
      </c>
      <c r="Z462" s="842" t="s">
        <v>22</v>
      </c>
      <c r="AA462" s="2942" t="s">
        <v>22</v>
      </c>
      <c r="AB462" s="2940" t="s">
        <v>22</v>
      </c>
      <c r="AC462" s="2377" t="s">
        <v>22</v>
      </c>
      <c r="AD462" s="842" t="s">
        <v>22</v>
      </c>
      <c r="AE462" s="2377" t="s">
        <v>22</v>
      </c>
      <c r="AF462" s="842" t="s">
        <v>22</v>
      </c>
      <c r="AG462" s="2942" t="s">
        <v>22</v>
      </c>
      <c r="AH462" s="2940" t="s">
        <v>22</v>
      </c>
      <c r="AI462" s="2377" t="s">
        <v>22</v>
      </c>
      <c r="AJ462" s="842" t="s">
        <v>22</v>
      </c>
      <c r="AK462" s="2377" t="s">
        <v>22</v>
      </c>
      <c r="AL462" s="842" t="s">
        <v>22</v>
      </c>
      <c r="AM462" s="1549"/>
      <c r="AN462" s="1659"/>
      <c r="AO462" s="1659"/>
      <c r="AP462" s="1659"/>
      <c r="AQ462" s="1659"/>
      <c r="AR462" s="1659"/>
      <c r="AS462" s="1659"/>
      <c r="AT462" s="1659"/>
      <c r="AU462" s="1659"/>
      <c r="AV462" s="1659"/>
      <c r="AW462" s="699"/>
      <c r="AX462" s="1659">
        <v>0</v>
      </c>
    </row>
    <row s="1874" customFormat="1" customHeight="1" ht="15">
      <c r="A463" s="1659"/>
      <c r="B463" s="2421"/>
      <c r="C463" s="2422"/>
      <c r="D463" s="713" t="str">
        <f>B462&amp;".2"</f>
        <v>3.142.2</v>
      </c>
      <c r="E463" s="1691" t="s">
        <v>1040</v>
      </c>
      <c r="F463" s="2287" t="s">
        <v>390</v>
      </c>
      <c r="G463" s="1762" t="s">
        <v>22</v>
      </c>
      <c r="H463" s="842" t="s">
        <v>22</v>
      </c>
      <c r="I463" s="1762" t="s">
        <v>22</v>
      </c>
      <c r="J463" s="842" t="s">
        <v>22</v>
      </c>
      <c r="K463" s="1762" t="s">
        <v>22</v>
      </c>
      <c r="L463" s="842" t="s">
        <v>22</v>
      </c>
      <c r="M463" s="2943" t="s">
        <v>22</v>
      </c>
      <c r="N463" s="2940" t="s">
        <v>22</v>
      </c>
      <c r="O463" s="1762" t="s">
        <v>22</v>
      </c>
      <c r="P463" s="842" t="s">
        <v>22</v>
      </c>
      <c r="Q463" s="1762">
        <v>200996</v>
      </c>
      <c r="R463" s="842" t="s">
        <v>22</v>
      </c>
      <c r="S463" s="1762"/>
      <c r="T463" s="842" t="s">
        <v>22</v>
      </c>
      <c r="U463" s="1762" t="s">
        <v>22</v>
      </c>
      <c r="V463" s="842" t="s">
        <v>22</v>
      </c>
      <c r="W463" s="1762" t="s">
        <v>22</v>
      </c>
      <c r="X463" s="842" t="s">
        <v>22</v>
      </c>
      <c r="Y463" s="1762" t="s">
        <v>22</v>
      </c>
      <c r="Z463" s="842" t="s">
        <v>22</v>
      </c>
      <c r="AA463" s="2943" t="s">
        <v>22</v>
      </c>
      <c r="AB463" s="2940" t="s">
        <v>22</v>
      </c>
      <c r="AC463" s="1762" t="s">
        <v>22</v>
      </c>
      <c r="AD463" s="842" t="s">
        <v>22</v>
      </c>
      <c r="AE463" s="1762" t="s">
        <v>22</v>
      </c>
      <c r="AF463" s="842" t="s">
        <v>22</v>
      </c>
      <c r="AG463" s="2943" t="s">
        <v>22</v>
      </c>
      <c r="AH463" s="2940" t="s">
        <v>22</v>
      </c>
      <c r="AI463" s="1762" t="s">
        <v>22</v>
      </c>
      <c r="AJ463" s="842" t="s">
        <v>22</v>
      </c>
      <c r="AK463" s="1762" t="s">
        <v>22</v>
      </c>
      <c r="AL463" s="842" t="s">
        <v>22</v>
      </c>
      <c r="AM463" s="1549" t="s">
        <v>1041</v>
      </c>
      <c r="AN463" s="1659"/>
      <c r="AO463" s="1659"/>
      <c r="AP463" s="1659"/>
      <c r="AQ463" s="1659"/>
      <c r="AR463" s="1659"/>
      <c r="AS463" s="1659"/>
      <c r="AT463" s="1659"/>
      <c r="AU463" s="1659"/>
      <c r="AV463" s="1659"/>
      <c r="AW463" s="699"/>
      <c r="AX463" s="1659">
        <v>0</v>
      </c>
    </row>
    <row s="1874" customFormat="1" customHeight="1" ht="15">
      <c r="A464" s="1659"/>
      <c r="B464" s="2421"/>
      <c r="C464" s="2422"/>
      <c r="D464" s="713" t="str">
        <f>B462&amp;".3"</f>
        <v>3.142.3</v>
      </c>
      <c r="E464" s="1691" t="s">
        <v>1042</v>
      </c>
      <c r="F464" s="2287" t="s">
        <v>390</v>
      </c>
      <c r="G464" s="1762" t="s">
        <v>22</v>
      </c>
      <c r="H464" s="842" t="s">
        <v>22</v>
      </c>
      <c r="I464" s="1762" t="s">
        <v>22</v>
      </c>
      <c r="J464" s="842" t="s">
        <v>22</v>
      </c>
      <c r="K464" s="1762" t="s">
        <v>22</v>
      </c>
      <c r="L464" s="842" t="s">
        <v>22</v>
      </c>
      <c r="M464" s="2943" t="s">
        <v>22</v>
      </c>
      <c r="N464" s="2940" t="s">
        <v>22</v>
      </c>
      <c r="O464" s="1762" t="s">
        <v>22</v>
      </c>
      <c r="P464" s="842" t="s">
        <v>22</v>
      </c>
      <c r="Q464" s="1762" t="s">
        <v>22</v>
      </c>
      <c r="R464" s="842" t="s">
        <v>22</v>
      </c>
      <c r="S464" s="1762"/>
      <c r="T464" s="842" t="s">
        <v>22</v>
      </c>
      <c r="U464" s="1762" t="s">
        <v>22</v>
      </c>
      <c r="V464" s="842" t="s">
        <v>22</v>
      </c>
      <c r="W464" s="1762" t="s">
        <v>22</v>
      </c>
      <c r="X464" s="842" t="s">
        <v>22</v>
      </c>
      <c r="Y464" s="1762" t="s">
        <v>22</v>
      </c>
      <c r="Z464" s="842" t="s">
        <v>22</v>
      </c>
      <c r="AA464" s="2943" t="s">
        <v>22</v>
      </c>
      <c r="AB464" s="2940" t="s">
        <v>22</v>
      </c>
      <c r="AC464" s="1762" t="s">
        <v>22</v>
      </c>
      <c r="AD464" s="842" t="s">
        <v>22</v>
      </c>
      <c r="AE464" s="1762" t="s">
        <v>22</v>
      </c>
      <c r="AF464" s="842" t="s">
        <v>22</v>
      </c>
      <c r="AG464" s="2943" t="s">
        <v>22</v>
      </c>
      <c r="AH464" s="2940" t="s">
        <v>22</v>
      </c>
      <c r="AI464" s="1762" t="s">
        <v>22</v>
      </c>
      <c r="AJ464" s="842" t="s">
        <v>22</v>
      </c>
      <c r="AK464" s="1762" t="s">
        <v>22</v>
      </c>
      <c r="AL464" s="842" t="s">
        <v>22</v>
      </c>
      <c r="AM464" s="1549" t="s">
        <v>1043</v>
      </c>
      <c r="AN464" s="1659"/>
      <c r="AO464" s="1659"/>
      <c r="AP464" s="1659"/>
      <c r="AQ464" s="1659"/>
      <c r="AR464" s="1659"/>
      <c r="AS464" s="1659"/>
      <c r="AT464" s="1659"/>
      <c r="AU464" s="1659"/>
      <c r="AV464" s="1659"/>
      <c r="AW464" s="699"/>
      <c r="AX464" s="1659">
        <v>0</v>
      </c>
    </row>
    <row s="1874" customFormat="1" customHeight="1" ht="22.5">
      <c r="A465" s="1659"/>
      <c r="B465" s="2421" t="s">
        <v>1228</v>
      </c>
      <c r="C465" s="2422" t="s">
        <v>104</v>
      </c>
      <c r="D465" s="713" t="str">
        <f>B465&amp;".1"</f>
        <v>3.143.1</v>
      </c>
      <c r="E465" s="1691" t="s">
        <v>1039</v>
      </c>
      <c r="F465" s="2287" t="s">
        <v>390</v>
      </c>
      <c r="G465" s="2377" t="s">
        <v>22</v>
      </c>
      <c r="H465" s="842" t="s">
        <v>22</v>
      </c>
      <c r="I465" s="2377" t="s">
        <v>22</v>
      </c>
      <c r="J465" s="842" t="s">
        <v>22</v>
      </c>
      <c r="K465" s="2377" t="s">
        <v>22</v>
      </c>
      <c r="L465" s="842" t="s">
        <v>22</v>
      </c>
      <c r="M465" s="2942" t="s">
        <v>22</v>
      </c>
      <c r="N465" s="2940" t="s">
        <v>22</v>
      </c>
      <c r="O465" s="2377" t="s">
        <v>22</v>
      </c>
      <c r="P465" s="842" t="s">
        <v>22</v>
      </c>
      <c r="Q465" s="2377" t="s">
        <v>1059</v>
      </c>
      <c r="R465" s="842" t="s">
        <v>22</v>
      </c>
      <c r="S465" s="2377"/>
      <c r="T465" s="842" t="s">
        <v>22</v>
      </c>
      <c r="U465" s="2377" t="s">
        <v>22</v>
      </c>
      <c r="V465" s="842" t="s">
        <v>22</v>
      </c>
      <c r="W465" s="2377" t="s">
        <v>22</v>
      </c>
      <c r="X465" s="842" t="s">
        <v>22</v>
      </c>
      <c r="Y465" s="2377" t="s">
        <v>22</v>
      </c>
      <c r="Z465" s="842" t="s">
        <v>22</v>
      </c>
      <c r="AA465" s="2942" t="s">
        <v>22</v>
      </c>
      <c r="AB465" s="2940" t="s">
        <v>22</v>
      </c>
      <c r="AC465" s="2377" t="s">
        <v>22</v>
      </c>
      <c r="AD465" s="842" t="s">
        <v>22</v>
      </c>
      <c r="AE465" s="2377" t="s">
        <v>22</v>
      </c>
      <c r="AF465" s="842" t="s">
        <v>22</v>
      </c>
      <c r="AG465" s="2942" t="s">
        <v>22</v>
      </c>
      <c r="AH465" s="2940" t="s">
        <v>22</v>
      </c>
      <c r="AI465" s="2377" t="s">
        <v>22</v>
      </c>
      <c r="AJ465" s="842" t="s">
        <v>22</v>
      </c>
      <c r="AK465" s="2377" t="s">
        <v>22</v>
      </c>
      <c r="AL465" s="842" t="s">
        <v>22</v>
      </c>
      <c r="AM465" s="1549"/>
      <c r="AN465" s="1659"/>
      <c r="AO465" s="1659"/>
      <c r="AP465" s="1659"/>
      <c r="AQ465" s="1659"/>
      <c r="AR465" s="1659"/>
      <c r="AS465" s="1659"/>
      <c r="AT465" s="1659"/>
      <c r="AU465" s="1659"/>
      <c r="AV465" s="1659"/>
      <c r="AW465" s="699"/>
      <c r="AX465" s="1659">
        <v>0</v>
      </c>
    </row>
    <row s="1874" customFormat="1" customHeight="1" ht="15">
      <c r="A466" s="1659"/>
      <c r="B466" s="2421"/>
      <c r="C466" s="2422"/>
      <c r="D466" s="713" t="str">
        <f>B465&amp;".2"</f>
        <v>3.143.2</v>
      </c>
      <c r="E466" s="1691" t="s">
        <v>1040</v>
      </c>
      <c r="F466" s="2287" t="s">
        <v>390</v>
      </c>
      <c r="G466" s="1762" t="s">
        <v>22</v>
      </c>
      <c r="H466" s="842" t="s">
        <v>22</v>
      </c>
      <c r="I466" s="1762" t="s">
        <v>22</v>
      </c>
      <c r="J466" s="842" t="s">
        <v>22</v>
      </c>
      <c r="K466" s="1762" t="s">
        <v>22</v>
      </c>
      <c r="L466" s="842" t="s">
        <v>22</v>
      </c>
      <c r="M466" s="2943" t="s">
        <v>22</v>
      </c>
      <c r="N466" s="2940" t="s">
        <v>22</v>
      </c>
      <c r="O466" s="1762" t="s">
        <v>22</v>
      </c>
      <c r="P466" s="842" t="s">
        <v>22</v>
      </c>
      <c r="Q466" s="1762">
        <v>200996</v>
      </c>
      <c r="R466" s="842" t="s">
        <v>22</v>
      </c>
      <c r="S466" s="1762"/>
      <c r="T466" s="842" t="s">
        <v>22</v>
      </c>
      <c r="U466" s="1762" t="s">
        <v>22</v>
      </c>
      <c r="V466" s="842" t="s">
        <v>22</v>
      </c>
      <c r="W466" s="1762" t="s">
        <v>22</v>
      </c>
      <c r="X466" s="842" t="s">
        <v>22</v>
      </c>
      <c r="Y466" s="1762" t="s">
        <v>22</v>
      </c>
      <c r="Z466" s="842" t="s">
        <v>22</v>
      </c>
      <c r="AA466" s="2943" t="s">
        <v>22</v>
      </c>
      <c r="AB466" s="2940" t="s">
        <v>22</v>
      </c>
      <c r="AC466" s="1762" t="s">
        <v>22</v>
      </c>
      <c r="AD466" s="842" t="s">
        <v>22</v>
      </c>
      <c r="AE466" s="1762" t="s">
        <v>22</v>
      </c>
      <c r="AF466" s="842" t="s">
        <v>22</v>
      </c>
      <c r="AG466" s="2943" t="s">
        <v>22</v>
      </c>
      <c r="AH466" s="2940" t="s">
        <v>22</v>
      </c>
      <c r="AI466" s="1762" t="s">
        <v>22</v>
      </c>
      <c r="AJ466" s="842" t="s">
        <v>22</v>
      </c>
      <c r="AK466" s="1762" t="s">
        <v>22</v>
      </c>
      <c r="AL466" s="842" t="s">
        <v>22</v>
      </c>
      <c r="AM466" s="1549" t="s">
        <v>1041</v>
      </c>
      <c r="AN466" s="1659"/>
      <c r="AO466" s="1659"/>
      <c r="AP466" s="1659"/>
      <c r="AQ466" s="1659"/>
      <c r="AR466" s="1659"/>
      <c r="AS466" s="1659"/>
      <c r="AT466" s="1659"/>
      <c r="AU466" s="1659"/>
      <c r="AV466" s="1659"/>
      <c r="AW466" s="699"/>
      <c r="AX466" s="1659">
        <v>0</v>
      </c>
    </row>
    <row s="1874" customFormat="1" customHeight="1" ht="15">
      <c r="A467" s="1659"/>
      <c r="B467" s="2421"/>
      <c r="C467" s="2422"/>
      <c r="D467" s="713" t="str">
        <f>B465&amp;".3"</f>
        <v>3.143.3</v>
      </c>
      <c r="E467" s="1691" t="s">
        <v>1042</v>
      </c>
      <c r="F467" s="2287" t="s">
        <v>390</v>
      </c>
      <c r="G467" s="1762" t="s">
        <v>22</v>
      </c>
      <c r="H467" s="842" t="s">
        <v>22</v>
      </c>
      <c r="I467" s="1762" t="s">
        <v>22</v>
      </c>
      <c r="J467" s="842" t="s">
        <v>22</v>
      </c>
      <c r="K467" s="1762" t="s">
        <v>22</v>
      </c>
      <c r="L467" s="842" t="s">
        <v>22</v>
      </c>
      <c r="M467" s="2943" t="s">
        <v>22</v>
      </c>
      <c r="N467" s="2940" t="s">
        <v>22</v>
      </c>
      <c r="O467" s="1762" t="s">
        <v>22</v>
      </c>
      <c r="P467" s="842" t="s">
        <v>22</v>
      </c>
      <c r="Q467" s="1762" t="s">
        <v>22</v>
      </c>
      <c r="R467" s="842" t="s">
        <v>22</v>
      </c>
      <c r="S467" s="1762"/>
      <c r="T467" s="842" t="s">
        <v>22</v>
      </c>
      <c r="U467" s="1762" t="s">
        <v>22</v>
      </c>
      <c r="V467" s="842" t="s">
        <v>22</v>
      </c>
      <c r="W467" s="1762" t="s">
        <v>22</v>
      </c>
      <c r="X467" s="842" t="s">
        <v>22</v>
      </c>
      <c r="Y467" s="1762" t="s">
        <v>22</v>
      </c>
      <c r="Z467" s="842" t="s">
        <v>22</v>
      </c>
      <c r="AA467" s="2943" t="s">
        <v>22</v>
      </c>
      <c r="AB467" s="2940" t="s">
        <v>22</v>
      </c>
      <c r="AC467" s="1762" t="s">
        <v>22</v>
      </c>
      <c r="AD467" s="842" t="s">
        <v>22</v>
      </c>
      <c r="AE467" s="1762" t="s">
        <v>22</v>
      </c>
      <c r="AF467" s="842" t="s">
        <v>22</v>
      </c>
      <c r="AG467" s="2943" t="s">
        <v>22</v>
      </c>
      <c r="AH467" s="2940" t="s">
        <v>22</v>
      </c>
      <c r="AI467" s="1762" t="s">
        <v>22</v>
      </c>
      <c r="AJ467" s="842" t="s">
        <v>22</v>
      </c>
      <c r="AK467" s="1762" t="s">
        <v>22</v>
      </c>
      <c r="AL467" s="842" t="s">
        <v>22</v>
      </c>
      <c r="AM467" s="1549" t="s">
        <v>1043</v>
      </c>
      <c r="AN467" s="1659"/>
      <c r="AO467" s="1659"/>
      <c r="AP467" s="1659"/>
      <c r="AQ467" s="1659"/>
      <c r="AR467" s="1659"/>
      <c r="AS467" s="1659"/>
      <c r="AT467" s="1659"/>
      <c r="AU467" s="1659"/>
      <c r="AV467" s="1659"/>
      <c r="AW467" s="699"/>
      <c r="AX467" s="1659">
        <v>0</v>
      </c>
    </row>
    <row s="1874" customFormat="1" customHeight="1" ht="22.5">
      <c r="A468" s="1659"/>
      <c r="B468" s="2421" t="s">
        <v>1229</v>
      </c>
      <c r="C468" s="2422" t="s">
        <v>104</v>
      </c>
      <c r="D468" s="713" t="str">
        <f>B468&amp;".1"</f>
        <v>3.144.1</v>
      </c>
      <c r="E468" s="1691" t="s">
        <v>1039</v>
      </c>
      <c r="F468" s="2287" t="s">
        <v>390</v>
      </c>
      <c r="G468" s="2377" t="s">
        <v>22</v>
      </c>
      <c r="H468" s="842" t="s">
        <v>22</v>
      </c>
      <c r="I468" s="2377" t="s">
        <v>22</v>
      </c>
      <c r="J468" s="842" t="s">
        <v>22</v>
      </c>
      <c r="K468" s="2377" t="s">
        <v>22</v>
      </c>
      <c r="L468" s="842" t="s">
        <v>22</v>
      </c>
      <c r="M468" s="2942" t="s">
        <v>22</v>
      </c>
      <c r="N468" s="2940" t="s">
        <v>22</v>
      </c>
      <c r="O468" s="2377" t="s">
        <v>22</v>
      </c>
      <c r="P468" s="842" t="s">
        <v>22</v>
      </c>
      <c r="Q468" s="2377" t="s">
        <v>1059</v>
      </c>
      <c r="R468" s="842" t="s">
        <v>22</v>
      </c>
      <c r="S468" s="2377"/>
      <c r="T468" s="842" t="s">
        <v>22</v>
      </c>
      <c r="U468" s="2377" t="s">
        <v>22</v>
      </c>
      <c r="V468" s="842" t="s">
        <v>22</v>
      </c>
      <c r="W468" s="2377" t="s">
        <v>22</v>
      </c>
      <c r="X468" s="842" t="s">
        <v>22</v>
      </c>
      <c r="Y468" s="2377" t="s">
        <v>22</v>
      </c>
      <c r="Z468" s="842" t="s">
        <v>22</v>
      </c>
      <c r="AA468" s="2942" t="s">
        <v>22</v>
      </c>
      <c r="AB468" s="2940" t="s">
        <v>22</v>
      </c>
      <c r="AC468" s="2377" t="s">
        <v>22</v>
      </c>
      <c r="AD468" s="842" t="s">
        <v>22</v>
      </c>
      <c r="AE468" s="2377" t="s">
        <v>22</v>
      </c>
      <c r="AF468" s="842" t="s">
        <v>22</v>
      </c>
      <c r="AG468" s="2942" t="s">
        <v>22</v>
      </c>
      <c r="AH468" s="2940" t="s">
        <v>22</v>
      </c>
      <c r="AI468" s="2377" t="s">
        <v>22</v>
      </c>
      <c r="AJ468" s="842" t="s">
        <v>22</v>
      </c>
      <c r="AK468" s="2377" t="s">
        <v>22</v>
      </c>
      <c r="AL468" s="842" t="s">
        <v>22</v>
      </c>
      <c r="AM468" s="1549"/>
      <c r="AN468" s="1659"/>
      <c r="AO468" s="1659"/>
      <c r="AP468" s="1659"/>
      <c r="AQ468" s="1659"/>
      <c r="AR468" s="1659"/>
      <c r="AS468" s="1659"/>
      <c r="AT468" s="1659"/>
      <c r="AU468" s="1659"/>
      <c r="AV468" s="1659"/>
      <c r="AW468" s="699"/>
      <c r="AX468" s="1659">
        <v>0</v>
      </c>
    </row>
    <row s="1874" customFormat="1" customHeight="1" ht="15">
      <c r="A469" s="1659"/>
      <c r="B469" s="2421"/>
      <c r="C469" s="2422"/>
      <c r="D469" s="713" t="str">
        <f>B468&amp;".2"</f>
        <v>3.144.2</v>
      </c>
      <c r="E469" s="1691" t="s">
        <v>1040</v>
      </c>
      <c r="F469" s="2287" t="s">
        <v>390</v>
      </c>
      <c r="G469" s="1762" t="s">
        <v>22</v>
      </c>
      <c r="H469" s="842" t="s">
        <v>22</v>
      </c>
      <c r="I469" s="1762" t="s">
        <v>22</v>
      </c>
      <c r="J469" s="842" t="s">
        <v>22</v>
      </c>
      <c r="K469" s="1762" t="s">
        <v>22</v>
      </c>
      <c r="L469" s="842" t="s">
        <v>22</v>
      </c>
      <c r="M469" s="2943" t="s">
        <v>22</v>
      </c>
      <c r="N469" s="2940" t="s">
        <v>22</v>
      </c>
      <c r="O469" s="1762" t="s">
        <v>22</v>
      </c>
      <c r="P469" s="842" t="s">
        <v>22</v>
      </c>
      <c r="Q469" s="1762">
        <v>200996</v>
      </c>
      <c r="R469" s="842" t="s">
        <v>22</v>
      </c>
      <c r="S469" s="1762"/>
      <c r="T469" s="842" t="s">
        <v>22</v>
      </c>
      <c r="U469" s="1762" t="s">
        <v>22</v>
      </c>
      <c r="V469" s="842" t="s">
        <v>22</v>
      </c>
      <c r="W469" s="1762" t="s">
        <v>22</v>
      </c>
      <c r="X469" s="842" t="s">
        <v>22</v>
      </c>
      <c r="Y469" s="1762" t="s">
        <v>22</v>
      </c>
      <c r="Z469" s="842" t="s">
        <v>22</v>
      </c>
      <c r="AA469" s="2943" t="s">
        <v>22</v>
      </c>
      <c r="AB469" s="2940" t="s">
        <v>22</v>
      </c>
      <c r="AC469" s="1762" t="s">
        <v>22</v>
      </c>
      <c r="AD469" s="842" t="s">
        <v>22</v>
      </c>
      <c r="AE469" s="1762" t="s">
        <v>22</v>
      </c>
      <c r="AF469" s="842" t="s">
        <v>22</v>
      </c>
      <c r="AG469" s="2943" t="s">
        <v>22</v>
      </c>
      <c r="AH469" s="2940" t="s">
        <v>22</v>
      </c>
      <c r="AI469" s="1762" t="s">
        <v>22</v>
      </c>
      <c r="AJ469" s="842" t="s">
        <v>22</v>
      </c>
      <c r="AK469" s="1762" t="s">
        <v>22</v>
      </c>
      <c r="AL469" s="842" t="s">
        <v>22</v>
      </c>
      <c r="AM469" s="1549" t="s">
        <v>1041</v>
      </c>
      <c r="AN469" s="1659"/>
      <c r="AO469" s="1659"/>
      <c r="AP469" s="1659"/>
      <c r="AQ469" s="1659"/>
      <c r="AR469" s="1659"/>
      <c r="AS469" s="1659"/>
      <c r="AT469" s="1659"/>
      <c r="AU469" s="1659"/>
      <c r="AV469" s="1659"/>
      <c r="AW469" s="699"/>
      <c r="AX469" s="1659">
        <v>0</v>
      </c>
    </row>
    <row s="1874" customFormat="1" customHeight="1" ht="15">
      <c r="A470" s="1659"/>
      <c r="B470" s="2421"/>
      <c r="C470" s="2422"/>
      <c r="D470" s="713" t="str">
        <f>B468&amp;".3"</f>
        <v>3.144.3</v>
      </c>
      <c r="E470" s="1691" t="s">
        <v>1042</v>
      </c>
      <c r="F470" s="2287" t="s">
        <v>390</v>
      </c>
      <c r="G470" s="1762" t="s">
        <v>22</v>
      </c>
      <c r="H470" s="842" t="s">
        <v>22</v>
      </c>
      <c r="I470" s="1762" t="s">
        <v>22</v>
      </c>
      <c r="J470" s="842" t="s">
        <v>22</v>
      </c>
      <c r="K470" s="1762" t="s">
        <v>22</v>
      </c>
      <c r="L470" s="842" t="s">
        <v>22</v>
      </c>
      <c r="M470" s="2943" t="s">
        <v>22</v>
      </c>
      <c r="N470" s="2940" t="s">
        <v>22</v>
      </c>
      <c r="O470" s="1762" t="s">
        <v>22</v>
      </c>
      <c r="P470" s="842" t="s">
        <v>22</v>
      </c>
      <c r="Q470" s="1762" t="s">
        <v>22</v>
      </c>
      <c r="R470" s="842" t="s">
        <v>22</v>
      </c>
      <c r="S470" s="1762"/>
      <c r="T470" s="842" t="s">
        <v>22</v>
      </c>
      <c r="U470" s="1762" t="s">
        <v>22</v>
      </c>
      <c r="V470" s="842" t="s">
        <v>22</v>
      </c>
      <c r="W470" s="1762" t="s">
        <v>22</v>
      </c>
      <c r="X470" s="842" t="s">
        <v>22</v>
      </c>
      <c r="Y470" s="1762" t="s">
        <v>22</v>
      </c>
      <c r="Z470" s="842" t="s">
        <v>22</v>
      </c>
      <c r="AA470" s="2943" t="s">
        <v>22</v>
      </c>
      <c r="AB470" s="2940" t="s">
        <v>22</v>
      </c>
      <c r="AC470" s="1762" t="s">
        <v>22</v>
      </c>
      <c r="AD470" s="842" t="s">
        <v>22</v>
      </c>
      <c r="AE470" s="1762" t="s">
        <v>22</v>
      </c>
      <c r="AF470" s="842" t="s">
        <v>22</v>
      </c>
      <c r="AG470" s="2943" t="s">
        <v>22</v>
      </c>
      <c r="AH470" s="2940" t="s">
        <v>22</v>
      </c>
      <c r="AI470" s="1762" t="s">
        <v>22</v>
      </c>
      <c r="AJ470" s="842" t="s">
        <v>22</v>
      </c>
      <c r="AK470" s="1762" t="s">
        <v>22</v>
      </c>
      <c r="AL470" s="842" t="s">
        <v>22</v>
      </c>
      <c r="AM470" s="1549" t="s">
        <v>1043</v>
      </c>
      <c r="AN470" s="1659"/>
      <c r="AO470" s="1659"/>
      <c r="AP470" s="1659"/>
      <c r="AQ470" s="1659"/>
      <c r="AR470" s="1659"/>
      <c r="AS470" s="1659"/>
      <c r="AT470" s="1659"/>
      <c r="AU470" s="1659"/>
      <c r="AV470" s="1659"/>
      <c r="AW470" s="699"/>
      <c r="AX470" s="1659">
        <v>0</v>
      </c>
    </row>
    <row s="1874" customFormat="1" customHeight="1" ht="22.5">
      <c r="A471" s="1659"/>
      <c r="B471" s="2421" t="s">
        <v>1230</v>
      </c>
      <c r="C471" s="2422" t="s">
        <v>104</v>
      </c>
      <c r="D471" s="713" t="str">
        <f>B471&amp;".1"</f>
        <v>3.145.1</v>
      </c>
      <c r="E471" s="1691" t="s">
        <v>1039</v>
      </c>
      <c r="F471" s="2287" t="s">
        <v>390</v>
      </c>
      <c r="G471" s="2377" t="s">
        <v>22</v>
      </c>
      <c r="H471" s="842" t="s">
        <v>22</v>
      </c>
      <c r="I471" s="2377" t="s">
        <v>22</v>
      </c>
      <c r="J471" s="842" t="s">
        <v>22</v>
      </c>
      <c r="K471" s="2377" t="s">
        <v>22</v>
      </c>
      <c r="L471" s="842" t="s">
        <v>22</v>
      </c>
      <c r="M471" s="2942" t="s">
        <v>22</v>
      </c>
      <c r="N471" s="2940" t="s">
        <v>22</v>
      </c>
      <c r="O471" s="2377" t="s">
        <v>22</v>
      </c>
      <c r="P471" s="842" t="s">
        <v>22</v>
      </c>
      <c r="Q471" s="2377" t="s">
        <v>1059</v>
      </c>
      <c r="R471" s="842" t="s">
        <v>22</v>
      </c>
      <c r="S471" s="2377"/>
      <c r="T471" s="842" t="s">
        <v>22</v>
      </c>
      <c r="U471" s="2377" t="s">
        <v>22</v>
      </c>
      <c r="V471" s="842" t="s">
        <v>22</v>
      </c>
      <c r="W471" s="2377" t="s">
        <v>22</v>
      </c>
      <c r="X471" s="842" t="s">
        <v>22</v>
      </c>
      <c r="Y471" s="2377" t="s">
        <v>22</v>
      </c>
      <c r="Z471" s="842" t="s">
        <v>22</v>
      </c>
      <c r="AA471" s="2942" t="s">
        <v>22</v>
      </c>
      <c r="AB471" s="2940" t="s">
        <v>22</v>
      </c>
      <c r="AC471" s="2377" t="s">
        <v>22</v>
      </c>
      <c r="AD471" s="842" t="s">
        <v>22</v>
      </c>
      <c r="AE471" s="2377" t="s">
        <v>22</v>
      </c>
      <c r="AF471" s="842" t="s">
        <v>22</v>
      </c>
      <c r="AG471" s="2942" t="s">
        <v>22</v>
      </c>
      <c r="AH471" s="2940" t="s">
        <v>22</v>
      </c>
      <c r="AI471" s="2377" t="s">
        <v>22</v>
      </c>
      <c r="AJ471" s="842" t="s">
        <v>22</v>
      </c>
      <c r="AK471" s="2377" t="s">
        <v>22</v>
      </c>
      <c r="AL471" s="842" t="s">
        <v>22</v>
      </c>
      <c r="AM471" s="1549"/>
      <c r="AN471" s="1659"/>
      <c r="AO471" s="1659"/>
      <c r="AP471" s="1659"/>
      <c r="AQ471" s="1659"/>
      <c r="AR471" s="1659"/>
      <c r="AS471" s="1659"/>
      <c r="AT471" s="1659"/>
      <c r="AU471" s="1659"/>
      <c r="AV471" s="1659"/>
      <c r="AW471" s="699"/>
      <c r="AX471" s="1659">
        <v>0</v>
      </c>
    </row>
    <row s="1874" customFormat="1" customHeight="1" ht="15">
      <c r="A472" s="1659"/>
      <c r="B472" s="2421"/>
      <c r="C472" s="2422"/>
      <c r="D472" s="713" t="str">
        <f>B471&amp;".2"</f>
        <v>3.145.2</v>
      </c>
      <c r="E472" s="1691" t="s">
        <v>1040</v>
      </c>
      <c r="F472" s="2287" t="s">
        <v>390</v>
      </c>
      <c r="G472" s="1762" t="s">
        <v>22</v>
      </c>
      <c r="H472" s="842" t="s">
        <v>22</v>
      </c>
      <c r="I472" s="1762" t="s">
        <v>22</v>
      </c>
      <c r="J472" s="842" t="s">
        <v>22</v>
      </c>
      <c r="K472" s="1762" t="s">
        <v>22</v>
      </c>
      <c r="L472" s="842" t="s">
        <v>22</v>
      </c>
      <c r="M472" s="2943" t="s">
        <v>22</v>
      </c>
      <c r="N472" s="2940" t="s">
        <v>22</v>
      </c>
      <c r="O472" s="1762" t="s">
        <v>22</v>
      </c>
      <c r="P472" s="842" t="s">
        <v>22</v>
      </c>
      <c r="Q472" s="1762">
        <v>200996</v>
      </c>
      <c r="R472" s="842" t="s">
        <v>22</v>
      </c>
      <c r="S472" s="1762"/>
      <c r="T472" s="842" t="s">
        <v>22</v>
      </c>
      <c r="U472" s="1762" t="s">
        <v>22</v>
      </c>
      <c r="V472" s="842" t="s">
        <v>22</v>
      </c>
      <c r="W472" s="1762" t="s">
        <v>22</v>
      </c>
      <c r="X472" s="842" t="s">
        <v>22</v>
      </c>
      <c r="Y472" s="1762" t="s">
        <v>22</v>
      </c>
      <c r="Z472" s="842" t="s">
        <v>22</v>
      </c>
      <c r="AA472" s="2943" t="s">
        <v>22</v>
      </c>
      <c r="AB472" s="2940" t="s">
        <v>22</v>
      </c>
      <c r="AC472" s="1762" t="s">
        <v>22</v>
      </c>
      <c r="AD472" s="842" t="s">
        <v>22</v>
      </c>
      <c r="AE472" s="1762" t="s">
        <v>22</v>
      </c>
      <c r="AF472" s="842" t="s">
        <v>22</v>
      </c>
      <c r="AG472" s="2943" t="s">
        <v>22</v>
      </c>
      <c r="AH472" s="2940" t="s">
        <v>22</v>
      </c>
      <c r="AI472" s="1762" t="s">
        <v>22</v>
      </c>
      <c r="AJ472" s="842" t="s">
        <v>22</v>
      </c>
      <c r="AK472" s="1762" t="s">
        <v>22</v>
      </c>
      <c r="AL472" s="842" t="s">
        <v>22</v>
      </c>
      <c r="AM472" s="1549" t="s">
        <v>1041</v>
      </c>
      <c r="AN472" s="1659"/>
      <c r="AO472" s="1659"/>
      <c r="AP472" s="1659"/>
      <c r="AQ472" s="1659"/>
      <c r="AR472" s="1659"/>
      <c r="AS472" s="1659"/>
      <c r="AT472" s="1659"/>
      <c r="AU472" s="1659"/>
      <c r="AV472" s="1659"/>
      <c r="AW472" s="699"/>
      <c r="AX472" s="1659">
        <v>0</v>
      </c>
    </row>
    <row s="1874" customFormat="1" customHeight="1" ht="15">
      <c r="A473" s="1659"/>
      <c r="B473" s="2421"/>
      <c r="C473" s="2422"/>
      <c r="D473" s="713" t="str">
        <f>B471&amp;".3"</f>
        <v>3.145.3</v>
      </c>
      <c r="E473" s="1691" t="s">
        <v>1042</v>
      </c>
      <c r="F473" s="2287" t="s">
        <v>390</v>
      </c>
      <c r="G473" s="1762" t="s">
        <v>22</v>
      </c>
      <c r="H473" s="842" t="s">
        <v>22</v>
      </c>
      <c r="I473" s="1762" t="s">
        <v>22</v>
      </c>
      <c r="J473" s="842" t="s">
        <v>22</v>
      </c>
      <c r="K473" s="1762" t="s">
        <v>22</v>
      </c>
      <c r="L473" s="842" t="s">
        <v>22</v>
      </c>
      <c r="M473" s="2943" t="s">
        <v>22</v>
      </c>
      <c r="N473" s="2940" t="s">
        <v>22</v>
      </c>
      <c r="O473" s="1762" t="s">
        <v>22</v>
      </c>
      <c r="P473" s="842" t="s">
        <v>22</v>
      </c>
      <c r="Q473" s="1762" t="s">
        <v>22</v>
      </c>
      <c r="R473" s="842" t="s">
        <v>22</v>
      </c>
      <c r="S473" s="1762"/>
      <c r="T473" s="842" t="s">
        <v>22</v>
      </c>
      <c r="U473" s="1762" t="s">
        <v>22</v>
      </c>
      <c r="V473" s="842" t="s">
        <v>22</v>
      </c>
      <c r="W473" s="1762" t="s">
        <v>22</v>
      </c>
      <c r="X473" s="842" t="s">
        <v>22</v>
      </c>
      <c r="Y473" s="1762" t="s">
        <v>22</v>
      </c>
      <c r="Z473" s="842" t="s">
        <v>22</v>
      </c>
      <c r="AA473" s="2943" t="s">
        <v>22</v>
      </c>
      <c r="AB473" s="2940" t="s">
        <v>22</v>
      </c>
      <c r="AC473" s="1762" t="s">
        <v>22</v>
      </c>
      <c r="AD473" s="842" t="s">
        <v>22</v>
      </c>
      <c r="AE473" s="1762" t="s">
        <v>22</v>
      </c>
      <c r="AF473" s="842" t="s">
        <v>22</v>
      </c>
      <c r="AG473" s="2943" t="s">
        <v>22</v>
      </c>
      <c r="AH473" s="2940" t="s">
        <v>22</v>
      </c>
      <c r="AI473" s="1762" t="s">
        <v>22</v>
      </c>
      <c r="AJ473" s="842" t="s">
        <v>22</v>
      </c>
      <c r="AK473" s="1762" t="s">
        <v>22</v>
      </c>
      <c r="AL473" s="842" t="s">
        <v>22</v>
      </c>
      <c r="AM473" s="1549" t="s">
        <v>1043</v>
      </c>
      <c r="AN473" s="1659"/>
      <c r="AO473" s="1659"/>
      <c r="AP473" s="1659"/>
      <c r="AQ473" s="1659"/>
      <c r="AR473" s="1659"/>
      <c r="AS473" s="1659"/>
      <c r="AT473" s="1659"/>
      <c r="AU473" s="1659"/>
      <c r="AV473" s="1659"/>
      <c r="AW473" s="699"/>
      <c r="AX473" s="1659">
        <v>0</v>
      </c>
    </row>
    <row s="1874" customFormat="1" customHeight="1" ht="22.5">
      <c r="A474" s="1659"/>
      <c r="B474" s="2421" t="s">
        <v>1231</v>
      </c>
      <c r="C474" s="2422" t="s">
        <v>104</v>
      </c>
      <c r="D474" s="713" t="str">
        <f>B474&amp;".1"</f>
        <v>3.146.1</v>
      </c>
      <c r="E474" s="1691" t="s">
        <v>1039</v>
      </c>
      <c r="F474" s="2287" t="s">
        <v>390</v>
      </c>
      <c r="G474" s="2377" t="s">
        <v>22</v>
      </c>
      <c r="H474" s="842" t="s">
        <v>22</v>
      </c>
      <c r="I474" s="2377" t="s">
        <v>22</v>
      </c>
      <c r="J474" s="842" t="s">
        <v>22</v>
      </c>
      <c r="K474" s="2377" t="s">
        <v>22</v>
      </c>
      <c r="L474" s="842" t="s">
        <v>22</v>
      </c>
      <c r="M474" s="2942" t="s">
        <v>22</v>
      </c>
      <c r="N474" s="2940" t="s">
        <v>22</v>
      </c>
      <c r="O474" s="2377" t="s">
        <v>22</v>
      </c>
      <c r="P474" s="842" t="s">
        <v>22</v>
      </c>
      <c r="Q474" s="2377" t="s">
        <v>1059</v>
      </c>
      <c r="R474" s="842" t="s">
        <v>22</v>
      </c>
      <c r="S474" s="2377"/>
      <c r="T474" s="842" t="s">
        <v>22</v>
      </c>
      <c r="U474" s="2377" t="s">
        <v>22</v>
      </c>
      <c r="V474" s="842" t="s">
        <v>22</v>
      </c>
      <c r="W474" s="2377" t="s">
        <v>22</v>
      </c>
      <c r="X474" s="842" t="s">
        <v>22</v>
      </c>
      <c r="Y474" s="2377" t="s">
        <v>22</v>
      </c>
      <c r="Z474" s="842" t="s">
        <v>22</v>
      </c>
      <c r="AA474" s="2942" t="s">
        <v>22</v>
      </c>
      <c r="AB474" s="2940" t="s">
        <v>22</v>
      </c>
      <c r="AC474" s="2377" t="s">
        <v>22</v>
      </c>
      <c r="AD474" s="842" t="s">
        <v>22</v>
      </c>
      <c r="AE474" s="2377" t="s">
        <v>22</v>
      </c>
      <c r="AF474" s="842" t="s">
        <v>22</v>
      </c>
      <c r="AG474" s="2942" t="s">
        <v>22</v>
      </c>
      <c r="AH474" s="2940" t="s">
        <v>22</v>
      </c>
      <c r="AI474" s="2377" t="s">
        <v>22</v>
      </c>
      <c r="AJ474" s="842" t="s">
        <v>22</v>
      </c>
      <c r="AK474" s="2377" t="s">
        <v>22</v>
      </c>
      <c r="AL474" s="842" t="s">
        <v>22</v>
      </c>
      <c r="AM474" s="1549"/>
      <c r="AN474" s="1659"/>
      <c r="AO474" s="1659"/>
      <c r="AP474" s="1659"/>
      <c r="AQ474" s="1659"/>
      <c r="AR474" s="1659"/>
      <c r="AS474" s="1659"/>
      <c r="AT474" s="1659"/>
      <c r="AU474" s="1659"/>
      <c r="AV474" s="1659"/>
      <c r="AW474" s="699"/>
      <c r="AX474" s="1659">
        <v>0</v>
      </c>
    </row>
    <row s="1874" customFormat="1" customHeight="1" ht="15">
      <c r="A475" s="1659"/>
      <c r="B475" s="2421"/>
      <c r="C475" s="2422"/>
      <c r="D475" s="713" t="str">
        <f>B474&amp;".2"</f>
        <v>3.146.2</v>
      </c>
      <c r="E475" s="1691" t="s">
        <v>1040</v>
      </c>
      <c r="F475" s="2287" t="s">
        <v>390</v>
      </c>
      <c r="G475" s="1762" t="s">
        <v>22</v>
      </c>
      <c r="H475" s="842" t="s">
        <v>22</v>
      </c>
      <c r="I475" s="1762" t="s">
        <v>22</v>
      </c>
      <c r="J475" s="842" t="s">
        <v>22</v>
      </c>
      <c r="K475" s="1762" t="s">
        <v>22</v>
      </c>
      <c r="L475" s="842" t="s">
        <v>22</v>
      </c>
      <c r="M475" s="2943" t="s">
        <v>22</v>
      </c>
      <c r="N475" s="2940" t="s">
        <v>22</v>
      </c>
      <c r="O475" s="1762" t="s">
        <v>22</v>
      </c>
      <c r="P475" s="842" t="s">
        <v>22</v>
      </c>
      <c r="Q475" s="1762">
        <v>46134</v>
      </c>
      <c r="R475" s="842" t="s">
        <v>22</v>
      </c>
      <c r="S475" s="1762"/>
      <c r="T475" s="842" t="s">
        <v>22</v>
      </c>
      <c r="U475" s="1762" t="s">
        <v>22</v>
      </c>
      <c r="V475" s="842" t="s">
        <v>22</v>
      </c>
      <c r="W475" s="1762" t="s">
        <v>22</v>
      </c>
      <c r="X475" s="842" t="s">
        <v>22</v>
      </c>
      <c r="Y475" s="1762" t="s">
        <v>22</v>
      </c>
      <c r="Z475" s="842" t="s">
        <v>22</v>
      </c>
      <c r="AA475" s="2943" t="s">
        <v>22</v>
      </c>
      <c r="AB475" s="2940" t="s">
        <v>22</v>
      </c>
      <c r="AC475" s="1762" t="s">
        <v>22</v>
      </c>
      <c r="AD475" s="842" t="s">
        <v>22</v>
      </c>
      <c r="AE475" s="1762" t="s">
        <v>22</v>
      </c>
      <c r="AF475" s="842" t="s">
        <v>22</v>
      </c>
      <c r="AG475" s="2943" t="s">
        <v>22</v>
      </c>
      <c r="AH475" s="2940" t="s">
        <v>22</v>
      </c>
      <c r="AI475" s="1762" t="s">
        <v>22</v>
      </c>
      <c r="AJ475" s="842" t="s">
        <v>22</v>
      </c>
      <c r="AK475" s="1762" t="s">
        <v>22</v>
      </c>
      <c r="AL475" s="842" t="s">
        <v>22</v>
      </c>
      <c r="AM475" s="1549" t="s">
        <v>1041</v>
      </c>
      <c r="AN475" s="1659"/>
      <c r="AO475" s="1659"/>
      <c r="AP475" s="1659"/>
      <c r="AQ475" s="1659"/>
      <c r="AR475" s="1659"/>
      <c r="AS475" s="1659"/>
      <c r="AT475" s="1659"/>
      <c r="AU475" s="1659"/>
      <c r="AV475" s="1659"/>
      <c r="AW475" s="699"/>
      <c r="AX475" s="1659">
        <v>0</v>
      </c>
    </row>
    <row s="1874" customFormat="1" customHeight="1" ht="15">
      <c r="A476" s="1659"/>
      <c r="B476" s="2421"/>
      <c r="C476" s="2422"/>
      <c r="D476" s="713" t="str">
        <f>B474&amp;".3"</f>
        <v>3.146.3</v>
      </c>
      <c r="E476" s="1691" t="s">
        <v>1042</v>
      </c>
      <c r="F476" s="2287" t="s">
        <v>390</v>
      </c>
      <c r="G476" s="1762" t="s">
        <v>22</v>
      </c>
      <c r="H476" s="842" t="s">
        <v>22</v>
      </c>
      <c r="I476" s="1762" t="s">
        <v>22</v>
      </c>
      <c r="J476" s="842" t="s">
        <v>22</v>
      </c>
      <c r="K476" s="1762" t="s">
        <v>22</v>
      </c>
      <c r="L476" s="842" t="s">
        <v>22</v>
      </c>
      <c r="M476" s="2943" t="s">
        <v>22</v>
      </c>
      <c r="N476" s="2940" t="s">
        <v>22</v>
      </c>
      <c r="O476" s="1762" t="s">
        <v>22</v>
      </c>
      <c r="P476" s="842" t="s">
        <v>22</v>
      </c>
      <c r="Q476" s="1762" t="s">
        <v>22</v>
      </c>
      <c r="R476" s="842" t="s">
        <v>22</v>
      </c>
      <c r="S476" s="1762"/>
      <c r="T476" s="842" t="s">
        <v>22</v>
      </c>
      <c r="U476" s="1762" t="s">
        <v>22</v>
      </c>
      <c r="V476" s="842" t="s">
        <v>22</v>
      </c>
      <c r="W476" s="1762" t="s">
        <v>22</v>
      </c>
      <c r="X476" s="842" t="s">
        <v>22</v>
      </c>
      <c r="Y476" s="1762" t="s">
        <v>22</v>
      </c>
      <c r="Z476" s="842" t="s">
        <v>22</v>
      </c>
      <c r="AA476" s="2943" t="s">
        <v>22</v>
      </c>
      <c r="AB476" s="2940" t="s">
        <v>22</v>
      </c>
      <c r="AC476" s="1762" t="s">
        <v>22</v>
      </c>
      <c r="AD476" s="842" t="s">
        <v>22</v>
      </c>
      <c r="AE476" s="1762" t="s">
        <v>22</v>
      </c>
      <c r="AF476" s="842" t="s">
        <v>22</v>
      </c>
      <c r="AG476" s="2943" t="s">
        <v>22</v>
      </c>
      <c r="AH476" s="2940" t="s">
        <v>22</v>
      </c>
      <c r="AI476" s="1762" t="s">
        <v>22</v>
      </c>
      <c r="AJ476" s="842" t="s">
        <v>22</v>
      </c>
      <c r="AK476" s="1762" t="s">
        <v>22</v>
      </c>
      <c r="AL476" s="842" t="s">
        <v>22</v>
      </c>
      <c r="AM476" s="1549" t="s">
        <v>1043</v>
      </c>
      <c r="AN476" s="1659"/>
      <c r="AO476" s="1659"/>
      <c r="AP476" s="1659"/>
      <c r="AQ476" s="1659"/>
      <c r="AR476" s="1659"/>
      <c r="AS476" s="1659"/>
      <c r="AT476" s="1659"/>
      <c r="AU476" s="1659"/>
      <c r="AV476" s="1659"/>
      <c r="AW476" s="699"/>
      <c r="AX476" s="1659">
        <v>0</v>
      </c>
    </row>
    <row s="1874" customFormat="1" customHeight="1" ht="22.5">
      <c r="A477" s="1659"/>
      <c r="B477" s="2421" t="s">
        <v>1232</v>
      </c>
      <c r="C477" s="2422" t="s">
        <v>104</v>
      </c>
      <c r="D477" s="713" t="str">
        <f>B477&amp;".1"</f>
        <v>3.147.1</v>
      </c>
      <c r="E477" s="1691" t="s">
        <v>1039</v>
      </c>
      <c r="F477" s="2287" t="s">
        <v>390</v>
      </c>
      <c r="G477" s="2377" t="s">
        <v>22</v>
      </c>
      <c r="H477" s="842" t="s">
        <v>22</v>
      </c>
      <c r="I477" s="2377" t="s">
        <v>22</v>
      </c>
      <c r="J477" s="842" t="s">
        <v>22</v>
      </c>
      <c r="K477" s="2377" t="s">
        <v>22</v>
      </c>
      <c r="L477" s="842" t="s">
        <v>22</v>
      </c>
      <c r="M477" s="2942" t="s">
        <v>22</v>
      </c>
      <c r="N477" s="2940" t="s">
        <v>22</v>
      </c>
      <c r="O477" s="2377" t="s">
        <v>22</v>
      </c>
      <c r="P477" s="842" t="s">
        <v>22</v>
      </c>
      <c r="Q477" s="2377" t="s">
        <v>1059</v>
      </c>
      <c r="R477" s="842" t="s">
        <v>22</v>
      </c>
      <c r="S477" s="2377"/>
      <c r="T477" s="842" t="s">
        <v>22</v>
      </c>
      <c r="U477" s="2377" t="s">
        <v>22</v>
      </c>
      <c r="V477" s="842" t="s">
        <v>22</v>
      </c>
      <c r="W477" s="2377" t="s">
        <v>22</v>
      </c>
      <c r="X477" s="842" t="s">
        <v>22</v>
      </c>
      <c r="Y477" s="2377" t="s">
        <v>22</v>
      </c>
      <c r="Z477" s="842" t="s">
        <v>22</v>
      </c>
      <c r="AA477" s="2942" t="s">
        <v>22</v>
      </c>
      <c r="AB477" s="2940" t="s">
        <v>22</v>
      </c>
      <c r="AC477" s="2377" t="s">
        <v>22</v>
      </c>
      <c r="AD477" s="842" t="s">
        <v>22</v>
      </c>
      <c r="AE477" s="2377" t="s">
        <v>22</v>
      </c>
      <c r="AF477" s="842" t="s">
        <v>22</v>
      </c>
      <c r="AG477" s="2942" t="s">
        <v>22</v>
      </c>
      <c r="AH477" s="2940" t="s">
        <v>22</v>
      </c>
      <c r="AI477" s="2377" t="s">
        <v>22</v>
      </c>
      <c r="AJ477" s="842" t="s">
        <v>22</v>
      </c>
      <c r="AK477" s="2377" t="s">
        <v>22</v>
      </c>
      <c r="AL477" s="842" t="s">
        <v>22</v>
      </c>
      <c r="AM477" s="1549"/>
      <c r="AN477" s="1659"/>
      <c r="AO477" s="1659"/>
      <c r="AP477" s="1659"/>
      <c r="AQ477" s="1659"/>
      <c r="AR477" s="1659"/>
      <c r="AS477" s="1659"/>
      <c r="AT477" s="1659"/>
      <c r="AU477" s="1659"/>
      <c r="AV477" s="1659"/>
      <c r="AW477" s="699"/>
      <c r="AX477" s="1659">
        <v>0</v>
      </c>
    </row>
    <row s="1874" customFormat="1" customHeight="1" ht="15">
      <c r="A478" s="1659"/>
      <c r="B478" s="2421"/>
      <c r="C478" s="2422"/>
      <c r="D478" s="713" t="str">
        <f>B477&amp;".2"</f>
        <v>3.147.2</v>
      </c>
      <c r="E478" s="1691" t="s">
        <v>1040</v>
      </c>
      <c r="F478" s="2287" t="s">
        <v>390</v>
      </c>
      <c r="G478" s="1762" t="s">
        <v>22</v>
      </c>
      <c r="H478" s="842" t="s">
        <v>22</v>
      </c>
      <c r="I478" s="1762" t="s">
        <v>22</v>
      </c>
      <c r="J478" s="842" t="s">
        <v>22</v>
      </c>
      <c r="K478" s="1762" t="s">
        <v>22</v>
      </c>
      <c r="L478" s="842" t="s">
        <v>22</v>
      </c>
      <c r="M478" s="2943" t="s">
        <v>22</v>
      </c>
      <c r="N478" s="2940" t="s">
        <v>22</v>
      </c>
      <c r="O478" s="1762" t="s">
        <v>22</v>
      </c>
      <c r="P478" s="842" t="s">
        <v>22</v>
      </c>
      <c r="Q478" s="1762">
        <v>46135</v>
      </c>
      <c r="R478" s="842" t="s">
        <v>22</v>
      </c>
      <c r="S478" s="1762"/>
      <c r="T478" s="842" t="s">
        <v>22</v>
      </c>
      <c r="U478" s="1762" t="s">
        <v>22</v>
      </c>
      <c r="V478" s="842" t="s">
        <v>22</v>
      </c>
      <c r="W478" s="1762" t="s">
        <v>22</v>
      </c>
      <c r="X478" s="842" t="s">
        <v>22</v>
      </c>
      <c r="Y478" s="1762" t="s">
        <v>22</v>
      </c>
      <c r="Z478" s="842" t="s">
        <v>22</v>
      </c>
      <c r="AA478" s="2943" t="s">
        <v>22</v>
      </c>
      <c r="AB478" s="2940" t="s">
        <v>22</v>
      </c>
      <c r="AC478" s="1762" t="s">
        <v>22</v>
      </c>
      <c r="AD478" s="842" t="s">
        <v>22</v>
      </c>
      <c r="AE478" s="1762" t="s">
        <v>22</v>
      </c>
      <c r="AF478" s="842" t="s">
        <v>22</v>
      </c>
      <c r="AG478" s="2943" t="s">
        <v>22</v>
      </c>
      <c r="AH478" s="2940" t="s">
        <v>22</v>
      </c>
      <c r="AI478" s="1762" t="s">
        <v>22</v>
      </c>
      <c r="AJ478" s="842" t="s">
        <v>22</v>
      </c>
      <c r="AK478" s="1762" t="s">
        <v>22</v>
      </c>
      <c r="AL478" s="842" t="s">
        <v>22</v>
      </c>
      <c r="AM478" s="1549" t="s">
        <v>1041</v>
      </c>
      <c r="AN478" s="1659"/>
      <c r="AO478" s="1659"/>
      <c r="AP478" s="1659"/>
      <c r="AQ478" s="1659"/>
      <c r="AR478" s="1659"/>
      <c r="AS478" s="1659"/>
      <c r="AT478" s="1659"/>
      <c r="AU478" s="1659"/>
      <c r="AV478" s="1659"/>
      <c r="AW478" s="699"/>
      <c r="AX478" s="1659">
        <v>0</v>
      </c>
    </row>
    <row s="1874" customFormat="1" customHeight="1" ht="15">
      <c r="A479" s="1659"/>
      <c r="B479" s="2421"/>
      <c r="C479" s="2422"/>
      <c r="D479" s="713" t="str">
        <f>B477&amp;".3"</f>
        <v>3.147.3</v>
      </c>
      <c r="E479" s="1691" t="s">
        <v>1042</v>
      </c>
      <c r="F479" s="2287" t="s">
        <v>390</v>
      </c>
      <c r="G479" s="1762" t="s">
        <v>22</v>
      </c>
      <c r="H479" s="842" t="s">
        <v>22</v>
      </c>
      <c r="I479" s="1762" t="s">
        <v>22</v>
      </c>
      <c r="J479" s="842" t="s">
        <v>22</v>
      </c>
      <c r="K479" s="1762" t="s">
        <v>22</v>
      </c>
      <c r="L479" s="842" t="s">
        <v>22</v>
      </c>
      <c r="M479" s="2943" t="s">
        <v>22</v>
      </c>
      <c r="N479" s="2940" t="s">
        <v>22</v>
      </c>
      <c r="O479" s="1762" t="s">
        <v>22</v>
      </c>
      <c r="P479" s="842" t="s">
        <v>22</v>
      </c>
      <c r="Q479" s="1762" t="s">
        <v>22</v>
      </c>
      <c r="R479" s="842" t="s">
        <v>22</v>
      </c>
      <c r="S479" s="1762"/>
      <c r="T479" s="842" t="s">
        <v>22</v>
      </c>
      <c r="U479" s="1762" t="s">
        <v>22</v>
      </c>
      <c r="V479" s="842" t="s">
        <v>22</v>
      </c>
      <c r="W479" s="1762" t="s">
        <v>22</v>
      </c>
      <c r="X479" s="842" t="s">
        <v>22</v>
      </c>
      <c r="Y479" s="1762" t="s">
        <v>22</v>
      </c>
      <c r="Z479" s="842" t="s">
        <v>22</v>
      </c>
      <c r="AA479" s="2943" t="s">
        <v>22</v>
      </c>
      <c r="AB479" s="2940" t="s">
        <v>22</v>
      </c>
      <c r="AC479" s="1762" t="s">
        <v>22</v>
      </c>
      <c r="AD479" s="842" t="s">
        <v>22</v>
      </c>
      <c r="AE479" s="1762" t="s">
        <v>22</v>
      </c>
      <c r="AF479" s="842" t="s">
        <v>22</v>
      </c>
      <c r="AG479" s="2943" t="s">
        <v>22</v>
      </c>
      <c r="AH479" s="2940" t="s">
        <v>22</v>
      </c>
      <c r="AI479" s="1762" t="s">
        <v>22</v>
      </c>
      <c r="AJ479" s="842" t="s">
        <v>22</v>
      </c>
      <c r="AK479" s="1762" t="s">
        <v>22</v>
      </c>
      <c r="AL479" s="842" t="s">
        <v>22</v>
      </c>
      <c r="AM479" s="1549" t="s">
        <v>1043</v>
      </c>
      <c r="AN479" s="1659"/>
      <c r="AO479" s="1659"/>
      <c r="AP479" s="1659"/>
      <c r="AQ479" s="1659"/>
      <c r="AR479" s="1659"/>
      <c r="AS479" s="1659"/>
      <c r="AT479" s="1659"/>
      <c r="AU479" s="1659"/>
      <c r="AV479" s="1659"/>
      <c r="AW479" s="699"/>
      <c r="AX479" s="1659">
        <v>0</v>
      </c>
    </row>
    <row s="1874" customFormat="1" customHeight="1" ht="22.5">
      <c r="A480" s="1659"/>
      <c r="B480" s="2421" t="s">
        <v>1233</v>
      </c>
      <c r="C480" s="2422" t="s">
        <v>104</v>
      </c>
      <c r="D480" s="713" t="str">
        <f>B480&amp;".1"</f>
        <v>3.148.1</v>
      </c>
      <c r="E480" s="1691" t="s">
        <v>1039</v>
      </c>
      <c r="F480" s="2287" t="s">
        <v>390</v>
      </c>
      <c r="G480" s="2377" t="s">
        <v>22</v>
      </c>
      <c r="H480" s="842" t="s">
        <v>22</v>
      </c>
      <c r="I480" s="2377" t="s">
        <v>22</v>
      </c>
      <c r="J480" s="842" t="s">
        <v>22</v>
      </c>
      <c r="K480" s="2377" t="s">
        <v>22</v>
      </c>
      <c r="L480" s="842" t="s">
        <v>22</v>
      </c>
      <c r="M480" s="2942" t="s">
        <v>22</v>
      </c>
      <c r="N480" s="2940" t="s">
        <v>22</v>
      </c>
      <c r="O480" s="2377" t="s">
        <v>22</v>
      </c>
      <c r="P480" s="842" t="s">
        <v>22</v>
      </c>
      <c r="Q480" s="2377" t="s">
        <v>1059</v>
      </c>
      <c r="R480" s="842" t="s">
        <v>22</v>
      </c>
      <c r="S480" s="2377"/>
      <c r="T480" s="842" t="s">
        <v>22</v>
      </c>
      <c r="U480" s="2377" t="s">
        <v>22</v>
      </c>
      <c r="V480" s="842" t="s">
        <v>22</v>
      </c>
      <c r="W480" s="2377" t="s">
        <v>22</v>
      </c>
      <c r="X480" s="842" t="s">
        <v>22</v>
      </c>
      <c r="Y480" s="2377" t="s">
        <v>22</v>
      </c>
      <c r="Z480" s="842" t="s">
        <v>22</v>
      </c>
      <c r="AA480" s="2942" t="s">
        <v>22</v>
      </c>
      <c r="AB480" s="2940" t="s">
        <v>22</v>
      </c>
      <c r="AC480" s="2377" t="s">
        <v>22</v>
      </c>
      <c r="AD480" s="842" t="s">
        <v>22</v>
      </c>
      <c r="AE480" s="2377" t="s">
        <v>22</v>
      </c>
      <c r="AF480" s="842" t="s">
        <v>22</v>
      </c>
      <c r="AG480" s="2942" t="s">
        <v>22</v>
      </c>
      <c r="AH480" s="2940" t="s">
        <v>22</v>
      </c>
      <c r="AI480" s="2377" t="s">
        <v>22</v>
      </c>
      <c r="AJ480" s="842" t="s">
        <v>22</v>
      </c>
      <c r="AK480" s="2377" t="s">
        <v>22</v>
      </c>
      <c r="AL480" s="842" t="s">
        <v>22</v>
      </c>
      <c r="AM480" s="1549"/>
      <c r="AN480" s="1659"/>
      <c r="AO480" s="1659"/>
      <c r="AP480" s="1659"/>
      <c r="AQ480" s="1659"/>
      <c r="AR480" s="1659"/>
      <c r="AS480" s="1659"/>
      <c r="AT480" s="1659"/>
      <c r="AU480" s="1659"/>
      <c r="AV480" s="1659"/>
      <c r="AW480" s="699"/>
      <c r="AX480" s="1659">
        <v>0</v>
      </c>
    </row>
    <row s="1874" customFormat="1" customHeight="1" ht="15">
      <c r="A481" s="1659"/>
      <c r="B481" s="2421"/>
      <c r="C481" s="2422"/>
      <c r="D481" s="713" t="str">
        <f>B480&amp;".2"</f>
        <v>3.148.2</v>
      </c>
      <c r="E481" s="1691" t="s">
        <v>1040</v>
      </c>
      <c r="F481" s="2287" t="s">
        <v>390</v>
      </c>
      <c r="G481" s="1762" t="s">
        <v>22</v>
      </c>
      <c r="H481" s="842" t="s">
        <v>22</v>
      </c>
      <c r="I481" s="1762" t="s">
        <v>22</v>
      </c>
      <c r="J481" s="842" t="s">
        <v>22</v>
      </c>
      <c r="K481" s="1762" t="s">
        <v>22</v>
      </c>
      <c r="L481" s="842" t="s">
        <v>22</v>
      </c>
      <c r="M481" s="2943" t="s">
        <v>22</v>
      </c>
      <c r="N481" s="2940" t="s">
        <v>22</v>
      </c>
      <c r="O481" s="1762" t="s">
        <v>22</v>
      </c>
      <c r="P481" s="842" t="s">
        <v>22</v>
      </c>
      <c r="Q481" s="1762">
        <v>46135</v>
      </c>
      <c r="R481" s="842" t="s">
        <v>22</v>
      </c>
      <c r="S481" s="1762"/>
      <c r="T481" s="842" t="s">
        <v>22</v>
      </c>
      <c r="U481" s="1762" t="s">
        <v>22</v>
      </c>
      <c r="V481" s="842" t="s">
        <v>22</v>
      </c>
      <c r="W481" s="1762" t="s">
        <v>22</v>
      </c>
      <c r="X481" s="842" t="s">
        <v>22</v>
      </c>
      <c r="Y481" s="1762" t="s">
        <v>22</v>
      </c>
      <c r="Z481" s="842" t="s">
        <v>22</v>
      </c>
      <c r="AA481" s="2943" t="s">
        <v>22</v>
      </c>
      <c r="AB481" s="2940" t="s">
        <v>22</v>
      </c>
      <c r="AC481" s="1762" t="s">
        <v>22</v>
      </c>
      <c r="AD481" s="842" t="s">
        <v>22</v>
      </c>
      <c r="AE481" s="1762" t="s">
        <v>22</v>
      </c>
      <c r="AF481" s="842" t="s">
        <v>22</v>
      </c>
      <c r="AG481" s="2943" t="s">
        <v>22</v>
      </c>
      <c r="AH481" s="2940" t="s">
        <v>22</v>
      </c>
      <c r="AI481" s="1762" t="s">
        <v>22</v>
      </c>
      <c r="AJ481" s="842" t="s">
        <v>22</v>
      </c>
      <c r="AK481" s="1762" t="s">
        <v>22</v>
      </c>
      <c r="AL481" s="842" t="s">
        <v>22</v>
      </c>
      <c r="AM481" s="1549" t="s">
        <v>1041</v>
      </c>
      <c r="AN481" s="1659"/>
      <c r="AO481" s="1659"/>
      <c r="AP481" s="1659"/>
      <c r="AQ481" s="1659"/>
      <c r="AR481" s="1659"/>
      <c r="AS481" s="1659"/>
      <c r="AT481" s="1659"/>
      <c r="AU481" s="1659"/>
      <c r="AV481" s="1659"/>
      <c r="AW481" s="699"/>
      <c r="AX481" s="1659">
        <v>0</v>
      </c>
    </row>
    <row s="1874" customFormat="1" customHeight="1" ht="15">
      <c r="A482" s="1659"/>
      <c r="B482" s="2421"/>
      <c r="C482" s="2422"/>
      <c r="D482" s="713" t="str">
        <f>B480&amp;".3"</f>
        <v>3.148.3</v>
      </c>
      <c r="E482" s="1691" t="s">
        <v>1042</v>
      </c>
      <c r="F482" s="2287" t="s">
        <v>390</v>
      </c>
      <c r="G482" s="1762" t="s">
        <v>22</v>
      </c>
      <c r="H482" s="842" t="s">
        <v>22</v>
      </c>
      <c r="I482" s="1762" t="s">
        <v>22</v>
      </c>
      <c r="J482" s="842" t="s">
        <v>22</v>
      </c>
      <c r="K482" s="1762" t="s">
        <v>22</v>
      </c>
      <c r="L482" s="842" t="s">
        <v>22</v>
      </c>
      <c r="M482" s="2943" t="s">
        <v>22</v>
      </c>
      <c r="N482" s="2940" t="s">
        <v>22</v>
      </c>
      <c r="O482" s="1762" t="s">
        <v>22</v>
      </c>
      <c r="P482" s="842" t="s">
        <v>22</v>
      </c>
      <c r="Q482" s="1762" t="s">
        <v>22</v>
      </c>
      <c r="R482" s="842" t="s">
        <v>22</v>
      </c>
      <c r="S482" s="1762"/>
      <c r="T482" s="842" t="s">
        <v>22</v>
      </c>
      <c r="U482" s="1762" t="s">
        <v>22</v>
      </c>
      <c r="V482" s="842" t="s">
        <v>22</v>
      </c>
      <c r="W482" s="1762" t="s">
        <v>22</v>
      </c>
      <c r="X482" s="842" t="s">
        <v>22</v>
      </c>
      <c r="Y482" s="1762" t="s">
        <v>22</v>
      </c>
      <c r="Z482" s="842" t="s">
        <v>22</v>
      </c>
      <c r="AA482" s="2943" t="s">
        <v>22</v>
      </c>
      <c r="AB482" s="2940" t="s">
        <v>22</v>
      </c>
      <c r="AC482" s="1762" t="s">
        <v>22</v>
      </c>
      <c r="AD482" s="842" t="s">
        <v>22</v>
      </c>
      <c r="AE482" s="1762" t="s">
        <v>22</v>
      </c>
      <c r="AF482" s="842" t="s">
        <v>22</v>
      </c>
      <c r="AG482" s="2943" t="s">
        <v>22</v>
      </c>
      <c r="AH482" s="2940" t="s">
        <v>22</v>
      </c>
      <c r="AI482" s="1762" t="s">
        <v>22</v>
      </c>
      <c r="AJ482" s="842" t="s">
        <v>22</v>
      </c>
      <c r="AK482" s="1762" t="s">
        <v>22</v>
      </c>
      <c r="AL482" s="842" t="s">
        <v>22</v>
      </c>
      <c r="AM482" s="1549" t="s">
        <v>1043</v>
      </c>
      <c r="AN482" s="1659"/>
      <c r="AO482" s="1659"/>
      <c r="AP482" s="1659"/>
      <c r="AQ482" s="1659"/>
      <c r="AR482" s="1659"/>
      <c r="AS482" s="1659"/>
      <c r="AT482" s="1659"/>
      <c r="AU482" s="1659"/>
      <c r="AV482" s="1659"/>
      <c r="AW482" s="699"/>
      <c r="AX482" s="1659">
        <v>0</v>
      </c>
    </row>
    <row s="1874" customFormat="1" customHeight="1" ht="22.5">
      <c r="A483" s="1659"/>
      <c r="B483" s="2421" t="s">
        <v>1234</v>
      </c>
      <c r="C483" s="2422" t="s">
        <v>104</v>
      </c>
      <c r="D483" s="713" t="str">
        <f>B483&amp;".1"</f>
        <v>3.149.1</v>
      </c>
      <c r="E483" s="1691" t="s">
        <v>1039</v>
      </c>
      <c r="F483" s="2287" t="s">
        <v>390</v>
      </c>
      <c r="G483" s="2377" t="s">
        <v>22</v>
      </c>
      <c r="H483" s="842" t="s">
        <v>22</v>
      </c>
      <c r="I483" s="2377" t="s">
        <v>22</v>
      </c>
      <c r="J483" s="842" t="s">
        <v>22</v>
      </c>
      <c r="K483" s="2377" t="s">
        <v>22</v>
      </c>
      <c r="L483" s="842" t="s">
        <v>22</v>
      </c>
      <c r="M483" s="2942" t="s">
        <v>22</v>
      </c>
      <c r="N483" s="2940" t="s">
        <v>22</v>
      </c>
      <c r="O483" s="2377" t="s">
        <v>22</v>
      </c>
      <c r="P483" s="842" t="s">
        <v>22</v>
      </c>
      <c r="Q483" s="2377" t="s">
        <v>1059</v>
      </c>
      <c r="R483" s="842" t="s">
        <v>22</v>
      </c>
      <c r="S483" s="2377"/>
      <c r="T483" s="842" t="s">
        <v>22</v>
      </c>
      <c r="U483" s="2377" t="s">
        <v>22</v>
      </c>
      <c r="V483" s="842" t="s">
        <v>22</v>
      </c>
      <c r="W483" s="2377" t="s">
        <v>22</v>
      </c>
      <c r="X483" s="842" t="s">
        <v>22</v>
      </c>
      <c r="Y483" s="2377" t="s">
        <v>22</v>
      </c>
      <c r="Z483" s="842" t="s">
        <v>22</v>
      </c>
      <c r="AA483" s="2942" t="s">
        <v>22</v>
      </c>
      <c r="AB483" s="2940" t="s">
        <v>22</v>
      </c>
      <c r="AC483" s="2377" t="s">
        <v>22</v>
      </c>
      <c r="AD483" s="842" t="s">
        <v>22</v>
      </c>
      <c r="AE483" s="2377" t="s">
        <v>22</v>
      </c>
      <c r="AF483" s="842" t="s">
        <v>22</v>
      </c>
      <c r="AG483" s="2942" t="s">
        <v>22</v>
      </c>
      <c r="AH483" s="2940" t="s">
        <v>22</v>
      </c>
      <c r="AI483" s="2377" t="s">
        <v>22</v>
      </c>
      <c r="AJ483" s="842" t="s">
        <v>22</v>
      </c>
      <c r="AK483" s="2377" t="s">
        <v>22</v>
      </c>
      <c r="AL483" s="842" t="s">
        <v>22</v>
      </c>
      <c r="AM483" s="1549"/>
      <c r="AN483" s="1659"/>
      <c r="AO483" s="1659"/>
      <c r="AP483" s="1659"/>
      <c r="AQ483" s="1659"/>
      <c r="AR483" s="1659"/>
      <c r="AS483" s="1659"/>
      <c r="AT483" s="1659"/>
      <c r="AU483" s="1659"/>
      <c r="AV483" s="1659"/>
      <c r="AW483" s="699"/>
      <c r="AX483" s="1659">
        <v>0</v>
      </c>
    </row>
    <row s="1874" customFormat="1" customHeight="1" ht="15">
      <c r="A484" s="1659"/>
      <c r="B484" s="2421"/>
      <c r="C484" s="2422"/>
      <c r="D484" s="713" t="str">
        <f>B483&amp;".2"</f>
        <v>3.149.2</v>
      </c>
      <c r="E484" s="1691" t="s">
        <v>1040</v>
      </c>
      <c r="F484" s="2287" t="s">
        <v>390</v>
      </c>
      <c r="G484" s="1762" t="s">
        <v>22</v>
      </c>
      <c r="H484" s="842" t="s">
        <v>22</v>
      </c>
      <c r="I484" s="1762" t="s">
        <v>22</v>
      </c>
      <c r="J484" s="842" t="s">
        <v>22</v>
      </c>
      <c r="K484" s="1762" t="s">
        <v>22</v>
      </c>
      <c r="L484" s="842" t="s">
        <v>22</v>
      </c>
      <c r="M484" s="2943" t="s">
        <v>22</v>
      </c>
      <c r="N484" s="2940" t="s">
        <v>22</v>
      </c>
      <c r="O484" s="1762" t="s">
        <v>22</v>
      </c>
      <c r="P484" s="842" t="s">
        <v>22</v>
      </c>
      <c r="Q484" s="1762">
        <v>46135</v>
      </c>
      <c r="R484" s="842" t="s">
        <v>22</v>
      </c>
      <c r="S484" s="1762"/>
      <c r="T484" s="842" t="s">
        <v>22</v>
      </c>
      <c r="U484" s="1762" t="s">
        <v>22</v>
      </c>
      <c r="V484" s="842" t="s">
        <v>22</v>
      </c>
      <c r="W484" s="1762" t="s">
        <v>22</v>
      </c>
      <c r="X484" s="842" t="s">
        <v>22</v>
      </c>
      <c r="Y484" s="1762" t="s">
        <v>22</v>
      </c>
      <c r="Z484" s="842" t="s">
        <v>22</v>
      </c>
      <c r="AA484" s="2943" t="s">
        <v>22</v>
      </c>
      <c r="AB484" s="2940" t="s">
        <v>22</v>
      </c>
      <c r="AC484" s="1762" t="s">
        <v>22</v>
      </c>
      <c r="AD484" s="842" t="s">
        <v>22</v>
      </c>
      <c r="AE484" s="1762" t="s">
        <v>22</v>
      </c>
      <c r="AF484" s="842" t="s">
        <v>22</v>
      </c>
      <c r="AG484" s="2943" t="s">
        <v>22</v>
      </c>
      <c r="AH484" s="2940" t="s">
        <v>22</v>
      </c>
      <c r="AI484" s="1762" t="s">
        <v>22</v>
      </c>
      <c r="AJ484" s="842" t="s">
        <v>22</v>
      </c>
      <c r="AK484" s="1762" t="s">
        <v>22</v>
      </c>
      <c r="AL484" s="842" t="s">
        <v>22</v>
      </c>
      <c r="AM484" s="1549" t="s">
        <v>1041</v>
      </c>
      <c r="AN484" s="1659"/>
      <c r="AO484" s="1659"/>
      <c r="AP484" s="1659"/>
      <c r="AQ484" s="1659"/>
      <c r="AR484" s="1659"/>
      <c r="AS484" s="1659"/>
      <c r="AT484" s="1659"/>
      <c r="AU484" s="1659"/>
      <c r="AV484" s="1659"/>
      <c r="AW484" s="699"/>
      <c r="AX484" s="1659">
        <v>0</v>
      </c>
    </row>
    <row s="1874" customFormat="1" customHeight="1" ht="15">
      <c r="A485" s="1659"/>
      <c r="B485" s="2421"/>
      <c r="C485" s="2422"/>
      <c r="D485" s="713" t="str">
        <f>B483&amp;".3"</f>
        <v>3.149.3</v>
      </c>
      <c r="E485" s="1691" t="s">
        <v>1042</v>
      </c>
      <c r="F485" s="2287" t="s">
        <v>390</v>
      </c>
      <c r="G485" s="1762" t="s">
        <v>22</v>
      </c>
      <c r="H485" s="842" t="s">
        <v>22</v>
      </c>
      <c r="I485" s="1762" t="s">
        <v>22</v>
      </c>
      <c r="J485" s="842" t="s">
        <v>22</v>
      </c>
      <c r="K485" s="1762" t="s">
        <v>22</v>
      </c>
      <c r="L485" s="842" t="s">
        <v>22</v>
      </c>
      <c r="M485" s="2943" t="s">
        <v>22</v>
      </c>
      <c r="N485" s="2940" t="s">
        <v>22</v>
      </c>
      <c r="O485" s="1762" t="s">
        <v>22</v>
      </c>
      <c r="P485" s="842" t="s">
        <v>22</v>
      </c>
      <c r="Q485" s="1762" t="s">
        <v>22</v>
      </c>
      <c r="R485" s="842" t="s">
        <v>22</v>
      </c>
      <c r="S485" s="1762"/>
      <c r="T485" s="842" t="s">
        <v>22</v>
      </c>
      <c r="U485" s="1762" t="s">
        <v>22</v>
      </c>
      <c r="V485" s="842" t="s">
        <v>22</v>
      </c>
      <c r="W485" s="1762" t="s">
        <v>22</v>
      </c>
      <c r="X485" s="842" t="s">
        <v>22</v>
      </c>
      <c r="Y485" s="1762" t="s">
        <v>22</v>
      </c>
      <c r="Z485" s="842" t="s">
        <v>22</v>
      </c>
      <c r="AA485" s="2943" t="s">
        <v>22</v>
      </c>
      <c r="AB485" s="2940" t="s">
        <v>22</v>
      </c>
      <c r="AC485" s="1762" t="s">
        <v>22</v>
      </c>
      <c r="AD485" s="842" t="s">
        <v>22</v>
      </c>
      <c r="AE485" s="1762" t="s">
        <v>22</v>
      </c>
      <c r="AF485" s="842" t="s">
        <v>22</v>
      </c>
      <c r="AG485" s="2943" t="s">
        <v>22</v>
      </c>
      <c r="AH485" s="2940" t="s">
        <v>22</v>
      </c>
      <c r="AI485" s="1762" t="s">
        <v>22</v>
      </c>
      <c r="AJ485" s="842" t="s">
        <v>22</v>
      </c>
      <c r="AK485" s="1762" t="s">
        <v>22</v>
      </c>
      <c r="AL485" s="842" t="s">
        <v>22</v>
      </c>
      <c r="AM485" s="1549" t="s">
        <v>1043</v>
      </c>
      <c r="AN485" s="1659"/>
      <c r="AO485" s="1659"/>
      <c r="AP485" s="1659"/>
      <c r="AQ485" s="1659"/>
      <c r="AR485" s="1659"/>
      <c r="AS485" s="1659"/>
      <c r="AT485" s="1659"/>
      <c r="AU485" s="1659"/>
      <c r="AV485" s="1659"/>
      <c r="AW485" s="699"/>
      <c r="AX485" s="1659">
        <v>0</v>
      </c>
    </row>
    <row s="1874" customFormat="1" customHeight="1" ht="22.5">
      <c r="A486" s="1659"/>
      <c r="B486" s="2421" t="s">
        <v>1235</v>
      </c>
      <c r="C486" s="2422" t="s">
        <v>104</v>
      </c>
      <c r="D486" s="713" t="str">
        <f>B486&amp;".1"</f>
        <v>3.150.1</v>
      </c>
      <c r="E486" s="1691" t="s">
        <v>1039</v>
      </c>
      <c r="F486" s="2287" t="s">
        <v>390</v>
      </c>
      <c r="G486" s="2377" t="s">
        <v>22</v>
      </c>
      <c r="H486" s="842" t="s">
        <v>22</v>
      </c>
      <c r="I486" s="2377" t="s">
        <v>22</v>
      </c>
      <c r="J486" s="842" t="s">
        <v>22</v>
      </c>
      <c r="K486" s="2377" t="s">
        <v>22</v>
      </c>
      <c r="L486" s="842" t="s">
        <v>22</v>
      </c>
      <c r="M486" s="2942" t="s">
        <v>22</v>
      </c>
      <c r="N486" s="2940" t="s">
        <v>22</v>
      </c>
      <c r="O486" s="2377" t="s">
        <v>22</v>
      </c>
      <c r="P486" s="842" t="s">
        <v>22</v>
      </c>
      <c r="Q486" s="2377" t="s">
        <v>1059</v>
      </c>
      <c r="R486" s="842" t="s">
        <v>22</v>
      </c>
      <c r="S486" s="2377"/>
      <c r="T486" s="842" t="s">
        <v>22</v>
      </c>
      <c r="U486" s="2377" t="s">
        <v>22</v>
      </c>
      <c r="V486" s="842" t="s">
        <v>22</v>
      </c>
      <c r="W486" s="2377" t="s">
        <v>22</v>
      </c>
      <c r="X486" s="842" t="s">
        <v>22</v>
      </c>
      <c r="Y486" s="2377" t="s">
        <v>22</v>
      </c>
      <c r="Z486" s="842" t="s">
        <v>22</v>
      </c>
      <c r="AA486" s="2942" t="s">
        <v>22</v>
      </c>
      <c r="AB486" s="2940" t="s">
        <v>22</v>
      </c>
      <c r="AC486" s="2377" t="s">
        <v>22</v>
      </c>
      <c r="AD486" s="842" t="s">
        <v>22</v>
      </c>
      <c r="AE486" s="2377" t="s">
        <v>22</v>
      </c>
      <c r="AF486" s="842" t="s">
        <v>22</v>
      </c>
      <c r="AG486" s="2942" t="s">
        <v>22</v>
      </c>
      <c r="AH486" s="2940" t="s">
        <v>22</v>
      </c>
      <c r="AI486" s="2377" t="s">
        <v>22</v>
      </c>
      <c r="AJ486" s="842" t="s">
        <v>22</v>
      </c>
      <c r="AK486" s="2377" t="s">
        <v>22</v>
      </c>
      <c r="AL486" s="842" t="s">
        <v>22</v>
      </c>
      <c r="AM486" s="1549"/>
      <c r="AN486" s="1659"/>
      <c r="AO486" s="1659"/>
      <c r="AP486" s="1659"/>
      <c r="AQ486" s="1659"/>
      <c r="AR486" s="1659"/>
      <c r="AS486" s="1659"/>
      <c r="AT486" s="1659"/>
      <c r="AU486" s="1659"/>
      <c r="AV486" s="1659"/>
      <c r="AW486" s="699"/>
      <c r="AX486" s="1659">
        <v>0</v>
      </c>
    </row>
    <row s="1874" customFormat="1" customHeight="1" ht="15">
      <c r="A487" s="1659"/>
      <c r="B487" s="2421"/>
      <c r="C487" s="2422"/>
      <c r="D487" s="713" t="str">
        <f>B486&amp;".2"</f>
        <v>3.150.2</v>
      </c>
      <c r="E487" s="1691" t="s">
        <v>1040</v>
      </c>
      <c r="F487" s="2287" t="s">
        <v>390</v>
      </c>
      <c r="G487" s="1762" t="s">
        <v>22</v>
      </c>
      <c r="H487" s="842" t="s">
        <v>22</v>
      </c>
      <c r="I487" s="1762" t="s">
        <v>22</v>
      </c>
      <c r="J487" s="842" t="s">
        <v>22</v>
      </c>
      <c r="K487" s="1762" t="s">
        <v>22</v>
      </c>
      <c r="L487" s="842" t="s">
        <v>22</v>
      </c>
      <c r="M487" s="2943" t="s">
        <v>22</v>
      </c>
      <c r="N487" s="2940" t="s">
        <v>22</v>
      </c>
      <c r="O487" s="1762" t="s">
        <v>22</v>
      </c>
      <c r="P487" s="842" t="s">
        <v>22</v>
      </c>
      <c r="Q487" s="1762">
        <v>46135</v>
      </c>
      <c r="R487" s="842" t="s">
        <v>22</v>
      </c>
      <c r="S487" s="1762"/>
      <c r="T487" s="842" t="s">
        <v>22</v>
      </c>
      <c r="U487" s="1762" t="s">
        <v>22</v>
      </c>
      <c r="V487" s="842" t="s">
        <v>22</v>
      </c>
      <c r="W487" s="1762" t="s">
        <v>22</v>
      </c>
      <c r="X487" s="842" t="s">
        <v>22</v>
      </c>
      <c r="Y487" s="1762" t="s">
        <v>22</v>
      </c>
      <c r="Z487" s="842" t="s">
        <v>22</v>
      </c>
      <c r="AA487" s="2943" t="s">
        <v>22</v>
      </c>
      <c r="AB487" s="2940" t="s">
        <v>22</v>
      </c>
      <c r="AC487" s="1762" t="s">
        <v>22</v>
      </c>
      <c r="AD487" s="842" t="s">
        <v>22</v>
      </c>
      <c r="AE487" s="1762" t="s">
        <v>22</v>
      </c>
      <c r="AF487" s="842" t="s">
        <v>22</v>
      </c>
      <c r="AG487" s="2943" t="s">
        <v>22</v>
      </c>
      <c r="AH487" s="2940" t="s">
        <v>22</v>
      </c>
      <c r="AI487" s="1762" t="s">
        <v>22</v>
      </c>
      <c r="AJ487" s="842" t="s">
        <v>22</v>
      </c>
      <c r="AK487" s="1762" t="s">
        <v>22</v>
      </c>
      <c r="AL487" s="842" t="s">
        <v>22</v>
      </c>
      <c r="AM487" s="1549" t="s">
        <v>1041</v>
      </c>
      <c r="AN487" s="1659"/>
      <c r="AO487" s="1659"/>
      <c r="AP487" s="1659"/>
      <c r="AQ487" s="1659"/>
      <c r="AR487" s="1659"/>
      <c r="AS487" s="1659"/>
      <c r="AT487" s="1659"/>
      <c r="AU487" s="1659"/>
      <c r="AV487" s="1659"/>
      <c r="AW487" s="699"/>
      <c r="AX487" s="1659">
        <v>0</v>
      </c>
    </row>
    <row s="1874" customFormat="1" customHeight="1" ht="15">
      <c r="A488" s="1659"/>
      <c r="B488" s="2421"/>
      <c r="C488" s="2422"/>
      <c r="D488" s="713" t="str">
        <f>B486&amp;".3"</f>
        <v>3.150.3</v>
      </c>
      <c r="E488" s="1691" t="s">
        <v>1042</v>
      </c>
      <c r="F488" s="2287" t="s">
        <v>390</v>
      </c>
      <c r="G488" s="1762" t="s">
        <v>22</v>
      </c>
      <c r="H488" s="842" t="s">
        <v>22</v>
      </c>
      <c r="I488" s="1762" t="s">
        <v>22</v>
      </c>
      <c r="J488" s="842" t="s">
        <v>22</v>
      </c>
      <c r="K488" s="1762" t="s">
        <v>22</v>
      </c>
      <c r="L488" s="842" t="s">
        <v>22</v>
      </c>
      <c r="M488" s="2943" t="s">
        <v>22</v>
      </c>
      <c r="N488" s="2940" t="s">
        <v>22</v>
      </c>
      <c r="O488" s="1762" t="s">
        <v>22</v>
      </c>
      <c r="P488" s="842" t="s">
        <v>22</v>
      </c>
      <c r="Q488" s="1762" t="s">
        <v>22</v>
      </c>
      <c r="R488" s="842" t="s">
        <v>22</v>
      </c>
      <c r="S488" s="1762"/>
      <c r="T488" s="842" t="s">
        <v>22</v>
      </c>
      <c r="U488" s="1762" t="s">
        <v>22</v>
      </c>
      <c r="V488" s="842" t="s">
        <v>22</v>
      </c>
      <c r="W488" s="1762" t="s">
        <v>22</v>
      </c>
      <c r="X488" s="842" t="s">
        <v>22</v>
      </c>
      <c r="Y488" s="1762" t="s">
        <v>22</v>
      </c>
      <c r="Z488" s="842" t="s">
        <v>22</v>
      </c>
      <c r="AA488" s="2943" t="s">
        <v>22</v>
      </c>
      <c r="AB488" s="2940" t="s">
        <v>22</v>
      </c>
      <c r="AC488" s="1762" t="s">
        <v>22</v>
      </c>
      <c r="AD488" s="842" t="s">
        <v>22</v>
      </c>
      <c r="AE488" s="1762" t="s">
        <v>22</v>
      </c>
      <c r="AF488" s="842" t="s">
        <v>22</v>
      </c>
      <c r="AG488" s="2943" t="s">
        <v>22</v>
      </c>
      <c r="AH488" s="2940" t="s">
        <v>22</v>
      </c>
      <c r="AI488" s="1762" t="s">
        <v>22</v>
      </c>
      <c r="AJ488" s="842" t="s">
        <v>22</v>
      </c>
      <c r="AK488" s="1762" t="s">
        <v>22</v>
      </c>
      <c r="AL488" s="842" t="s">
        <v>22</v>
      </c>
      <c r="AM488" s="1549" t="s">
        <v>1043</v>
      </c>
      <c r="AN488" s="1659"/>
      <c r="AO488" s="1659"/>
      <c r="AP488" s="1659"/>
      <c r="AQ488" s="1659"/>
      <c r="AR488" s="1659"/>
      <c r="AS488" s="1659"/>
      <c r="AT488" s="1659"/>
      <c r="AU488" s="1659"/>
      <c r="AV488" s="1659"/>
      <c r="AW488" s="699"/>
      <c r="AX488" s="1659">
        <v>0</v>
      </c>
    </row>
    <row s="1874" customFormat="1" customHeight="1" ht="22.5">
      <c r="A489" s="1659"/>
      <c r="B489" s="2421" t="s">
        <v>1236</v>
      </c>
      <c r="C489" s="2422" t="s">
        <v>104</v>
      </c>
      <c r="D489" s="713" t="str">
        <f>B489&amp;".1"</f>
        <v>3.151.1</v>
      </c>
      <c r="E489" s="1691" t="s">
        <v>1039</v>
      </c>
      <c r="F489" s="2287" t="s">
        <v>390</v>
      </c>
      <c r="G489" s="2377" t="s">
        <v>22</v>
      </c>
      <c r="H489" s="842" t="s">
        <v>22</v>
      </c>
      <c r="I489" s="2377" t="s">
        <v>22</v>
      </c>
      <c r="J489" s="842" t="s">
        <v>22</v>
      </c>
      <c r="K489" s="2377" t="s">
        <v>22</v>
      </c>
      <c r="L489" s="842" t="s">
        <v>22</v>
      </c>
      <c r="M489" s="2942" t="s">
        <v>22</v>
      </c>
      <c r="N489" s="2940" t="s">
        <v>22</v>
      </c>
      <c r="O489" s="2377" t="s">
        <v>22</v>
      </c>
      <c r="P489" s="842" t="s">
        <v>22</v>
      </c>
      <c r="Q489" s="2377" t="s">
        <v>1059</v>
      </c>
      <c r="R489" s="842" t="s">
        <v>22</v>
      </c>
      <c r="S489" s="2377"/>
      <c r="T489" s="842" t="s">
        <v>22</v>
      </c>
      <c r="U489" s="2377" t="s">
        <v>22</v>
      </c>
      <c r="V489" s="842" t="s">
        <v>22</v>
      </c>
      <c r="W489" s="2377" t="s">
        <v>22</v>
      </c>
      <c r="X489" s="842" t="s">
        <v>22</v>
      </c>
      <c r="Y489" s="2377" t="s">
        <v>22</v>
      </c>
      <c r="Z489" s="842" t="s">
        <v>22</v>
      </c>
      <c r="AA489" s="2942" t="s">
        <v>22</v>
      </c>
      <c r="AB489" s="2940" t="s">
        <v>22</v>
      </c>
      <c r="AC489" s="2377" t="s">
        <v>22</v>
      </c>
      <c r="AD489" s="842" t="s">
        <v>22</v>
      </c>
      <c r="AE489" s="2377" t="s">
        <v>22</v>
      </c>
      <c r="AF489" s="842" t="s">
        <v>22</v>
      </c>
      <c r="AG489" s="2942" t="s">
        <v>22</v>
      </c>
      <c r="AH489" s="2940" t="s">
        <v>22</v>
      </c>
      <c r="AI489" s="2377" t="s">
        <v>22</v>
      </c>
      <c r="AJ489" s="842" t="s">
        <v>22</v>
      </c>
      <c r="AK489" s="2377" t="s">
        <v>22</v>
      </c>
      <c r="AL489" s="842" t="s">
        <v>22</v>
      </c>
      <c r="AM489" s="1549"/>
      <c r="AN489" s="1659"/>
      <c r="AO489" s="1659"/>
      <c r="AP489" s="1659"/>
      <c r="AQ489" s="1659"/>
      <c r="AR489" s="1659"/>
      <c r="AS489" s="1659"/>
      <c r="AT489" s="1659"/>
      <c r="AU489" s="1659"/>
      <c r="AV489" s="1659"/>
      <c r="AW489" s="699"/>
      <c r="AX489" s="1659">
        <v>0</v>
      </c>
    </row>
    <row s="1874" customFormat="1" customHeight="1" ht="15">
      <c r="A490" s="1659"/>
      <c r="B490" s="2421"/>
      <c r="C490" s="2422"/>
      <c r="D490" s="713" t="str">
        <f>B489&amp;".2"</f>
        <v>3.151.2</v>
      </c>
      <c r="E490" s="1691" t="s">
        <v>1040</v>
      </c>
      <c r="F490" s="2287" t="s">
        <v>390</v>
      </c>
      <c r="G490" s="1762" t="s">
        <v>22</v>
      </c>
      <c r="H490" s="842" t="s">
        <v>22</v>
      </c>
      <c r="I490" s="1762" t="s">
        <v>22</v>
      </c>
      <c r="J490" s="842" t="s">
        <v>22</v>
      </c>
      <c r="K490" s="1762" t="s">
        <v>22</v>
      </c>
      <c r="L490" s="842" t="s">
        <v>22</v>
      </c>
      <c r="M490" s="2943" t="s">
        <v>22</v>
      </c>
      <c r="N490" s="2940" t="s">
        <v>22</v>
      </c>
      <c r="O490" s="1762" t="s">
        <v>22</v>
      </c>
      <c r="P490" s="842" t="s">
        <v>22</v>
      </c>
      <c r="Q490" s="1762">
        <v>46136</v>
      </c>
      <c r="R490" s="842" t="s">
        <v>22</v>
      </c>
      <c r="S490" s="1762"/>
      <c r="T490" s="842" t="s">
        <v>22</v>
      </c>
      <c r="U490" s="1762" t="s">
        <v>22</v>
      </c>
      <c r="V490" s="842" t="s">
        <v>22</v>
      </c>
      <c r="W490" s="1762" t="s">
        <v>22</v>
      </c>
      <c r="X490" s="842" t="s">
        <v>22</v>
      </c>
      <c r="Y490" s="1762" t="s">
        <v>22</v>
      </c>
      <c r="Z490" s="842" t="s">
        <v>22</v>
      </c>
      <c r="AA490" s="2943" t="s">
        <v>22</v>
      </c>
      <c r="AB490" s="2940" t="s">
        <v>22</v>
      </c>
      <c r="AC490" s="1762" t="s">
        <v>22</v>
      </c>
      <c r="AD490" s="842" t="s">
        <v>22</v>
      </c>
      <c r="AE490" s="1762" t="s">
        <v>22</v>
      </c>
      <c r="AF490" s="842" t="s">
        <v>22</v>
      </c>
      <c r="AG490" s="2943" t="s">
        <v>22</v>
      </c>
      <c r="AH490" s="2940" t="s">
        <v>22</v>
      </c>
      <c r="AI490" s="1762" t="s">
        <v>22</v>
      </c>
      <c r="AJ490" s="842" t="s">
        <v>22</v>
      </c>
      <c r="AK490" s="1762" t="s">
        <v>22</v>
      </c>
      <c r="AL490" s="842" t="s">
        <v>22</v>
      </c>
      <c r="AM490" s="1549" t="s">
        <v>1041</v>
      </c>
      <c r="AN490" s="1659"/>
      <c r="AO490" s="1659"/>
      <c r="AP490" s="1659"/>
      <c r="AQ490" s="1659"/>
      <c r="AR490" s="1659"/>
      <c r="AS490" s="1659"/>
      <c r="AT490" s="1659"/>
      <c r="AU490" s="1659"/>
      <c r="AV490" s="1659"/>
      <c r="AW490" s="699"/>
      <c r="AX490" s="1659">
        <v>0</v>
      </c>
    </row>
    <row s="1874" customFormat="1" customHeight="1" ht="15">
      <c r="A491" s="1659"/>
      <c r="B491" s="2421"/>
      <c r="C491" s="2422"/>
      <c r="D491" s="713" t="str">
        <f>B489&amp;".3"</f>
        <v>3.151.3</v>
      </c>
      <c r="E491" s="1691" t="s">
        <v>1042</v>
      </c>
      <c r="F491" s="2287" t="s">
        <v>390</v>
      </c>
      <c r="G491" s="1762" t="s">
        <v>22</v>
      </c>
      <c r="H491" s="842" t="s">
        <v>22</v>
      </c>
      <c r="I491" s="1762" t="s">
        <v>22</v>
      </c>
      <c r="J491" s="842" t="s">
        <v>22</v>
      </c>
      <c r="K491" s="1762" t="s">
        <v>22</v>
      </c>
      <c r="L491" s="842" t="s">
        <v>22</v>
      </c>
      <c r="M491" s="2943" t="s">
        <v>22</v>
      </c>
      <c r="N491" s="2940" t="s">
        <v>22</v>
      </c>
      <c r="O491" s="1762" t="s">
        <v>22</v>
      </c>
      <c r="P491" s="842" t="s">
        <v>22</v>
      </c>
      <c r="Q491" s="1762" t="s">
        <v>22</v>
      </c>
      <c r="R491" s="842" t="s">
        <v>22</v>
      </c>
      <c r="S491" s="1762"/>
      <c r="T491" s="842" t="s">
        <v>22</v>
      </c>
      <c r="U491" s="1762" t="s">
        <v>22</v>
      </c>
      <c r="V491" s="842" t="s">
        <v>22</v>
      </c>
      <c r="W491" s="1762" t="s">
        <v>22</v>
      </c>
      <c r="X491" s="842" t="s">
        <v>22</v>
      </c>
      <c r="Y491" s="1762" t="s">
        <v>22</v>
      </c>
      <c r="Z491" s="842" t="s">
        <v>22</v>
      </c>
      <c r="AA491" s="2943" t="s">
        <v>22</v>
      </c>
      <c r="AB491" s="2940" t="s">
        <v>22</v>
      </c>
      <c r="AC491" s="1762" t="s">
        <v>22</v>
      </c>
      <c r="AD491" s="842" t="s">
        <v>22</v>
      </c>
      <c r="AE491" s="1762" t="s">
        <v>22</v>
      </c>
      <c r="AF491" s="842" t="s">
        <v>22</v>
      </c>
      <c r="AG491" s="2943" t="s">
        <v>22</v>
      </c>
      <c r="AH491" s="2940" t="s">
        <v>22</v>
      </c>
      <c r="AI491" s="1762" t="s">
        <v>22</v>
      </c>
      <c r="AJ491" s="842" t="s">
        <v>22</v>
      </c>
      <c r="AK491" s="1762" t="s">
        <v>22</v>
      </c>
      <c r="AL491" s="842" t="s">
        <v>22</v>
      </c>
      <c r="AM491" s="1549" t="s">
        <v>1043</v>
      </c>
      <c r="AN491" s="1659"/>
      <c r="AO491" s="1659"/>
      <c r="AP491" s="1659"/>
      <c r="AQ491" s="1659"/>
      <c r="AR491" s="1659"/>
      <c r="AS491" s="1659"/>
      <c r="AT491" s="1659"/>
      <c r="AU491" s="1659"/>
      <c r="AV491" s="1659"/>
      <c r="AW491" s="699"/>
      <c r="AX491" s="1659">
        <v>0</v>
      </c>
    </row>
    <row s="1874" customFormat="1" customHeight="1" ht="22.5">
      <c r="A492" s="1659"/>
      <c r="B492" s="2421" t="s">
        <v>1237</v>
      </c>
      <c r="C492" s="2422" t="s">
        <v>104</v>
      </c>
      <c r="D492" s="713" t="str">
        <f>B492&amp;".1"</f>
        <v>3.152.1</v>
      </c>
      <c r="E492" s="1691" t="s">
        <v>1039</v>
      </c>
      <c r="F492" s="2287" t="s">
        <v>390</v>
      </c>
      <c r="G492" s="2377" t="s">
        <v>22</v>
      </c>
      <c r="H492" s="842" t="s">
        <v>22</v>
      </c>
      <c r="I492" s="2377" t="s">
        <v>22</v>
      </c>
      <c r="J492" s="842" t="s">
        <v>22</v>
      </c>
      <c r="K492" s="2377" t="s">
        <v>22</v>
      </c>
      <c r="L492" s="842" t="s">
        <v>22</v>
      </c>
      <c r="M492" s="2942" t="s">
        <v>22</v>
      </c>
      <c r="N492" s="2940" t="s">
        <v>22</v>
      </c>
      <c r="O492" s="2377" t="s">
        <v>22</v>
      </c>
      <c r="P492" s="842" t="s">
        <v>22</v>
      </c>
      <c r="Q492" s="2377" t="s">
        <v>1059</v>
      </c>
      <c r="R492" s="842" t="s">
        <v>22</v>
      </c>
      <c r="S492" s="2377"/>
      <c r="T492" s="842" t="s">
        <v>22</v>
      </c>
      <c r="U492" s="2377" t="s">
        <v>22</v>
      </c>
      <c r="V492" s="842" t="s">
        <v>22</v>
      </c>
      <c r="W492" s="2377" t="s">
        <v>22</v>
      </c>
      <c r="X492" s="842" t="s">
        <v>22</v>
      </c>
      <c r="Y492" s="2377" t="s">
        <v>22</v>
      </c>
      <c r="Z492" s="842" t="s">
        <v>22</v>
      </c>
      <c r="AA492" s="2942" t="s">
        <v>22</v>
      </c>
      <c r="AB492" s="2940" t="s">
        <v>22</v>
      </c>
      <c r="AC492" s="2377" t="s">
        <v>22</v>
      </c>
      <c r="AD492" s="842" t="s">
        <v>22</v>
      </c>
      <c r="AE492" s="2377" t="s">
        <v>22</v>
      </c>
      <c r="AF492" s="842" t="s">
        <v>22</v>
      </c>
      <c r="AG492" s="2942" t="s">
        <v>22</v>
      </c>
      <c r="AH492" s="2940" t="s">
        <v>22</v>
      </c>
      <c r="AI492" s="2377" t="s">
        <v>22</v>
      </c>
      <c r="AJ492" s="842" t="s">
        <v>22</v>
      </c>
      <c r="AK492" s="2377" t="s">
        <v>22</v>
      </c>
      <c r="AL492" s="842" t="s">
        <v>22</v>
      </c>
      <c r="AM492" s="1549"/>
      <c r="AN492" s="1659"/>
      <c r="AO492" s="1659"/>
      <c r="AP492" s="1659"/>
      <c r="AQ492" s="1659"/>
      <c r="AR492" s="1659"/>
      <c r="AS492" s="1659"/>
      <c r="AT492" s="1659"/>
      <c r="AU492" s="1659"/>
      <c r="AV492" s="1659"/>
      <c r="AW492" s="699"/>
      <c r="AX492" s="1659">
        <v>0</v>
      </c>
    </row>
    <row s="1874" customFormat="1" customHeight="1" ht="15">
      <c r="A493" s="1659"/>
      <c r="B493" s="2421"/>
      <c r="C493" s="2422"/>
      <c r="D493" s="713" t="str">
        <f>B492&amp;".2"</f>
        <v>3.152.2</v>
      </c>
      <c r="E493" s="1691" t="s">
        <v>1040</v>
      </c>
      <c r="F493" s="2287" t="s">
        <v>390</v>
      </c>
      <c r="G493" s="1762" t="s">
        <v>22</v>
      </c>
      <c r="H493" s="842" t="s">
        <v>22</v>
      </c>
      <c r="I493" s="1762" t="s">
        <v>22</v>
      </c>
      <c r="J493" s="842" t="s">
        <v>22</v>
      </c>
      <c r="K493" s="1762" t="s">
        <v>22</v>
      </c>
      <c r="L493" s="842" t="s">
        <v>22</v>
      </c>
      <c r="M493" s="2943" t="s">
        <v>22</v>
      </c>
      <c r="N493" s="2940" t="s">
        <v>22</v>
      </c>
      <c r="O493" s="1762" t="s">
        <v>22</v>
      </c>
      <c r="P493" s="842" t="s">
        <v>22</v>
      </c>
      <c r="Q493" s="1762">
        <v>46136</v>
      </c>
      <c r="R493" s="842" t="s">
        <v>22</v>
      </c>
      <c r="S493" s="1762"/>
      <c r="T493" s="842" t="s">
        <v>22</v>
      </c>
      <c r="U493" s="1762" t="s">
        <v>22</v>
      </c>
      <c r="V493" s="842" t="s">
        <v>22</v>
      </c>
      <c r="W493" s="1762" t="s">
        <v>22</v>
      </c>
      <c r="X493" s="842" t="s">
        <v>22</v>
      </c>
      <c r="Y493" s="1762" t="s">
        <v>22</v>
      </c>
      <c r="Z493" s="842" t="s">
        <v>22</v>
      </c>
      <c r="AA493" s="2943" t="s">
        <v>22</v>
      </c>
      <c r="AB493" s="2940" t="s">
        <v>22</v>
      </c>
      <c r="AC493" s="1762" t="s">
        <v>22</v>
      </c>
      <c r="AD493" s="842" t="s">
        <v>22</v>
      </c>
      <c r="AE493" s="1762" t="s">
        <v>22</v>
      </c>
      <c r="AF493" s="842" t="s">
        <v>22</v>
      </c>
      <c r="AG493" s="2943" t="s">
        <v>22</v>
      </c>
      <c r="AH493" s="2940" t="s">
        <v>22</v>
      </c>
      <c r="AI493" s="1762" t="s">
        <v>22</v>
      </c>
      <c r="AJ493" s="842" t="s">
        <v>22</v>
      </c>
      <c r="AK493" s="1762" t="s">
        <v>22</v>
      </c>
      <c r="AL493" s="842" t="s">
        <v>22</v>
      </c>
      <c r="AM493" s="1549" t="s">
        <v>1041</v>
      </c>
      <c r="AN493" s="1659"/>
      <c r="AO493" s="1659"/>
      <c r="AP493" s="1659"/>
      <c r="AQ493" s="1659"/>
      <c r="AR493" s="1659"/>
      <c r="AS493" s="1659"/>
      <c r="AT493" s="1659"/>
      <c r="AU493" s="1659"/>
      <c r="AV493" s="1659"/>
      <c r="AW493" s="699"/>
      <c r="AX493" s="1659">
        <v>0</v>
      </c>
    </row>
    <row s="1874" customFormat="1" customHeight="1" ht="15">
      <c r="A494" s="1659"/>
      <c r="B494" s="2421"/>
      <c r="C494" s="2422"/>
      <c r="D494" s="713" t="str">
        <f>B492&amp;".3"</f>
        <v>3.152.3</v>
      </c>
      <c r="E494" s="1691" t="s">
        <v>1042</v>
      </c>
      <c r="F494" s="2287" t="s">
        <v>390</v>
      </c>
      <c r="G494" s="1762" t="s">
        <v>22</v>
      </c>
      <c r="H494" s="842" t="s">
        <v>22</v>
      </c>
      <c r="I494" s="1762" t="s">
        <v>22</v>
      </c>
      <c r="J494" s="842" t="s">
        <v>22</v>
      </c>
      <c r="K494" s="1762" t="s">
        <v>22</v>
      </c>
      <c r="L494" s="842" t="s">
        <v>22</v>
      </c>
      <c r="M494" s="2943" t="s">
        <v>22</v>
      </c>
      <c r="N494" s="2940" t="s">
        <v>22</v>
      </c>
      <c r="O494" s="1762" t="s">
        <v>22</v>
      </c>
      <c r="P494" s="842" t="s">
        <v>22</v>
      </c>
      <c r="Q494" s="1762" t="s">
        <v>22</v>
      </c>
      <c r="R494" s="842" t="s">
        <v>22</v>
      </c>
      <c r="S494" s="1762"/>
      <c r="T494" s="842" t="s">
        <v>22</v>
      </c>
      <c r="U494" s="1762" t="s">
        <v>22</v>
      </c>
      <c r="V494" s="842" t="s">
        <v>22</v>
      </c>
      <c r="W494" s="1762" t="s">
        <v>22</v>
      </c>
      <c r="X494" s="842" t="s">
        <v>22</v>
      </c>
      <c r="Y494" s="1762" t="s">
        <v>22</v>
      </c>
      <c r="Z494" s="842" t="s">
        <v>22</v>
      </c>
      <c r="AA494" s="2943" t="s">
        <v>22</v>
      </c>
      <c r="AB494" s="2940" t="s">
        <v>22</v>
      </c>
      <c r="AC494" s="1762" t="s">
        <v>22</v>
      </c>
      <c r="AD494" s="842" t="s">
        <v>22</v>
      </c>
      <c r="AE494" s="1762" t="s">
        <v>22</v>
      </c>
      <c r="AF494" s="842" t="s">
        <v>22</v>
      </c>
      <c r="AG494" s="2943" t="s">
        <v>22</v>
      </c>
      <c r="AH494" s="2940" t="s">
        <v>22</v>
      </c>
      <c r="AI494" s="1762" t="s">
        <v>22</v>
      </c>
      <c r="AJ494" s="842" t="s">
        <v>22</v>
      </c>
      <c r="AK494" s="1762" t="s">
        <v>22</v>
      </c>
      <c r="AL494" s="842" t="s">
        <v>22</v>
      </c>
      <c r="AM494" s="1549" t="s">
        <v>1043</v>
      </c>
      <c r="AN494" s="1659"/>
      <c r="AO494" s="1659"/>
      <c r="AP494" s="1659"/>
      <c r="AQ494" s="1659"/>
      <c r="AR494" s="1659"/>
      <c r="AS494" s="1659"/>
      <c r="AT494" s="1659"/>
      <c r="AU494" s="1659"/>
      <c r="AV494" s="1659"/>
      <c r="AW494" s="699"/>
      <c r="AX494" s="1659">
        <v>0</v>
      </c>
    </row>
    <row s="1874" customFormat="1" customHeight="1" ht="22.5">
      <c r="A495" s="1659"/>
      <c r="B495" s="2421" t="s">
        <v>1238</v>
      </c>
      <c r="C495" s="2422" t="s">
        <v>104</v>
      </c>
      <c r="D495" s="713" t="str">
        <f>B495&amp;".1"</f>
        <v>3.153.1</v>
      </c>
      <c r="E495" s="1691" t="s">
        <v>1039</v>
      </c>
      <c r="F495" s="2287" t="s">
        <v>390</v>
      </c>
      <c r="G495" s="2377" t="s">
        <v>22</v>
      </c>
      <c r="H495" s="842" t="s">
        <v>22</v>
      </c>
      <c r="I495" s="2377" t="s">
        <v>22</v>
      </c>
      <c r="J495" s="842" t="s">
        <v>22</v>
      </c>
      <c r="K495" s="2377" t="s">
        <v>22</v>
      </c>
      <c r="L495" s="842" t="s">
        <v>22</v>
      </c>
      <c r="M495" s="2942" t="s">
        <v>22</v>
      </c>
      <c r="N495" s="2940" t="s">
        <v>22</v>
      </c>
      <c r="O495" s="2377" t="s">
        <v>22</v>
      </c>
      <c r="P495" s="842" t="s">
        <v>22</v>
      </c>
      <c r="Q495" s="2377" t="s">
        <v>1059</v>
      </c>
      <c r="R495" s="842" t="s">
        <v>22</v>
      </c>
      <c r="S495" s="2377"/>
      <c r="T495" s="842" t="s">
        <v>22</v>
      </c>
      <c r="U495" s="2377" t="s">
        <v>22</v>
      </c>
      <c r="V495" s="842" t="s">
        <v>22</v>
      </c>
      <c r="W495" s="2377" t="s">
        <v>22</v>
      </c>
      <c r="X495" s="842" t="s">
        <v>22</v>
      </c>
      <c r="Y495" s="2377" t="s">
        <v>22</v>
      </c>
      <c r="Z495" s="842" t="s">
        <v>22</v>
      </c>
      <c r="AA495" s="2942" t="s">
        <v>22</v>
      </c>
      <c r="AB495" s="2940" t="s">
        <v>22</v>
      </c>
      <c r="AC495" s="2377" t="s">
        <v>22</v>
      </c>
      <c r="AD495" s="842" t="s">
        <v>22</v>
      </c>
      <c r="AE495" s="2377" t="s">
        <v>22</v>
      </c>
      <c r="AF495" s="842" t="s">
        <v>22</v>
      </c>
      <c r="AG495" s="2942" t="s">
        <v>22</v>
      </c>
      <c r="AH495" s="2940" t="s">
        <v>22</v>
      </c>
      <c r="AI495" s="2377" t="s">
        <v>22</v>
      </c>
      <c r="AJ495" s="842" t="s">
        <v>22</v>
      </c>
      <c r="AK495" s="2377" t="s">
        <v>22</v>
      </c>
      <c r="AL495" s="842" t="s">
        <v>22</v>
      </c>
      <c r="AM495" s="1549"/>
      <c r="AN495" s="1659"/>
      <c r="AO495" s="1659"/>
      <c r="AP495" s="1659"/>
      <c r="AQ495" s="1659"/>
      <c r="AR495" s="1659"/>
      <c r="AS495" s="1659"/>
      <c r="AT495" s="1659"/>
      <c r="AU495" s="1659"/>
      <c r="AV495" s="1659"/>
      <c r="AW495" s="699"/>
      <c r="AX495" s="1659">
        <v>0</v>
      </c>
    </row>
    <row s="1874" customFormat="1" customHeight="1" ht="15">
      <c r="A496" s="1659"/>
      <c r="B496" s="2421"/>
      <c r="C496" s="2422"/>
      <c r="D496" s="713" t="str">
        <f>B495&amp;".2"</f>
        <v>3.153.2</v>
      </c>
      <c r="E496" s="1691" t="s">
        <v>1040</v>
      </c>
      <c r="F496" s="2287" t="s">
        <v>390</v>
      </c>
      <c r="G496" s="1762" t="s">
        <v>22</v>
      </c>
      <c r="H496" s="842" t="s">
        <v>22</v>
      </c>
      <c r="I496" s="1762" t="s">
        <v>22</v>
      </c>
      <c r="J496" s="842" t="s">
        <v>22</v>
      </c>
      <c r="K496" s="1762" t="s">
        <v>22</v>
      </c>
      <c r="L496" s="842" t="s">
        <v>22</v>
      </c>
      <c r="M496" s="2943" t="s">
        <v>22</v>
      </c>
      <c r="N496" s="2940" t="s">
        <v>22</v>
      </c>
      <c r="O496" s="1762" t="s">
        <v>22</v>
      </c>
      <c r="P496" s="842" t="s">
        <v>22</v>
      </c>
      <c r="Q496" s="1762">
        <v>46136</v>
      </c>
      <c r="R496" s="842" t="s">
        <v>22</v>
      </c>
      <c r="S496" s="1762"/>
      <c r="T496" s="842" t="s">
        <v>22</v>
      </c>
      <c r="U496" s="1762" t="s">
        <v>22</v>
      </c>
      <c r="V496" s="842" t="s">
        <v>22</v>
      </c>
      <c r="W496" s="1762" t="s">
        <v>22</v>
      </c>
      <c r="X496" s="842" t="s">
        <v>22</v>
      </c>
      <c r="Y496" s="1762" t="s">
        <v>22</v>
      </c>
      <c r="Z496" s="842" t="s">
        <v>22</v>
      </c>
      <c r="AA496" s="2943" t="s">
        <v>22</v>
      </c>
      <c r="AB496" s="2940" t="s">
        <v>22</v>
      </c>
      <c r="AC496" s="1762" t="s">
        <v>22</v>
      </c>
      <c r="AD496" s="842" t="s">
        <v>22</v>
      </c>
      <c r="AE496" s="1762" t="s">
        <v>22</v>
      </c>
      <c r="AF496" s="842" t="s">
        <v>22</v>
      </c>
      <c r="AG496" s="2943" t="s">
        <v>22</v>
      </c>
      <c r="AH496" s="2940" t="s">
        <v>22</v>
      </c>
      <c r="AI496" s="1762" t="s">
        <v>22</v>
      </c>
      <c r="AJ496" s="842" t="s">
        <v>22</v>
      </c>
      <c r="AK496" s="1762" t="s">
        <v>22</v>
      </c>
      <c r="AL496" s="842" t="s">
        <v>22</v>
      </c>
      <c r="AM496" s="1549" t="s">
        <v>1041</v>
      </c>
      <c r="AN496" s="1659"/>
      <c r="AO496" s="1659"/>
      <c r="AP496" s="1659"/>
      <c r="AQ496" s="1659"/>
      <c r="AR496" s="1659"/>
      <c r="AS496" s="1659"/>
      <c r="AT496" s="1659"/>
      <c r="AU496" s="1659"/>
      <c r="AV496" s="1659"/>
      <c r="AW496" s="699"/>
      <c r="AX496" s="1659">
        <v>0</v>
      </c>
    </row>
    <row s="1874" customFormat="1" customHeight="1" ht="15">
      <c r="A497" s="1659"/>
      <c r="B497" s="2421"/>
      <c r="C497" s="2422"/>
      <c r="D497" s="713" t="str">
        <f>B495&amp;".3"</f>
        <v>3.153.3</v>
      </c>
      <c r="E497" s="1691" t="s">
        <v>1042</v>
      </c>
      <c r="F497" s="2287" t="s">
        <v>390</v>
      </c>
      <c r="G497" s="1762" t="s">
        <v>22</v>
      </c>
      <c r="H497" s="842" t="s">
        <v>22</v>
      </c>
      <c r="I497" s="1762" t="s">
        <v>22</v>
      </c>
      <c r="J497" s="842" t="s">
        <v>22</v>
      </c>
      <c r="K497" s="1762" t="s">
        <v>22</v>
      </c>
      <c r="L497" s="842" t="s">
        <v>22</v>
      </c>
      <c r="M497" s="2943" t="s">
        <v>22</v>
      </c>
      <c r="N497" s="2940" t="s">
        <v>22</v>
      </c>
      <c r="O497" s="1762" t="s">
        <v>22</v>
      </c>
      <c r="P497" s="842" t="s">
        <v>22</v>
      </c>
      <c r="Q497" s="1762" t="s">
        <v>22</v>
      </c>
      <c r="R497" s="842" t="s">
        <v>22</v>
      </c>
      <c r="S497" s="1762"/>
      <c r="T497" s="842" t="s">
        <v>22</v>
      </c>
      <c r="U497" s="1762" t="s">
        <v>22</v>
      </c>
      <c r="V497" s="842" t="s">
        <v>22</v>
      </c>
      <c r="W497" s="1762" t="s">
        <v>22</v>
      </c>
      <c r="X497" s="842" t="s">
        <v>22</v>
      </c>
      <c r="Y497" s="1762" t="s">
        <v>22</v>
      </c>
      <c r="Z497" s="842" t="s">
        <v>22</v>
      </c>
      <c r="AA497" s="2943" t="s">
        <v>22</v>
      </c>
      <c r="AB497" s="2940" t="s">
        <v>22</v>
      </c>
      <c r="AC497" s="1762" t="s">
        <v>22</v>
      </c>
      <c r="AD497" s="842" t="s">
        <v>22</v>
      </c>
      <c r="AE497" s="1762" t="s">
        <v>22</v>
      </c>
      <c r="AF497" s="842" t="s">
        <v>22</v>
      </c>
      <c r="AG497" s="2943" t="s">
        <v>22</v>
      </c>
      <c r="AH497" s="2940" t="s">
        <v>22</v>
      </c>
      <c r="AI497" s="1762" t="s">
        <v>22</v>
      </c>
      <c r="AJ497" s="842" t="s">
        <v>22</v>
      </c>
      <c r="AK497" s="1762" t="s">
        <v>22</v>
      </c>
      <c r="AL497" s="842" t="s">
        <v>22</v>
      </c>
      <c r="AM497" s="1549" t="s">
        <v>1043</v>
      </c>
      <c r="AN497" s="1659"/>
      <c r="AO497" s="1659"/>
      <c r="AP497" s="1659"/>
      <c r="AQ497" s="1659"/>
      <c r="AR497" s="1659"/>
      <c r="AS497" s="1659"/>
      <c r="AT497" s="1659"/>
      <c r="AU497" s="1659"/>
      <c r="AV497" s="1659"/>
      <c r="AW497" s="699"/>
      <c r="AX497" s="1659">
        <v>0</v>
      </c>
    </row>
    <row s="1874" customFormat="1" customHeight="1" ht="22.5">
      <c r="A498" s="1659"/>
      <c r="B498" s="2421" t="s">
        <v>1239</v>
      </c>
      <c r="C498" s="2422" t="s">
        <v>104</v>
      </c>
      <c r="D498" s="713" t="str">
        <f>B498&amp;".1"</f>
        <v>3.154.1</v>
      </c>
      <c r="E498" s="1691" t="s">
        <v>1039</v>
      </c>
      <c r="F498" s="2287" t="s">
        <v>390</v>
      </c>
      <c r="G498" s="2377" t="s">
        <v>22</v>
      </c>
      <c r="H498" s="842" t="s">
        <v>22</v>
      </c>
      <c r="I498" s="2377" t="s">
        <v>22</v>
      </c>
      <c r="J498" s="842" t="s">
        <v>22</v>
      </c>
      <c r="K498" s="2377" t="s">
        <v>22</v>
      </c>
      <c r="L498" s="842" t="s">
        <v>22</v>
      </c>
      <c r="M498" s="2942" t="s">
        <v>22</v>
      </c>
      <c r="N498" s="2940" t="s">
        <v>22</v>
      </c>
      <c r="O498" s="2377" t="s">
        <v>22</v>
      </c>
      <c r="P498" s="842" t="s">
        <v>22</v>
      </c>
      <c r="Q498" s="2377" t="s">
        <v>1059</v>
      </c>
      <c r="R498" s="842" t="s">
        <v>22</v>
      </c>
      <c r="S498" s="2377"/>
      <c r="T498" s="842" t="s">
        <v>22</v>
      </c>
      <c r="U498" s="2377" t="s">
        <v>22</v>
      </c>
      <c r="V498" s="842" t="s">
        <v>22</v>
      </c>
      <c r="W498" s="2377" t="s">
        <v>22</v>
      </c>
      <c r="X498" s="842" t="s">
        <v>22</v>
      </c>
      <c r="Y498" s="2377" t="s">
        <v>22</v>
      </c>
      <c r="Z498" s="842" t="s">
        <v>22</v>
      </c>
      <c r="AA498" s="2942" t="s">
        <v>22</v>
      </c>
      <c r="AB498" s="2940" t="s">
        <v>22</v>
      </c>
      <c r="AC498" s="2377" t="s">
        <v>22</v>
      </c>
      <c r="AD498" s="842" t="s">
        <v>22</v>
      </c>
      <c r="AE498" s="2377" t="s">
        <v>22</v>
      </c>
      <c r="AF498" s="842" t="s">
        <v>22</v>
      </c>
      <c r="AG498" s="2942" t="s">
        <v>22</v>
      </c>
      <c r="AH498" s="2940" t="s">
        <v>22</v>
      </c>
      <c r="AI498" s="2377" t="s">
        <v>22</v>
      </c>
      <c r="AJ498" s="842" t="s">
        <v>22</v>
      </c>
      <c r="AK498" s="2377" t="s">
        <v>22</v>
      </c>
      <c r="AL498" s="842" t="s">
        <v>22</v>
      </c>
      <c r="AM498" s="1549"/>
      <c r="AN498" s="1659"/>
      <c r="AO498" s="1659"/>
      <c r="AP498" s="1659"/>
      <c r="AQ498" s="1659"/>
      <c r="AR498" s="1659"/>
      <c r="AS498" s="1659"/>
      <c r="AT498" s="1659"/>
      <c r="AU498" s="1659"/>
      <c r="AV498" s="1659"/>
      <c r="AW498" s="699"/>
      <c r="AX498" s="1659">
        <v>0</v>
      </c>
    </row>
    <row s="1874" customFormat="1" customHeight="1" ht="15">
      <c r="A499" s="1659"/>
      <c r="B499" s="2421"/>
      <c r="C499" s="2422"/>
      <c r="D499" s="713" t="str">
        <f>B498&amp;".2"</f>
        <v>3.154.2</v>
      </c>
      <c r="E499" s="1691" t="s">
        <v>1040</v>
      </c>
      <c r="F499" s="2287" t="s">
        <v>390</v>
      </c>
      <c r="G499" s="1762" t="s">
        <v>22</v>
      </c>
      <c r="H499" s="842" t="s">
        <v>22</v>
      </c>
      <c r="I499" s="1762" t="s">
        <v>22</v>
      </c>
      <c r="J499" s="842" t="s">
        <v>22</v>
      </c>
      <c r="K499" s="1762" t="s">
        <v>22</v>
      </c>
      <c r="L499" s="842" t="s">
        <v>22</v>
      </c>
      <c r="M499" s="2943" t="s">
        <v>22</v>
      </c>
      <c r="N499" s="2940" t="s">
        <v>22</v>
      </c>
      <c r="O499" s="1762" t="s">
        <v>22</v>
      </c>
      <c r="P499" s="842" t="s">
        <v>22</v>
      </c>
      <c r="Q499" s="1762">
        <v>46136</v>
      </c>
      <c r="R499" s="842" t="s">
        <v>22</v>
      </c>
      <c r="S499" s="1762"/>
      <c r="T499" s="842" t="s">
        <v>22</v>
      </c>
      <c r="U499" s="1762" t="s">
        <v>22</v>
      </c>
      <c r="V499" s="842" t="s">
        <v>22</v>
      </c>
      <c r="W499" s="1762" t="s">
        <v>22</v>
      </c>
      <c r="X499" s="842" t="s">
        <v>22</v>
      </c>
      <c r="Y499" s="1762" t="s">
        <v>22</v>
      </c>
      <c r="Z499" s="842" t="s">
        <v>22</v>
      </c>
      <c r="AA499" s="2943" t="s">
        <v>22</v>
      </c>
      <c r="AB499" s="2940" t="s">
        <v>22</v>
      </c>
      <c r="AC499" s="1762" t="s">
        <v>22</v>
      </c>
      <c r="AD499" s="842" t="s">
        <v>22</v>
      </c>
      <c r="AE499" s="1762" t="s">
        <v>22</v>
      </c>
      <c r="AF499" s="842" t="s">
        <v>22</v>
      </c>
      <c r="AG499" s="2943" t="s">
        <v>22</v>
      </c>
      <c r="AH499" s="2940" t="s">
        <v>22</v>
      </c>
      <c r="AI499" s="1762" t="s">
        <v>22</v>
      </c>
      <c r="AJ499" s="842" t="s">
        <v>22</v>
      </c>
      <c r="AK499" s="1762" t="s">
        <v>22</v>
      </c>
      <c r="AL499" s="842" t="s">
        <v>22</v>
      </c>
      <c r="AM499" s="1549" t="s">
        <v>1041</v>
      </c>
      <c r="AN499" s="1659"/>
      <c r="AO499" s="1659"/>
      <c r="AP499" s="1659"/>
      <c r="AQ499" s="1659"/>
      <c r="AR499" s="1659"/>
      <c r="AS499" s="1659"/>
      <c r="AT499" s="1659"/>
      <c r="AU499" s="1659"/>
      <c r="AV499" s="1659"/>
      <c r="AW499" s="699"/>
      <c r="AX499" s="1659">
        <v>0</v>
      </c>
    </row>
    <row s="1874" customFormat="1" customHeight="1" ht="15">
      <c r="A500" s="1659"/>
      <c r="B500" s="2421"/>
      <c r="C500" s="2422"/>
      <c r="D500" s="713" t="str">
        <f>B498&amp;".3"</f>
        <v>3.154.3</v>
      </c>
      <c r="E500" s="1691" t="s">
        <v>1042</v>
      </c>
      <c r="F500" s="2287" t="s">
        <v>390</v>
      </c>
      <c r="G500" s="1762" t="s">
        <v>22</v>
      </c>
      <c r="H500" s="842" t="s">
        <v>22</v>
      </c>
      <c r="I500" s="1762" t="s">
        <v>22</v>
      </c>
      <c r="J500" s="842" t="s">
        <v>22</v>
      </c>
      <c r="K500" s="1762" t="s">
        <v>22</v>
      </c>
      <c r="L500" s="842" t="s">
        <v>22</v>
      </c>
      <c r="M500" s="2943" t="s">
        <v>22</v>
      </c>
      <c r="N500" s="2940" t="s">
        <v>22</v>
      </c>
      <c r="O500" s="1762" t="s">
        <v>22</v>
      </c>
      <c r="P500" s="842" t="s">
        <v>22</v>
      </c>
      <c r="Q500" s="1762" t="s">
        <v>22</v>
      </c>
      <c r="R500" s="842" t="s">
        <v>22</v>
      </c>
      <c r="S500" s="1762"/>
      <c r="T500" s="842" t="s">
        <v>22</v>
      </c>
      <c r="U500" s="1762" t="s">
        <v>22</v>
      </c>
      <c r="V500" s="842" t="s">
        <v>22</v>
      </c>
      <c r="W500" s="1762" t="s">
        <v>22</v>
      </c>
      <c r="X500" s="842" t="s">
        <v>22</v>
      </c>
      <c r="Y500" s="1762" t="s">
        <v>22</v>
      </c>
      <c r="Z500" s="842" t="s">
        <v>22</v>
      </c>
      <c r="AA500" s="2943" t="s">
        <v>22</v>
      </c>
      <c r="AB500" s="2940" t="s">
        <v>22</v>
      </c>
      <c r="AC500" s="1762" t="s">
        <v>22</v>
      </c>
      <c r="AD500" s="842" t="s">
        <v>22</v>
      </c>
      <c r="AE500" s="1762" t="s">
        <v>22</v>
      </c>
      <c r="AF500" s="842" t="s">
        <v>22</v>
      </c>
      <c r="AG500" s="2943" t="s">
        <v>22</v>
      </c>
      <c r="AH500" s="2940" t="s">
        <v>22</v>
      </c>
      <c r="AI500" s="1762" t="s">
        <v>22</v>
      </c>
      <c r="AJ500" s="842" t="s">
        <v>22</v>
      </c>
      <c r="AK500" s="1762" t="s">
        <v>22</v>
      </c>
      <c r="AL500" s="842" t="s">
        <v>22</v>
      </c>
      <c r="AM500" s="1549" t="s">
        <v>1043</v>
      </c>
      <c r="AN500" s="1659"/>
      <c r="AO500" s="1659"/>
      <c r="AP500" s="1659"/>
      <c r="AQ500" s="1659"/>
      <c r="AR500" s="1659"/>
      <c r="AS500" s="1659"/>
      <c r="AT500" s="1659"/>
      <c r="AU500" s="1659"/>
      <c r="AV500" s="1659"/>
      <c r="AW500" s="699"/>
      <c r="AX500" s="1659">
        <v>0</v>
      </c>
    </row>
    <row s="1874" customFormat="1" customHeight="1" ht="22.5">
      <c r="A501" s="1659"/>
      <c r="B501" s="2421" t="s">
        <v>1240</v>
      </c>
      <c r="C501" s="2422" t="s">
        <v>104</v>
      </c>
      <c r="D501" s="713" t="str">
        <f>B501&amp;".1"</f>
        <v>3.155.1</v>
      </c>
      <c r="E501" s="1691" t="s">
        <v>1039</v>
      </c>
      <c r="F501" s="2287" t="s">
        <v>390</v>
      </c>
      <c r="G501" s="2377" t="s">
        <v>22</v>
      </c>
      <c r="H501" s="842" t="s">
        <v>22</v>
      </c>
      <c r="I501" s="2377" t="s">
        <v>22</v>
      </c>
      <c r="J501" s="842" t="s">
        <v>22</v>
      </c>
      <c r="K501" s="2377" t="s">
        <v>22</v>
      </c>
      <c r="L501" s="842" t="s">
        <v>22</v>
      </c>
      <c r="M501" s="2942" t="s">
        <v>22</v>
      </c>
      <c r="N501" s="2940" t="s">
        <v>22</v>
      </c>
      <c r="O501" s="2377" t="s">
        <v>22</v>
      </c>
      <c r="P501" s="842" t="s">
        <v>22</v>
      </c>
      <c r="Q501" s="2377" t="s">
        <v>1059</v>
      </c>
      <c r="R501" s="842" t="s">
        <v>22</v>
      </c>
      <c r="S501" s="2377"/>
      <c r="T501" s="842" t="s">
        <v>22</v>
      </c>
      <c r="U501" s="2377" t="s">
        <v>22</v>
      </c>
      <c r="V501" s="842" t="s">
        <v>22</v>
      </c>
      <c r="W501" s="2377" t="s">
        <v>22</v>
      </c>
      <c r="X501" s="842" t="s">
        <v>22</v>
      </c>
      <c r="Y501" s="2377" t="s">
        <v>22</v>
      </c>
      <c r="Z501" s="842" t="s">
        <v>22</v>
      </c>
      <c r="AA501" s="2942" t="s">
        <v>22</v>
      </c>
      <c r="AB501" s="2940" t="s">
        <v>22</v>
      </c>
      <c r="AC501" s="2377" t="s">
        <v>22</v>
      </c>
      <c r="AD501" s="842" t="s">
        <v>22</v>
      </c>
      <c r="AE501" s="2377" t="s">
        <v>22</v>
      </c>
      <c r="AF501" s="842" t="s">
        <v>22</v>
      </c>
      <c r="AG501" s="2942" t="s">
        <v>22</v>
      </c>
      <c r="AH501" s="2940" t="s">
        <v>22</v>
      </c>
      <c r="AI501" s="2377" t="s">
        <v>22</v>
      </c>
      <c r="AJ501" s="842" t="s">
        <v>22</v>
      </c>
      <c r="AK501" s="2377" t="s">
        <v>22</v>
      </c>
      <c r="AL501" s="842" t="s">
        <v>22</v>
      </c>
      <c r="AM501" s="1549"/>
      <c r="AN501" s="1659"/>
      <c r="AO501" s="1659"/>
      <c r="AP501" s="1659"/>
      <c r="AQ501" s="1659"/>
      <c r="AR501" s="1659"/>
      <c r="AS501" s="1659"/>
      <c r="AT501" s="1659"/>
      <c r="AU501" s="1659"/>
      <c r="AV501" s="1659"/>
      <c r="AW501" s="699"/>
      <c r="AX501" s="1659">
        <v>0</v>
      </c>
    </row>
    <row s="1874" customFormat="1" customHeight="1" ht="15">
      <c r="A502" s="1659"/>
      <c r="B502" s="2421"/>
      <c r="C502" s="2422"/>
      <c r="D502" s="713" t="str">
        <f>B501&amp;".2"</f>
        <v>3.155.2</v>
      </c>
      <c r="E502" s="1691" t="s">
        <v>1040</v>
      </c>
      <c r="F502" s="2287" t="s">
        <v>390</v>
      </c>
      <c r="G502" s="1762" t="s">
        <v>22</v>
      </c>
      <c r="H502" s="842" t="s">
        <v>22</v>
      </c>
      <c r="I502" s="1762" t="s">
        <v>22</v>
      </c>
      <c r="J502" s="842" t="s">
        <v>22</v>
      </c>
      <c r="K502" s="1762" t="s">
        <v>22</v>
      </c>
      <c r="L502" s="842" t="s">
        <v>22</v>
      </c>
      <c r="M502" s="2943" t="s">
        <v>22</v>
      </c>
      <c r="N502" s="2940" t="s">
        <v>22</v>
      </c>
      <c r="O502" s="1762" t="s">
        <v>22</v>
      </c>
      <c r="P502" s="842" t="s">
        <v>22</v>
      </c>
      <c r="Q502" s="1762">
        <v>46136</v>
      </c>
      <c r="R502" s="842" t="s">
        <v>22</v>
      </c>
      <c r="S502" s="1762"/>
      <c r="T502" s="842" t="s">
        <v>22</v>
      </c>
      <c r="U502" s="1762" t="s">
        <v>22</v>
      </c>
      <c r="V502" s="842" t="s">
        <v>22</v>
      </c>
      <c r="W502" s="1762" t="s">
        <v>22</v>
      </c>
      <c r="X502" s="842" t="s">
        <v>22</v>
      </c>
      <c r="Y502" s="1762" t="s">
        <v>22</v>
      </c>
      <c r="Z502" s="842" t="s">
        <v>22</v>
      </c>
      <c r="AA502" s="2943" t="s">
        <v>22</v>
      </c>
      <c r="AB502" s="2940" t="s">
        <v>22</v>
      </c>
      <c r="AC502" s="1762" t="s">
        <v>22</v>
      </c>
      <c r="AD502" s="842" t="s">
        <v>22</v>
      </c>
      <c r="AE502" s="1762" t="s">
        <v>22</v>
      </c>
      <c r="AF502" s="842" t="s">
        <v>22</v>
      </c>
      <c r="AG502" s="2943" t="s">
        <v>22</v>
      </c>
      <c r="AH502" s="2940" t="s">
        <v>22</v>
      </c>
      <c r="AI502" s="1762" t="s">
        <v>22</v>
      </c>
      <c r="AJ502" s="842" t="s">
        <v>22</v>
      </c>
      <c r="AK502" s="1762" t="s">
        <v>22</v>
      </c>
      <c r="AL502" s="842" t="s">
        <v>22</v>
      </c>
      <c r="AM502" s="1549" t="s">
        <v>1041</v>
      </c>
      <c r="AN502" s="1659"/>
      <c r="AO502" s="1659"/>
      <c r="AP502" s="1659"/>
      <c r="AQ502" s="1659"/>
      <c r="AR502" s="1659"/>
      <c r="AS502" s="1659"/>
      <c r="AT502" s="1659"/>
      <c r="AU502" s="1659"/>
      <c r="AV502" s="1659"/>
      <c r="AW502" s="699"/>
      <c r="AX502" s="1659">
        <v>0</v>
      </c>
    </row>
    <row s="1874" customFormat="1" customHeight="1" ht="15">
      <c r="A503" s="1659"/>
      <c r="B503" s="2421"/>
      <c r="C503" s="2422"/>
      <c r="D503" s="713" t="str">
        <f>B501&amp;".3"</f>
        <v>3.155.3</v>
      </c>
      <c r="E503" s="1691" t="s">
        <v>1042</v>
      </c>
      <c r="F503" s="2287" t="s">
        <v>390</v>
      </c>
      <c r="G503" s="1762" t="s">
        <v>22</v>
      </c>
      <c r="H503" s="842" t="s">
        <v>22</v>
      </c>
      <c r="I503" s="1762" t="s">
        <v>22</v>
      </c>
      <c r="J503" s="842" t="s">
        <v>22</v>
      </c>
      <c r="K503" s="1762" t="s">
        <v>22</v>
      </c>
      <c r="L503" s="842" t="s">
        <v>22</v>
      </c>
      <c r="M503" s="2943" t="s">
        <v>22</v>
      </c>
      <c r="N503" s="2940" t="s">
        <v>22</v>
      </c>
      <c r="O503" s="1762" t="s">
        <v>22</v>
      </c>
      <c r="P503" s="842" t="s">
        <v>22</v>
      </c>
      <c r="Q503" s="1762" t="s">
        <v>22</v>
      </c>
      <c r="R503" s="842" t="s">
        <v>22</v>
      </c>
      <c r="S503" s="1762"/>
      <c r="T503" s="842" t="s">
        <v>22</v>
      </c>
      <c r="U503" s="1762" t="s">
        <v>22</v>
      </c>
      <c r="V503" s="842" t="s">
        <v>22</v>
      </c>
      <c r="W503" s="1762" t="s">
        <v>22</v>
      </c>
      <c r="X503" s="842" t="s">
        <v>22</v>
      </c>
      <c r="Y503" s="1762" t="s">
        <v>22</v>
      </c>
      <c r="Z503" s="842" t="s">
        <v>22</v>
      </c>
      <c r="AA503" s="2943" t="s">
        <v>22</v>
      </c>
      <c r="AB503" s="2940" t="s">
        <v>22</v>
      </c>
      <c r="AC503" s="1762" t="s">
        <v>22</v>
      </c>
      <c r="AD503" s="842" t="s">
        <v>22</v>
      </c>
      <c r="AE503" s="1762" t="s">
        <v>22</v>
      </c>
      <c r="AF503" s="842" t="s">
        <v>22</v>
      </c>
      <c r="AG503" s="2943" t="s">
        <v>22</v>
      </c>
      <c r="AH503" s="2940" t="s">
        <v>22</v>
      </c>
      <c r="AI503" s="1762" t="s">
        <v>22</v>
      </c>
      <c r="AJ503" s="842" t="s">
        <v>22</v>
      </c>
      <c r="AK503" s="1762" t="s">
        <v>22</v>
      </c>
      <c r="AL503" s="842" t="s">
        <v>22</v>
      </c>
      <c r="AM503" s="1549" t="s">
        <v>1043</v>
      </c>
      <c r="AN503" s="1659"/>
      <c r="AO503" s="1659"/>
      <c r="AP503" s="1659"/>
      <c r="AQ503" s="1659"/>
      <c r="AR503" s="1659"/>
      <c r="AS503" s="1659"/>
      <c r="AT503" s="1659"/>
      <c r="AU503" s="1659"/>
      <c r="AV503" s="1659"/>
      <c r="AW503" s="699"/>
      <c r="AX503" s="1659">
        <v>0</v>
      </c>
    </row>
    <row s="1874" customFormat="1" customHeight="1" ht="22.5">
      <c r="A504" s="1659"/>
      <c r="B504" s="2421" t="s">
        <v>1241</v>
      </c>
      <c r="C504" s="2422" t="s">
        <v>104</v>
      </c>
      <c r="D504" s="713" t="str">
        <f>B504&amp;".1"</f>
        <v>3.156.1</v>
      </c>
      <c r="E504" s="1691" t="s">
        <v>1039</v>
      </c>
      <c r="F504" s="2287" t="s">
        <v>390</v>
      </c>
      <c r="G504" s="2377" t="s">
        <v>22</v>
      </c>
      <c r="H504" s="842" t="s">
        <v>22</v>
      </c>
      <c r="I504" s="2377" t="s">
        <v>22</v>
      </c>
      <c r="J504" s="842" t="s">
        <v>22</v>
      </c>
      <c r="K504" s="2377" t="s">
        <v>22</v>
      </c>
      <c r="L504" s="842" t="s">
        <v>22</v>
      </c>
      <c r="M504" s="2942" t="s">
        <v>22</v>
      </c>
      <c r="N504" s="2940" t="s">
        <v>22</v>
      </c>
      <c r="O504" s="2377" t="s">
        <v>22</v>
      </c>
      <c r="P504" s="842" t="s">
        <v>22</v>
      </c>
      <c r="Q504" s="2377" t="s">
        <v>1059</v>
      </c>
      <c r="R504" s="842" t="s">
        <v>22</v>
      </c>
      <c r="S504" s="2377"/>
      <c r="T504" s="842" t="s">
        <v>22</v>
      </c>
      <c r="U504" s="2377" t="s">
        <v>22</v>
      </c>
      <c r="V504" s="842" t="s">
        <v>22</v>
      </c>
      <c r="W504" s="2377" t="s">
        <v>22</v>
      </c>
      <c r="X504" s="842" t="s">
        <v>22</v>
      </c>
      <c r="Y504" s="2377" t="s">
        <v>22</v>
      </c>
      <c r="Z504" s="842" t="s">
        <v>22</v>
      </c>
      <c r="AA504" s="2942" t="s">
        <v>22</v>
      </c>
      <c r="AB504" s="2940" t="s">
        <v>22</v>
      </c>
      <c r="AC504" s="2377" t="s">
        <v>22</v>
      </c>
      <c r="AD504" s="842" t="s">
        <v>22</v>
      </c>
      <c r="AE504" s="2377" t="s">
        <v>22</v>
      </c>
      <c r="AF504" s="842" t="s">
        <v>22</v>
      </c>
      <c r="AG504" s="2942" t="s">
        <v>22</v>
      </c>
      <c r="AH504" s="2940" t="s">
        <v>22</v>
      </c>
      <c r="AI504" s="2377" t="s">
        <v>22</v>
      </c>
      <c r="AJ504" s="842" t="s">
        <v>22</v>
      </c>
      <c r="AK504" s="2377" t="s">
        <v>22</v>
      </c>
      <c r="AL504" s="842" t="s">
        <v>22</v>
      </c>
      <c r="AM504" s="1549"/>
      <c r="AN504" s="1659"/>
      <c r="AO504" s="1659"/>
      <c r="AP504" s="1659"/>
      <c r="AQ504" s="1659"/>
      <c r="AR504" s="1659"/>
      <c r="AS504" s="1659"/>
      <c r="AT504" s="1659"/>
      <c r="AU504" s="1659"/>
      <c r="AV504" s="1659"/>
      <c r="AW504" s="699"/>
      <c r="AX504" s="1659">
        <v>0</v>
      </c>
    </row>
    <row s="1874" customFormat="1" customHeight="1" ht="15">
      <c r="A505" s="1659"/>
      <c r="B505" s="2421"/>
      <c r="C505" s="2422"/>
      <c r="D505" s="713" t="str">
        <f>B504&amp;".2"</f>
        <v>3.156.2</v>
      </c>
      <c r="E505" s="1691" t="s">
        <v>1040</v>
      </c>
      <c r="F505" s="2287" t="s">
        <v>390</v>
      </c>
      <c r="G505" s="1762" t="s">
        <v>22</v>
      </c>
      <c r="H505" s="842" t="s">
        <v>22</v>
      </c>
      <c r="I505" s="1762" t="s">
        <v>22</v>
      </c>
      <c r="J505" s="842" t="s">
        <v>22</v>
      </c>
      <c r="K505" s="1762" t="s">
        <v>22</v>
      </c>
      <c r="L505" s="842" t="s">
        <v>22</v>
      </c>
      <c r="M505" s="2943" t="s">
        <v>22</v>
      </c>
      <c r="N505" s="2940" t="s">
        <v>22</v>
      </c>
      <c r="O505" s="1762" t="s">
        <v>22</v>
      </c>
      <c r="P505" s="842" t="s">
        <v>22</v>
      </c>
      <c r="Q505" s="1762">
        <v>46136</v>
      </c>
      <c r="R505" s="842" t="s">
        <v>22</v>
      </c>
      <c r="S505" s="1762"/>
      <c r="T505" s="842" t="s">
        <v>22</v>
      </c>
      <c r="U505" s="1762" t="s">
        <v>22</v>
      </c>
      <c r="V505" s="842" t="s">
        <v>22</v>
      </c>
      <c r="W505" s="1762" t="s">
        <v>22</v>
      </c>
      <c r="X505" s="842" t="s">
        <v>22</v>
      </c>
      <c r="Y505" s="1762" t="s">
        <v>22</v>
      </c>
      <c r="Z505" s="842" t="s">
        <v>22</v>
      </c>
      <c r="AA505" s="2943" t="s">
        <v>22</v>
      </c>
      <c r="AB505" s="2940" t="s">
        <v>22</v>
      </c>
      <c r="AC505" s="1762" t="s">
        <v>22</v>
      </c>
      <c r="AD505" s="842" t="s">
        <v>22</v>
      </c>
      <c r="AE505" s="1762" t="s">
        <v>22</v>
      </c>
      <c r="AF505" s="842" t="s">
        <v>22</v>
      </c>
      <c r="AG505" s="2943" t="s">
        <v>22</v>
      </c>
      <c r="AH505" s="2940" t="s">
        <v>22</v>
      </c>
      <c r="AI505" s="1762" t="s">
        <v>22</v>
      </c>
      <c r="AJ505" s="842" t="s">
        <v>22</v>
      </c>
      <c r="AK505" s="1762" t="s">
        <v>22</v>
      </c>
      <c r="AL505" s="842" t="s">
        <v>22</v>
      </c>
      <c r="AM505" s="1549" t="s">
        <v>1041</v>
      </c>
      <c r="AN505" s="1659"/>
      <c r="AO505" s="1659"/>
      <c r="AP505" s="1659"/>
      <c r="AQ505" s="1659"/>
      <c r="AR505" s="1659"/>
      <c r="AS505" s="1659"/>
      <c r="AT505" s="1659"/>
      <c r="AU505" s="1659"/>
      <c r="AV505" s="1659"/>
      <c r="AW505" s="699"/>
      <c r="AX505" s="1659">
        <v>0</v>
      </c>
    </row>
    <row s="1874" customFormat="1" customHeight="1" ht="15">
      <c r="A506" s="1659"/>
      <c r="B506" s="2421"/>
      <c r="C506" s="2422"/>
      <c r="D506" s="713" t="str">
        <f>B504&amp;".3"</f>
        <v>3.156.3</v>
      </c>
      <c r="E506" s="1691" t="s">
        <v>1042</v>
      </c>
      <c r="F506" s="2287" t="s">
        <v>390</v>
      </c>
      <c r="G506" s="1762" t="s">
        <v>22</v>
      </c>
      <c r="H506" s="842" t="s">
        <v>22</v>
      </c>
      <c r="I506" s="1762" t="s">
        <v>22</v>
      </c>
      <c r="J506" s="842" t="s">
        <v>22</v>
      </c>
      <c r="K506" s="1762" t="s">
        <v>22</v>
      </c>
      <c r="L506" s="842" t="s">
        <v>22</v>
      </c>
      <c r="M506" s="2943" t="s">
        <v>22</v>
      </c>
      <c r="N506" s="2940" t="s">
        <v>22</v>
      </c>
      <c r="O506" s="1762" t="s">
        <v>22</v>
      </c>
      <c r="P506" s="842" t="s">
        <v>22</v>
      </c>
      <c r="Q506" s="1762" t="s">
        <v>22</v>
      </c>
      <c r="R506" s="842" t="s">
        <v>22</v>
      </c>
      <c r="S506" s="1762"/>
      <c r="T506" s="842" t="s">
        <v>22</v>
      </c>
      <c r="U506" s="1762" t="s">
        <v>22</v>
      </c>
      <c r="V506" s="842" t="s">
        <v>22</v>
      </c>
      <c r="W506" s="1762" t="s">
        <v>22</v>
      </c>
      <c r="X506" s="842" t="s">
        <v>22</v>
      </c>
      <c r="Y506" s="1762" t="s">
        <v>22</v>
      </c>
      <c r="Z506" s="842" t="s">
        <v>22</v>
      </c>
      <c r="AA506" s="2943" t="s">
        <v>22</v>
      </c>
      <c r="AB506" s="2940" t="s">
        <v>22</v>
      </c>
      <c r="AC506" s="1762" t="s">
        <v>22</v>
      </c>
      <c r="AD506" s="842" t="s">
        <v>22</v>
      </c>
      <c r="AE506" s="1762" t="s">
        <v>22</v>
      </c>
      <c r="AF506" s="842" t="s">
        <v>22</v>
      </c>
      <c r="AG506" s="2943" t="s">
        <v>22</v>
      </c>
      <c r="AH506" s="2940" t="s">
        <v>22</v>
      </c>
      <c r="AI506" s="1762" t="s">
        <v>22</v>
      </c>
      <c r="AJ506" s="842" t="s">
        <v>22</v>
      </c>
      <c r="AK506" s="1762" t="s">
        <v>22</v>
      </c>
      <c r="AL506" s="842" t="s">
        <v>22</v>
      </c>
      <c r="AM506" s="1549" t="s">
        <v>1043</v>
      </c>
      <c r="AN506" s="1659"/>
      <c r="AO506" s="1659"/>
      <c r="AP506" s="1659"/>
      <c r="AQ506" s="1659"/>
      <c r="AR506" s="1659"/>
      <c r="AS506" s="1659"/>
      <c r="AT506" s="1659"/>
      <c r="AU506" s="1659"/>
      <c r="AV506" s="1659"/>
      <c r="AW506" s="699"/>
      <c r="AX506" s="1659">
        <v>0</v>
      </c>
    </row>
    <row s="1874" customFormat="1" customHeight="1" ht="22.5">
      <c r="A507" s="1659"/>
      <c r="B507" s="2421" t="s">
        <v>1242</v>
      </c>
      <c r="C507" s="2422" t="s">
        <v>104</v>
      </c>
      <c r="D507" s="713" t="str">
        <f>B507&amp;".1"</f>
        <v>3.157.1</v>
      </c>
      <c r="E507" s="1691" t="s">
        <v>1039</v>
      </c>
      <c r="F507" s="2287" t="s">
        <v>390</v>
      </c>
      <c r="G507" s="2377" t="s">
        <v>22</v>
      </c>
      <c r="H507" s="842" t="s">
        <v>22</v>
      </c>
      <c r="I507" s="2377" t="s">
        <v>22</v>
      </c>
      <c r="J507" s="842" t="s">
        <v>22</v>
      </c>
      <c r="K507" s="2377" t="s">
        <v>22</v>
      </c>
      <c r="L507" s="842" t="s">
        <v>22</v>
      </c>
      <c r="M507" s="2942" t="s">
        <v>22</v>
      </c>
      <c r="N507" s="2940" t="s">
        <v>22</v>
      </c>
      <c r="O507" s="2377" t="s">
        <v>22</v>
      </c>
      <c r="P507" s="842" t="s">
        <v>22</v>
      </c>
      <c r="Q507" s="2377" t="s">
        <v>1059</v>
      </c>
      <c r="R507" s="842" t="s">
        <v>22</v>
      </c>
      <c r="S507" s="2377"/>
      <c r="T507" s="842" t="s">
        <v>22</v>
      </c>
      <c r="U507" s="2377" t="s">
        <v>22</v>
      </c>
      <c r="V507" s="842" t="s">
        <v>22</v>
      </c>
      <c r="W507" s="2377" t="s">
        <v>22</v>
      </c>
      <c r="X507" s="842" t="s">
        <v>22</v>
      </c>
      <c r="Y507" s="2377" t="s">
        <v>22</v>
      </c>
      <c r="Z507" s="842" t="s">
        <v>22</v>
      </c>
      <c r="AA507" s="2942" t="s">
        <v>22</v>
      </c>
      <c r="AB507" s="2940" t="s">
        <v>22</v>
      </c>
      <c r="AC507" s="2377" t="s">
        <v>22</v>
      </c>
      <c r="AD507" s="842" t="s">
        <v>22</v>
      </c>
      <c r="AE507" s="2377" t="s">
        <v>22</v>
      </c>
      <c r="AF507" s="842" t="s">
        <v>22</v>
      </c>
      <c r="AG507" s="2942" t="s">
        <v>22</v>
      </c>
      <c r="AH507" s="2940" t="s">
        <v>22</v>
      </c>
      <c r="AI507" s="2377" t="s">
        <v>22</v>
      </c>
      <c r="AJ507" s="842" t="s">
        <v>22</v>
      </c>
      <c r="AK507" s="2377" t="s">
        <v>22</v>
      </c>
      <c r="AL507" s="842" t="s">
        <v>22</v>
      </c>
      <c r="AM507" s="1549"/>
      <c r="AN507" s="1659"/>
      <c r="AO507" s="1659"/>
      <c r="AP507" s="1659"/>
      <c r="AQ507" s="1659"/>
      <c r="AR507" s="1659"/>
      <c r="AS507" s="1659"/>
      <c r="AT507" s="1659"/>
      <c r="AU507" s="1659"/>
      <c r="AV507" s="1659"/>
      <c r="AW507" s="699"/>
      <c r="AX507" s="1659">
        <v>0</v>
      </c>
    </row>
    <row s="1874" customFormat="1" customHeight="1" ht="15">
      <c r="A508" s="1659"/>
      <c r="B508" s="2421"/>
      <c r="C508" s="2422"/>
      <c r="D508" s="713" t="str">
        <f>B507&amp;".2"</f>
        <v>3.157.2</v>
      </c>
      <c r="E508" s="1691" t="s">
        <v>1040</v>
      </c>
      <c r="F508" s="2287" t="s">
        <v>390</v>
      </c>
      <c r="G508" s="1762" t="s">
        <v>22</v>
      </c>
      <c r="H508" s="842" t="s">
        <v>22</v>
      </c>
      <c r="I508" s="1762" t="s">
        <v>22</v>
      </c>
      <c r="J508" s="842" t="s">
        <v>22</v>
      </c>
      <c r="K508" s="1762" t="s">
        <v>22</v>
      </c>
      <c r="L508" s="842" t="s">
        <v>22</v>
      </c>
      <c r="M508" s="2943" t="s">
        <v>22</v>
      </c>
      <c r="N508" s="2940" t="s">
        <v>22</v>
      </c>
      <c r="O508" s="1762" t="s">
        <v>22</v>
      </c>
      <c r="P508" s="842" t="s">
        <v>22</v>
      </c>
      <c r="Q508" s="1762">
        <v>46137</v>
      </c>
      <c r="R508" s="842" t="s">
        <v>22</v>
      </c>
      <c r="S508" s="1762"/>
      <c r="T508" s="842" t="s">
        <v>22</v>
      </c>
      <c r="U508" s="1762" t="s">
        <v>22</v>
      </c>
      <c r="V508" s="842" t="s">
        <v>22</v>
      </c>
      <c r="W508" s="1762" t="s">
        <v>22</v>
      </c>
      <c r="X508" s="842" t="s">
        <v>22</v>
      </c>
      <c r="Y508" s="1762" t="s">
        <v>22</v>
      </c>
      <c r="Z508" s="842" t="s">
        <v>22</v>
      </c>
      <c r="AA508" s="2943" t="s">
        <v>22</v>
      </c>
      <c r="AB508" s="2940" t="s">
        <v>22</v>
      </c>
      <c r="AC508" s="1762" t="s">
        <v>22</v>
      </c>
      <c r="AD508" s="842" t="s">
        <v>22</v>
      </c>
      <c r="AE508" s="1762" t="s">
        <v>22</v>
      </c>
      <c r="AF508" s="842" t="s">
        <v>22</v>
      </c>
      <c r="AG508" s="2943" t="s">
        <v>22</v>
      </c>
      <c r="AH508" s="2940" t="s">
        <v>22</v>
      </c>
      <c r="AI508" s="1762" t="s">
        <v>22</v>
      </c>
      <c r="AJ508" s="842" t="s">
        <v>22</v>
      </c>
      <c r="AK508" s="1762" t="s">
        <v>22</v>
      </c>
      <c r="AL508" s="842" t="s">
        <v>22</v>
      </c>
      <c r="AM508" s="1549" t="s">
        <v>1041</v>
      </c>
      <c r="AN508" s="1659"/>
      <c r="AO508" s="1659"/>
      <c r="AP508" s="1659"/>
      <c r="AQ508" s="1659"/>
      <c r="AR508" s="1659"/>
      <c r="AS508" s="1659"/>
      <c r="AT508" s="1659"/>
      <c r="AU508" s="1659"/>
      <c r="AV508" s="1659"/>
      <c r="AW508" s="699"/>
      <c r="AX508" s="1659">
        <v>0</v>
      </c>
    </row>
    <row s="1874" customFormat="1" customHeight="1" ht="15">
      <c r="A509" s="1659"/>
      <c r="B509" s="2421"/>
      <c r="C509" s="2422"/>
      <c r="D509" s="713" t="str">
        <f>B507&amp;".3"</f>
        <v>3.157.3</v>
      </c>
      <c r="E509" s="1691" t="s">
        <v>1042</v>
      </c>
      <c r="F509" s="2287" t="s">
        <v>390</v>
      </c>
      <c r="G509" s="1762" t="s">
        <v>22</v>
      </c>
      <c r="H509" s="842" t="s">
        <v>22</v>
      </c>
      <c r="I509" s="1762" t="s">
        <v>22</v>
      </c>
      <c r="J509" s="842" t="s">
        <v>22</v>
      </c>
      <c r="K509" s="1762" t="s">
        <v>22</v>
      </c>
      <c r="L509" s="842" t="s">
        <v>22</v>
      </c>
      <c r="M509" s="2943" t="s">
        <v>22</v>
      </c>
      <c r="N509" s="2940" t="s">
        <v>22</v>
      </c>
      <c r="O509" s="1762" t="s">
        <v>22</v>
      </c>
      <c r="P509" s="842" t="s">
        <v>22</v>
      </c>
      <c r="Q509" s="1762" t="s">
        <v>22</v>
      </c>
      <c r="R509" s="842" t="s">
        <v>22</v>
      </c>
      <c r="S509" s="1762"/>
      <c r="T509" s="842" t="s">
        <v>22</v>
      </c>
      <c r="U509" s="1762" t="s">
        <v>22</v>
      </c>
      <c r="V509" s="842" t="s">
        <v>22</v>
      </c>
      <c r="W509" s="1762" t="s">
        <v>22</v>
      </c>
      <c r="X509" s="842" t="s">
        <v>22</v>
      </c>
      <c r="Y509" s="1762" t="s">
        <v>22</v>
      </c>
      <c r="Z509" s="842" t="s">
        <v>22</v>
      </c>
      <c r="AA509" s="2943" t="s">
        <v>22</v>
      </c>
      <c r="AB509" s="2940" t="s">
        <v>22</v>
      </c>
      <c r="AC509" s="1762" t="s">
        <v>22</v>
      </c>
      <c r="AD509" s="842" t="s">
        <v>22</v>
      </c>
      <c r="AE509" s="1762" t="s">
        <v>22</v>
      </c>
      <c r="AF509" s="842" t="s">
        <v>22</v>
      </c>
      <c r="AG509" s="2943" t="s">
        <v>22</v>
      </c>
      <c r="AH509" s="2940" t="s">
        <v>22</v>
      </c>
      <c r="AI509" s="1762" t="s">
        <v>22</v>
      </c>
      <c r="AJ509" s="842" t="s">
        <v>22</v>
      </c>
      <c r="AK509" s="1762" t="s">
        <v>22</v>
      </c>
      <c r="AL509" s="842" t="s">
        <v>22</v>
      </c>
      <c r="AM509" s="1549" t="s">
        <v>1043</v>
      </c>
      <c r="AN509" s="1659"/>
      <c r="AO509" s="1659"/>
      <c r="AP509" s="1659"/>
      <c r="AQ509" s="1659"/>
      <c r="AR509" s="1659"/>
      <c r="AS509" s="1659"/>
      <c r="AT509" s="1659"/>
      <c r="AU509" s="1659"/>
      <c r="AV509" s="1659"/>
      <c r="AW509" s="699"/>
      <c r="AX509" s="1659">
        <v>0</v>
      </c>
    </row>
    <row s="1874" customFormat="1" customHeight="1" ht="22.5">
      <c r="A510" s="1659"/>
      <c r="B510" s="2421" t="s">
        <v>1243</v>
      </c>
      <c r="C510" s="2422" t="s">
        <v>104</v>
      </c>
      <c r="D510" s="713" t="str">
        <f>B510&amp;".1"</f>
        <v>3.158.1</v>
      </c>
      <c r="E510" s="1691" t="s">
        <v>1039</v>
      </c>
      <c r="F510" s="2287" t="s">
        <v>390</v>
      </c>
      <c r="G510" s="2377" t="s">
        <v>22</v>
      </c>
      <c r="H510" s="842" t="s">
        <v>22</v>
      </c>
      <c r="I510" s="2377" t="s">
        <v>22</v>
      </c>
      <c r="J510" s="842" t="s">
        <v>22</v>
      </c>
      <c r="K510" s="2377" t="s">
        <v>22</v>
      </c>
      <c r="L510" s="842" t="s">
        <v>22</v>
      </c>
      <c r="M510" s="2942" t="s">
        <v>22</v>
      </c>
      <c r="N510" s="2940" t="s">
        <v>22</v>
      </c>
      <c r="O510" s="2377" t="s">
        <v>22</v>
      </c>
      <c r="P510" s="842" t="s">
        <v>22</v>
      </c>
      <c r="Q510" s="2377" t="s">
        <v>1064</v>
      </c>
      <c r="R510" s="842" t="s">
        <v>22</v>
      </c>
      <c r="S510" s="2377"/>
      <c r="T510" s="842" t="s">
        <v>22</v>
      </c>
      <c r="U510" s="2377" t="s">
        <v>22</v>
      </c>
      <c r="V510" s="842" t="s">
        <v>22</v>
      </c>
      <c r="W510" s="2377" t="s">
        <v>22</v>
      </c>
      <c r="X510" s="842" t="s">
        <v>22</v>
      </c>
      <c r="Y510" s="2377" t="s">
        <v>22</v>
      </c>
      <c r="Z510" s="842" t="s">
        <v>22</v>
      </c>
      <c r="AA510" s="2942" t="s">
        <v>22</v>
      </c>
      <c r="AB510" s="2940" t="s">
        <v>22</v>
      </c>
      <c r="AC510" s="2377" t="s">
        <v>22</v>
      </c>
      <c r="AD510" s="842" t="s">
        <v>22</v>
      </c>
      <c r="AE510" s="2377" t="s">
        <v>22</v>
      </c>
      <c r="AF510" s="842" t="s">
        <v>22</v>
      </c>
      <c r="AG510" s="2942" t="s">
        <v>22</v>
      </c>
      <c r="AH510" s="2940" t="s">
        <v>22</v>
      </c>
      <c r="AI510" s="2377" t="s">
        <v>22</v>
      </c>
      <c r="AJ510" s="842" t="s">
        <v>22</v>
      </c>
      <c r="AK510" s="2377" t="s">
        <v>22</v>
      </c>
      <c r="AL510" s="842" t="s">
        <v>22</v>
      </c>
      <c r="AM510" s="1549"/>
      <c r="AN510" s="1659"/>
      <c r="AO510" s="1659"/>
      <c r="AP510" s="1659"/>
      <c r="AQ510" s="1659"/>
      <c r="AR510" s="1659"/>
      <c r="AS510" s="1659"/>
      <c r="AT510" s="1659"/>
      <c r="AU510" s="1659"/>
      <c r="AV510" s="1659"/>
      <c r="AW510" s="699"/>
      <c r="AX510" s="1659">
        <v>0</v>
      </c>
    </row>
    <row s="1874" customFormat="1" customHeight="1" ht="15">
      <c r="A511" s="1659"/>
      <c r="B511" s="2421"/>
      <c r="C511" s="2422"/>
      <c r="D511" s="713" t="str">
        <f>B510&amp;".2"</f>
        <v>3.158.2</v>
      </c>
      <c r="E511" s="1691" t="s">
        <v>1040</v>
      </c>
      <c r="F511" s="2287" t="s">
        <v>390</v>
      </c>
      <c r="G511" s="1762" t="s">
        <v>22</v>
      </c>
      <c r="H511" s="842" t="s">
        <v>22</v>
      </c>
      <c r="I511" s="1762" t="s">
        <v>22</v>
      </c>
      <c r="J511" s="842" t="s">
        <v>22</v>
      </c>
      <c r="K511" s="1762" t="s">
        <v>22</v>
      </c>
      <c r="L511" s="842" t="s">
        <v>22</v>
      </c>
      <c r="M511" s="2943" t="s">
        <v>22</v>
      </c>
      <c r="N511" s="2940" t="s">
        <v>22</v>
      </c>
      <c r="O511" s="1762" t="s">
        <v>22</v>
      </c>
      <c r="P511" s="842" t="s">
        <v>22</v>
      </c>
      <c r="Q511" s="1762">
        <v>46139</v>
      </c>
      <c r="R511" s="842" t="s">
        <v>22</v>
      </c>
      <c r="S511" s="1762"/>
      <c r="T511" s="842" t="s">
        <v>22</v>
      </c>
      <c r="U511" s="1762" t="s">
        <v>22</v>
      </c>
      <c r="V511" s="842" t="s">
        <v>22</v>
      </c>
      <c r="W511" s="1762" t="s">
        <v>22</v>
      </c>
      <c r="X511" s="842" t="s">
        <v>22</v>
      </c>
      <c r="Y511" s="1762" t="s">
        <v>22</v>
      </c>
      <c r="Z511" s="842" t="s">
        <v>22</v>
      </c>
      <c r="AA511" s="2943" t="s">
        <v>22</v>
      </c>
      <c r="AB511" s="2940" t="s">
        <v>22</v>
      </c>
      <c r="AC511" s="1762" t="s">
        <v>22</v>
      </c>
      <c r="AD511" s="842" t="s">
        <v>22</v>
      </c>
      <c r="AE511" s="1762" t="s">
        <v>22</v>
      </c>
      <c r="AF511" s="842" t="s">
        <v>22</v>
      </c>
      <c r="AG511" s="2943" t="s">
        <v>22</v>
      </c>
      <c r="AH511" s="2940" t="s">
        <v>22</v>
      </c>
      <c r="AI511" s="1762" t="s">
        <v>22</v>
      </c>
      <c r="AJ511" s="842" t="s">
        <v>22</v>
      </c>
      <c r="AK511" s="1762" t="s">
        <v>22</v>
      </c>
      <c r="AL511" s="842" t="s">
        <v>22</v>
      </c>
      <c r="AM511" s="1549" t="s">
        <v>1041</v>
      </c>
      <c r="AN511" s="1659"/>
      <c r="AO511" s="1659"/>
      <c r="AP511" s="1659"/>
      <c r="AQ511" s="1659"/>
      <c r="AR511" s="1659"/>
      <c r="AS511" s="1659"/>
      <c r="AT511" s="1659"/>
      <c r="AU511" s="1659"/>
      <c r="AV511" s="1659"/>
      <c r="AW511" s="699"/>
      <c r="AX511" s="1659">
        <v>0</v>
      </c>
    </row>
    <row s="1874" customFormat="1" customHeight="1" ht="15">
      <c r="A512" s="1659"/>
      <c r="B512" s="2421"/>
      <c r="C512" s="2422"/>
      <c r="D512" s="713" t="str">
        <f>B510&amp;".3"</f>
        <v>3.158.3</v>
      </c>
      <c r="E512" s="1691" t="s">
        <v>1042</v>
      </c>
      <c r="F512" s="2287" t="s">
        <v>390</v>
      </c>
      <c r="G512" s="1762" t="s">
        <v>22</v>
      </c>
      <c r="H512" s="842" t="s">
        <v>22</v>
      </c>
      <c r="I512" s="1762" t="s">
        <v>22</v>
      </c>
      <c r="J512" s="842" t="s">
        <v>22</v>
      </c>
      <c r="K512" s="1762" t="s">
        <v>22</v>
      </c>
      <c r="L512" s="842" t="s">
        <v>22</v>
      </c>
      <c r="M512" s="2943" t="s">
        <v>22</v>
      </c>
      <c r="N512" s="2940" t="s">
        <v>22</v>
      </c>
      <c r="O512" s="1762" t="s">
        <v>22</v>
      </c>
      <c r="P512" s="842" t="s">
        <v>22</v>
      </c>
      <c r="Q512" s="1762" t="s">
        <v>22</v>
      </c>
      <c r="R512" s="842" t="s">
        <v>22</v>
      </c>
      <c r="S512" s="1762"/>
      <c r="T512" s="842" t="s">
        <v>22</v>
      </c>
      <c r="U512" s="1762" t="s">
        <v>22</v>
      </c>
      <c r="V512" s="842" t="s">
        <v>22</v>
      </c>
      <c r="W512" s="1762" t="s">
        <v>22</v>
      </c>
      <c r="X512" s="842" t="s">
        <v>22</v>
      </c>
      <c r="Y512" s="1762" t="s">
        <v>22</v>
      </c>
      <c r="Z512" s="842" t="s">
        <v>22</v>
      </c>
      <c r="AA512" s="2943" t="s">
        <v>22</v>
      </c>
      <c r="AB512" s="2940" t="s">
        <v>22</v>
      </c>
      <c r="AC512" s="1762" t="s">
        <v>22</v>
      </c>
      <c r="AD512" s="842" t="s">
        <v>22</v>
      </c>
      <c r="AE512" s="1762" t="s">
        <v>22</v>
      </c>
      <c r="AF512" s="842" t="s">
        <v>22</v>
      </c>
      <c r="AG512" s="2943" t="s">
        <v>22</v>
      </c>
      <c r="AH512" s="2940" t="s">
        <v>22</v>
      </c>
      <c r="AI512" s="1762" t="s">
        <v>22</v>
      </c>
      <c r="AJ512" s="842" t="s">
        <v>22</v>
      </c>
      <c r="AK512" s="1762" t="s">
        <v>22</v>
      </c>
      <c r="AL512" s="842" t="s">
        <v>22</v>
      </c>
      <c r="AM512" s="1549" t="s">
        <v>1043</v>
      </c>
      <c r="AN512" s="1659"/>
      <c r="AO512" s="1659"/>
      <c r="AP512" s="1659"/>
      <c r="AQ512" s="1659"/>
      <c r="AR512" s="1659"/>
      <c r="AS512" s="1659"/>
      <c r="AT512" s="1659"/>
      <c r="AU512" s="1659"/>
      <c r="AV512" s="1659"/>
      <c r="AW512" s="699"/>
      <c r="AX512" s="1659">
        <v>0</v>
      </c>
    </row>
    <row s="1874" customFormat="1" customHeight="1" ht="22.5">
      <c r="A513" s="1659"/>
      <c r="B513" s="2421" t="s">
        <v>1244</v>
      </c>
      <c r="C513" s="2422" t="s">
        <v>104</v>
      </c>
      <c r="D513" s="713" t="str">
        <f>B513&amp;".1"</f>
        <v>3.159.1</v>
      </c>
      <c r="E513" s="1691" t="s">
        <v>1039</v>
      </c>
      <c r="F513" s="2287" t="s">
        <v>390</v>
      </c>
      <c r="G513" s="2377" t="s">
        <v>22</v>
      </c>
      <c r="H513" s="842" t="s">
        <v>22</v>
      </c>
      <c r="I513" s="2377" t="s">
        <v>22</v>
      </c>
      <c r="J513" s="842" t="s">
        <v>22</v>
      </c>
      <c r="K513" s="2377" t="s">
        <v>22</v>
      </c>
      <c r="L513" s="842" t="s">
        <v>22</v>
      </c>
      <c r="M513" s="2942" t="s">
        <v>22</v>
      </c>
      <c r="N513" s="2940" t="s">
        <v>22</v>
      </c>
      <c r="O513" s="2377" t="s">
        <v>22</v>
      </c>
      <c r="P513" s="842" t="s">
        <v>22</v>
      </c>
      <c r="Q513" s="2377" t="s">
        <v>1059</v>
      </c>
      <c r="R513" s="842" t="s">
        <v>22</v>
      </c>
      <c r="S513" s="2377"/>
      <c r="T513" s="842" t="s">
        <v>22</v>
      </c>
      <c r="U513" s="2377" t="s">
        <v>22</v>
      </c>
      <c r="V513" s="842" t="s">
        <v>22</v>
      </c>
      <c r="W513" s="2377" t="s">
        <v>22</v>
      </c>
      <c r="X513" s="842" t="s">
        <v>22</v>
      </c>
      <c r="Y513" s="2377" t="s">
        <v>22</v>
      </c>
      <c r="Z513" s="842" t="s">
        <v>22</v>
      </c>
      <c r="AA513" s="2942" t="s">
        <v>22</v>
      </c>
      <c r="AB513" s="2940" t="s">
        <v>22</v>
      </c>
      <c r="AC513" s="2377" t="s">
        <v>22</v>
      </c>
      <c r="AD513" s="842" t="s">
        <v>22</v>
      </c>
      <c r="AE513" s="2377" t="s">
        <v>22</v>
      </c>
      <c r="AF513" s="842" t="s">
        <v>22</v>
      </c>
      <c r="AG513" s="2942" t="s">
        <v>22</v>
      </c>
      <c r="AH513" s="2940" t="s">
        <v>22</v>
      </c>
      <c r="AI513" s="2377" t="s">
        <v>22</v>
      </c>
      <c r="AJ513" s="842" t="s">
        <v>22</v>
      </c>
      <c r="AK513" s="2377" t="s">
        <v>22</v>
      </c>
      <c r="AL513" s="842" t="s">
        <v>22</v>
      </c>
      <c r="AM513" s="1549"/>
      <c r="AN513" s="1659"/>
      <c r="AO513" s="1659"/>
      <c r="AP513" s="1659"/>
      <c r="AQ513" s="1659"/>
      <c r="AR513" s="1659"/>
      <c r="AS513" s="1659"/>
      <c r="AT513" s="1659"/>
      <c r="AU513" s="1659"/>
      <c r="AV513" s="1659"/>
      <c r="AW513" s="699"/>
      <c r="AX513" s="1659">
        <v>0</v>
      </c>
    </row>
    <row s="1874" customFormat="1" customHeight="1" ht="15">
      <c r="A514" s="1659"/>
      <c r="B514" s="2421"/>
      <c r="C514" s="2422"/>
      <c r="D514" s="713" t="str">
        <f>B513&amp;".2"</f>
        <v>3.159.2</v>
      </c>
      <c r="E514" s="1691" t="s">
        <v>1040</v>
      </c>
      <c r="F514" s="2287" t="s">
        <v>390</v>
      </c>
      <c r="G514" s="1762" t="s">
        <v>22</v>
      </c>
      <c r="H514" s="842" t="s">
        <v>22</v>
      </c>
      <c r="I514" s="1762" t="s">
        <v>22</v>
      </c>
      <c r="J514" s="842" t="s">
        <v>22</v>
      </c>
      <c r="K514" s="1762" t="s">
        <v>22</v>
      </c>
      <c r="L514" s="842" t="s">
        <v>22</v>
      </c>
      <c r="M514" s="2943" t="s">
        <v>22</v>
      </c>
      <c r="N514" s="2940" t="s">
        <v>22</v>
      </c>
      <c r="O514" s="1762" t="s">
        <v>22</v>
      </c>
      <c r="P514" s="842" t="s">
        <v>22</v>
      </c>
      <c r="Q514" s="1762">
        <v>46139</v>
      </c>
      <c r="R514" s="842" t="s">
        <v>22</v>
      </c>
      <c r="S514" s="1762"/>
      <c r="T514" s="842" t="s">
        <v>22</v>
      </c>
      <c r="U514" s="1762" t="s">
        <v>22</v>
      </c>
      <c r="V514" s="842" t="s">
        <v>22</v>
      </c>
      <c r="W514" s="1762" t="s">
        <v>22</v>
      </c>
      <c r="X514" s="842" t="s">
        <v>22</v>
      </c>
      <c r="Y514" s="1762" t="s">
        <v>22</v>
      </c>
      <c r="Z514" s="842" t="s">
        <v>22</v>
      </c>
      <c r="AA514" s="2943" t="s">
        <v>22</v>
      </c>
      <c r="AB514" s="2940" t="s">
        <v>22</v>
      </c>
      <c r="AC514" s="1762" t="s">
        <v>22</v>
      </c>
      <c r="AD514" s="842" t="s">
        <v>22</v>
      </c>
      <c r="AE514" s="1762" t="s">
        <v>22</v>
      </c>
      <c r="AF514" s="842" t="s">
        <v>22</v>
      </c>
      <c r="AG514" s="2943" t="s">
        <v>22</v>
      </c>
      <c r="AH514" s="2940" t="s">
        <v>22</v>
      </c>
      <c r="AI514" s="1762" t="s">
        <v>22</v>
      </c>
      <c r="AJ514" s="842" t="s">
        <v>22</v>
      </c>
      <c r="AK514" s="1762" t="s">
        <v>22</v>
      </c>
      <c r="AL514" s="842" t="s">
        <v>22</v>
      </c>
      <c r="AM514" s="1549" t="s">
        <v>1041</v>
      </c>
      <c r="AN514" s="1659"/>
      <c r="AO514" s="1659"/>
      <c r="AP514" s="1659"/>
      <c r="AQ514" s="1659"/>
      <c r="AR514" s="1659"/>
      <c r="AS514" s="1659"/>
      <c r="AT514" s="1659"/>
      <c r="AU514" s="1659"/>
      <c r="AV514" s="1659"/>
      <c r="AW514" s="699"/>
      <c r="AX514" s="1659">
        <v>0</v>
      </c>
    </row>
    <row s="1874" customFormat="1" customHeight="1" ht="15">
      <c r="A515" s="1659"/>
      <c r="B515" s="2421"/>
      <c r="C515" s="2422"/>
      <c r="D515" s="713" t="str">
        <f>B513&amp;".3"</f>
        <v>3.159.3</v>
      </c>
      <c r="E515" s="1691" t="s">
        <v>1042</v>
      </c>
      <c r="F515" s="2287" t="s">
        <v>390</v>
      </c>
      <c r="G515" s="1762" t="s">
        <v>22</v>
      </c>
      <c r="H515" s="842" t="s">
        <v>22</v>
      </c>
      <c r="I515" s="1762" t="s">
        <v>22</v>
      </c>
      <c r="J515" s="842" t="s">
        <v>22</v>
      </c>
      <c r="K515" s="1762" t="s">
        <v>22</v>
      </c>
      <c r="L515" s="842" t="s">
        <v>22</v>
      </c>
      <c r="M515" s="2943" t="s">
        <v>22</v>
      </c>
      <c r="N515" s="2940" t="s">
        <v>22</v>
      </c>
      <c r="O515" s="1762" t="s">
        <v>22</v>
      </c>
      <c r="P515" s="842" t="s">
        <v>22</v>
      </c>
      <c r="Q515" s="1762" t="s">
        <v>22</v>
      </c>
      <c r="R515" s="842" t="s">
        <v>22</v>
      </c>
      <c r="S515" s="1762"/>
      <c r="T515" s="842" t="s">
        <v>22</v>
      </c>
      <c r="U515" s="1762" t="s">
        <v>22</v>
      </c>
      <c r="V515" s="842" t="s">
        <v>22</v>
      </c>
      <c r="W515" s="1762" t="s">
        <v>22</v>
      </c>
      <c r="X515" s="842" t="s">
        <v>22</v>
      </c>
      <c r="Y515" s="1762" t="s">
        <v>22</v>
      </c>
      <c r="Z515" s="842" t="s">
        <v>22</v>
      </c>
      <c r="AA515" s="2943" t="s">
        <v>22</v>
      </c>
      <c r="AB515" s="2940" t="s">
        <v>22</v>
      </c>
      <c r="AC515" s="1762" t="s">
        <v>22</v>
      </c>
      <c r="AD515" s="842" t="s">
        <v>22</v>
      </c>
      <c r="AE515" s="1762" t="s">
        <v>22</v>
      </c>
      <c r="AF515" s="842" t="s">
        <v>22</v>
      </c>
      <c r="AG515" s="2943" t="s">
        <v>22</v>
      </c>
      <c r="AH515" s="2940" t="s">
        <v>22</v>
      </c>
      <c r="AI515" s="1762" t="s">
        <v>22</v>
      </c>
      <c r="AJ515" s="842" t="s">
        <v>22</v>
      </c>
      <c r="AK515" s="1762" t="s">
        <v>22</v>
      </c>
      <c r="AL515" s="842" t="s">
        <v>22</v>
      </c>
      <c r="AM515" s="1549" t="s">
        <v>1043</v>
      </c>
      <c r="AN515" s="1659"/>
      <c r="AO515" s="1659"/>
      <c r="AP515" s="1659"/>
      <c r="AQ515" s="1659"/>
      <c r="AR515" s="1659"/>
      <c r="AS515" s="1659"/>
      <c r="AT515" s="1659"/>
      <c r="AU515" s="1659"/>
      <c r="AV515" s="1659"/>
      <c r="AW515" s="699"/>
      <c r="AX515" s="1659">
        <v>0</v>
      </c>
    </row>
    <row s="1874" customFormat="1" customHeight="1" ht="22.5">
      <c r="A516" s="1659"/>
      <c r="B516" s="2421" t="s">
        <v>1245</v>
      </c>
      <c r="C516" s="2422" t="s">
        <v>104</v>
      </c>
      <c r="D516" s="713" t="str">
        <f>B516&amp;".1"</f>
        <v>3.160.1</v>
      </c>
      <c r="E516" s="1691" t="s">
        <v>1039</v>
      </c>
      <c r="F516" s="2287" t="s">
        <v>390</v>
      </c>
      <c r="G516" s="2377" t="s">
        <v>22</v>
      </c>
      <c r="H516" s="842" t="s">
        <v>22</v>
      </c>
      <c r="I516" s="2377" t="s">
        <v>22</v>
      </c>
      <c r="J516" s="842" t="s">
        <v>22</v>
      </c>
      <c r="K516" s="2377" t="s">
        <v>22</v>
      </c>
      <c r="L516" s="842" t="s">
        <v>22</v>
      </c>
      <c r="M516" s="2942" t="s">
        <v>22</v>
      </c>
      <c r="N516" s="2940" t="s">
        <v>22</v>
      </c>
      <c r="O516" s="2377" t="s">
        <v>22</v>
      </c>
      <c r="P516" s="842" t="s">
        <v>22</v>
      </c>
      <c r="Q516" s="2377" t="s">
        <v>1059</v>
      </c>
      <c r="R516" s="842" t="s">
        <v>22</v>
      </c>
      <c r="S516" s="2377"/>
      <c r="T516" s="842" t="s">
        <v>22</v>
      </c>
      <c r="U516" s="2377" t="s">
        <v>22</v>
      </c>
      <c r="V516" s="842" t="s">
        <v>22</v>
      </c>
      <c r="W516" s="2377" t="s">
        <v>22</v>
      </c>
      <c r="X516" s="842" t="s">
        <v>22</v>
      </c>
      <c r="Y516" s="2377" t="s">
        <v>22</v>
      </c>
      <c r="Z516" s="842" t="s">
        <v>22</v>
      </c>
      <c r="AA516" s="2942" t="s">
        <v>22</v>
      </c>
      <c r="AB516" s="2940" t="s">
        <v>22</v>
      </c>
      <c r="AC516" s="2377" t="s">
        <v>22</v>
      </c>
      <c r="AD516" s="842" t="s">
        <v>22</v>
      </c>
      <c r="AE516" s="2377" t="s">
        <v>22</v>
      </c>
      <c r="AF516" s="842" t="s">
        <v>22</v>
      </c>
      <c r="AG516" s="2942" t="s">
        <v>22</v>
      </c>
      <c r="AH516" s="2940" t="s">
        <v>22</v>
      </c>
      <c r="AI516" s="2377" t="s">
        <v>22</v>
      </c>
      <c r="AJ516" s="842" t="s">
        <v>22</v>
      </c>
      <c r="AK516" s="2377" t="s">
        <v>22</v>
      </c>
      <c r="AL516" s="842" t="s">
        <v>22</v>
      </c>
      <c r="AM516" s="1549"/>
      <c r="AN516" s="1659"/>
      <c r="AO516" s="1659"/>
      <c r="AP516" s="1659"/>
      <c r="AQ516" s="1659"/>
      <c r="AR516" s="1659"/>
      <c r="AS516" s="1659"/>
      <c r="AT516" s="1659"/>
      <c r="AU516" s="1659"/>
      <c r="AV516" s="1659"/>
      <c r="AW516" s="699"/>
      <c r="AX516" s="1659">
        <v>0</v>
      </c>
    </row>
    <row s="1874" customFormat="1" customHeight="1" ht="15">
      <c r="A517" s="1659"/>
      <c r="B517" s="2421"/>
      <c r="C517" s="2422"/>
      <c r="D517" s="713" t="str">
        <f>B516&amp;".2"</f>
        <v>3.160.2</v>
      </c>
      <c r="E517" s="1691" t="s">
        <v>1040</v>
      </c>
      <c r="F517" s="2287" t="s">
        <v>390</v>
      </c>
      <c r="G517" s="1762" t="s">
        <v>22</v>
      </c>
      <c r="H517" s="842" t="s">
        <v>22</v>
      </c>
      <c r="I517" s="1762" t="s">
        <v>22</v>
      </c>
      <c r="J517" s="842" t="s">
        <v>22</v>
      </c>
      <c r="K517" s="1762" t="s">
        <v>22</v>
      </c>
      <c r="L517" s="842" t="s">
        <v>22</v>
      </c>
      <c r="M517" s="2943" t="s">
        <v>22</v>
      </c>
      <c r="N517" s="2940" t="s">
        <v>22</v>
      </c>
      <c r="O517" s="1762" t="s">
        <v>22</v>
      </c>
      <c r="P517" s="842" t="s">
        <v>22</v>
      </c>
      <c r="Q517" s="1762">
        <v>46139</v>
      </c>
      <c r="R517" s="842" t="s">
        <v>22</v>
      </c>
      <c r="S517" s="1762"/>
      <c r="T517" s="842" t="s">
        <v>22</v>
      </c>
      <c r="U517" s="1762" t="s">
        <v>22</v>
      </c>
      <c r="V517" s="842" t="s">
        <v>22</v>
      </c>
      <c r="W517" s="1762" t="s">
        <v>22</v>
      </c>
      <c r="X517" s="842" t="s">
        <v>22</v>
      </c>
      <c r="Y517" s="1762" t="s">
        <v>22</v>
      </c>
      <c r="Z517" s="842" t="s">
        <v>22</v>
      </c>
      <c r="AA517" s="2943" t="s">
        <v>22</v>
      </c>
      <c r="AB517" s="2940" t="s">
        <v>22</v>
      </c>
      <c r="AC517" s="1762" t="s">
        <v>22</v>
      </c>
      <c r="AD517" s="842" t="s">
        <v>22</v>
      </c>
      <c r="AE517" s="1762" t="s">
        <v>22</v>
      </c>
      <c r="AF517" s="842" t="s">
        <v>22</v>
      </c>
      <c r="AG517" s="2943" t="s">
        <v>22</v>
      </c>
      <c r="AH517" s="2940" t="s">
        <v>22</v>
      </c>
      <c r="AI517" s="1762" t="s">
        <v>22</v>
      </c>
      <c r="AJ517" s="842" t="s">
        <v>22</v>
      </c>
      <c r="AK517" s="1762" t="s">
        <v>22</v>
      </c>
      <c r="AL517" s="842" t="s">
        <v>22</v>
      </c>
      <c r="AM517" s="1549" t="s">
        <v>1041</v>
      </c>
      <c r="AN517" s="1659"/>
      <c r="AO517" s="1659"/>
      <c r="AP517" s="1659"/>
      <c r="AQ517" s="1659"/>
      <c r="AR517" s="1659"/>
      <c r="AS517" s="1659"/>
      <c r="AT517" s="1659"/>
      <c r="AU517" s="1659"/>
      <c r="AV517" s="1659"/>
      <c r="AW517" s="699"/>
      <c r="AX517" s="1659">
        <v>0</v>
      </c>
    </row>
    <row s="1874" customFormat="1" customHeight="1" ht="15">
      <c r="A518" s="1659"/>
      <c r="B518" s="2421"/>
      <c r="C518" s="2422"/>
      <c r="D518" s="713" t="str">
        <f>B516&amp;".3"</f>
        <v>3.160.3</v>
      </c>
      <c r="E518" s="1691" t="s">
        <v>1042</v>
      </c>
      <c r="F518" s="2287" t="s">
        <v>390</v>
      </c>
      <c r="G518" s="1762" t="s">
        <v>22</v>
      </c>
      <c r="H518" s="842" t="s">
        <v>22</v>
      </c>
      <c r="I518" s="1762" t="s">
        <v>22</v>
      </c>
      <c r="J518" s="842" t="s">
        <v>22</v>
      </c>
      <c r="K518" s="1762" t="s">
        <v>22</v>
      </c>
      <c r="L518" s="842" t="s">
        <v>22</v>
      </c>
      <c r="M518" s="2943" t="s">
        <v>22</v>
      </c>
      <c r="N518" s="2940" t="s">
        <v>22</v>
      </c>
      <c r="O518" s="1762" t="s">
        <v>22</v>
      </c>
      <c r="P518" s="842" t="s">
        <v>22</v>
      </c>
      <c r="Q518" s="1762" t="s">
        <v>22</v>
      </c>
      <c r="R518" s="842" t="s">
        <v>22</v>
      </c>
      <c r="S518" s="1762"/>
      <c r="T518" s="842" t="s">
        <v>22</v>
      </c>
      <c r="U518" s="1762" t="s">
        <v>22</v>
      </c>
      <c r="V518" s="842" t="s">
        <v>22</v>
      </c>
      <c r="W518" s="1762" t="s">
        <v>22</v>
      </c>
      <c r="X518" s="842" t="s">
        <v>22</v>
      </c>
      <c r="Y518" s="1762" t="s">
        <v>22</v>
      </c>
      <c r="Z518" s="842" t="s">
        <v>22</v>
      </c>
      <c r="AA518" s="2943" t="s">
        <v>22</v>
      </c>
      <c r="AB518" s="2940" t="s">
        <v>22</v>
      </c>
      <c r="AC518" s="1762" t="s">
        <v>22</v>
      </c>
      <c r="AD518" s="842" t="s">
        <v>22</v>
      </c>
      <c r="AE518" s="1762" t="s">
        <v>22</v>
      </c>
      <c r="AF518" s="842" t="s">
        <v>22</v>
      </c>
      <c r="AG518" s="2943" t="s">
        <v>22</v>
      </c>
      <c r="AH518" s="2940" t="s">
        <v>22</v>
      </c>
      <c r="AI518" s="1762" t="s">
        <v>22</v>
      </c>
      <c r="AJ518" s="842" t="s">
        <v>22</v>
      </c>
      <c r="AK518" s="1762" t="s">
        <v>22</v>
      </c>
      <c r="AL518" s="842" t="s">
        <v>22</v>
      </c>
      <c r="AM518" s="1549" t="s">
        <v>1043</v>
      </c>
      <c r="AN518" s="1659"/>
      <c r="AO518" s="1659"/>
      <c r="AP518" s="1659"/>
      <c r="AQ518" s="1659"/>
      <c r="AR518" s="1659"/>
      <c r="AS518" s="1659"/>
      <c r="AT518" s="1659"/>
      <c r="AU518" s="1659"/>
      <c r="AV518" s="1659"/>
      <c r="AW518" s="699"/>
      <c r="AX518" s="1659">
        <v>0</v>
      </c>
    </row>
    <row s="1874" customFormat="1" customHeight="1" ht="22.5">
      <c r="A519" s="1659"/>
      <c r="B519" s="2421" t="s">
        <v>1246</v>
      </c>
      <c r="C519" s="2422" t="s">
        <v>104</v>
      </c>
      <c r="D519" s="713" t="str">
        <f>B519&amp;".1"</f>
        <v>3.161.1</v>
      </c>
      <c r="E519" s="1691" t="s">
        <v>1039</v>
      </c>
      <c r="F519" s="2287" t="s">
        <v>390</v>
      </c>
      <c r="G519" s="2377" t="s">
        <v>22</v>
      </c>
      <c r="H519" s="842" t="s">
        <v>22</v>
      </c>
      <c r="I519" s="2377" t="s">
        <v>22</v>
      </c>
      <c r="J519" s="842" t="s">
        <v>22</v>
      </c>
      <c r="K519" s="2377" t="s">
        <v>22</v>
      </c>
      <c r="L519" s="842" t="s">
        <v>22</v>
      </c>
      <c r="M519" s="2942" t="s">
        <v>22</v>
      </c>
      <c r="N519" s="2940" t="s">
        <v>22</v>
      </c>
      <c r="O519" s="2377" t="s">
        <v>22</v>
      </c>
      <c r="P519" s="842" t="s">
        <v>22</v>
      </c>
      <c r="Q519" s="2377" t="s">
        <v>1059</v>
      </c>
      <c r="R519" s="842" t="s">
        <v>22</v>
      </c>
      <c r="S519" s="2377"/>
      <c r="T519" s="842" t="s">
        <v>22</v>
      </c>
      <c r="U519" s="2377" t="s">
        <v>22</v>
      </c>
      <c r="V519" s="842" t="s">
        <v>22</v>
      </c>
      <c r="W519" s="2377" t="s">
        <v>22</v>
      </c>
      <c r="X519" s="842" t="s">
        <v>22</v>
      </c>
      <c r="Y519" s="2377" t="s">
        <v>22</v>
      </c>
      <c r="Z519" s="842" t="s">
        <v>22</v>
      </c>
      <c r="AA519" s="2942" t="s">
        <v>22</v>
      </c>
      <c r="AB519" s="2940" t="s">
        <v>22</v>
      </c>
      <c r="AC519" s="2377" t="s">
        <v>22</v>
      </c>
      <c r="AD519" s="842" t="s">
        <v>22</v>
      </c>
      <c r="AE519" s="2377" t="s">
        <v>22</v>
      </c>
      <c r="AF519" s="842" t="s">
        <v>22</v>
      </c>
      <c r="AG519" s="2942" t="s">
        <v>22</v>
      </c>
      <c r="AH519" s="2940" t="s">
        <v>22</v>
      </c>
      <c r="AI519" s="2377" t="s">
        <v>22</v>
      </c>
      <c r="AJ519" s="842" t="s">
        <v>22</v>
      </c>
      <c r="AK519" s="2377" t="s">
        <v>22</v>
      </c>
      <c r="AL519" s="842" t="s">
        <v>22</v>
      </c>
      <c r="AM519" s="1549"/>
      <c r="AN519" s="1659"/>
      <c r="AO519" s="1659"/>
      <c r="AP519" s="1659"/>
      <c r="AQ519" s="1659"/>
      <c r="AR519" s="1659"/>
      <c r="AS519" s="1659"/>
      <c r="AT519" s="1659"/>
      <c r="AU519" s="1659"/>
      <c r="AV519" s="1659"/>
      <c r="AW519" s="699"/>
      <c r="AX519" s="1659">
        <v>0</v>
      </c>
    </row>
    <row s="1874" customFormat="1" customHeight="1" ht="15">
      <c r="A520" s="1659"/>
      <c r="B520" s="2421"/>
      <c r="C520" s="2422"/>
      <c r="D520" s="713" t="str">
        <f>B519&amp;".2"</f>
        <v>3.161.2</v>
      </c>
      <c r="E520" s="1691" t="s">
        <v>1040</v>
      </c>
      <c r="F520" s="2287" t="s">
        <v>390</v>
      </c>
      <c r="G520" s="1762" t="s">
        <v>22</v>
      </c>
      <c r="H520" s="842" t="s">
        <v>22</v>
      </c>
      <c r="I520" s="1762" t="s">
        <v>22</v>
      </c>
      <c r="J520" s="842" t="s">
        <v>22</v>
      </c>
      <c r="K520" s="1762" t="s">
        <v>22</v>
      </c>
      <c r="L520" s="842" t="s">
        <v>22</v>
      </c>
      <c r="M520" s="2943" t="s">
        <v>22</v>
      </c>
      <c r="N520" s="2940" t="s">
        <v>22</v>
      </c>
      <c r="O520" s="1762" t="s">
        <v>22</v>
      </c>
      <c r="P520" s="842" t="s">
        <v>22</v>
      </c>
      <c r="Q520" s="1762">
        <v>46139</v>
      </c>
      <c r="R520" s="842" t="s">
        <v>22</v>
      </c>
      <c r="S520" s="1762"/>
      <c r="T520" s="842" t="s">
        <v>22</v>
      </c>
      <c r="U520" s="1762" t="s">
        <v>22</v>
      </c>
      <c r="V520" s="842" t="s">
        <v>22</v>
      </c>
      <c r="W520" s="1762" t="s">
        <v>22</v>
      </c>
      <c r="X520" s="842" t="s">
        <v>22</v>
      </c>
      <c r="Y520" s="1762" t="s">
        <v>22</v>
      </c>
      <c r="Z520" s="842" t="s">
        <v>22</v>
      </c>
      <c r="AA520" s="2943" t="s">
        <v>22</v>
      </c>
      <c r="AB520" s="2940" t="s">
        <v>22</v>
      </c>
      <c r="AC520" s="1762" t="s">
        <v>22</v>
      </c>
      <c r="AD520" s="842" t="s">
        <v>22</v>
      </c>
      <c r="AE520" s="1762" t="s">
        <v>22</v>
      </c>
      <c r="AF520" s="842" t="s">
        <v>22</v>
      </c>
      <c r="AG520" s="2943" t="s">
        <v>22</v>
      </c>
      <c r="AH520" s="2940" t="s">
        <v>22</v>
      </c>
      <c r="AI520" s="1762" t="s">
        <v>22</v>
      </c>
      <c r="AJ520" s="842" t="s">
        <v>22</v>
      </c>
      <c r="AK520" s="1762" t="s">
        <v>22</v>
      </c>
      <c r="AL520" s="842" t="s">
        <v>22</v>
      </c>
      <c r="AM520" s="1549" t="s">
        <v>1041</v>
      </c>
      <c r="AN520" s="1659"/>
      <c r="AO520" s="1659"/>
      <c r="AP520" s="1659"/>
      <c r="AQ520" s="1659"/>
      <c r="AR520" s="1659"/>
      <c r="AS520" s="1659"/>
      <c r="AT520" s="1659"/>
      <c r="AU520" s="1659"/>
      <c r="AV520" s="1659"/>
      <c r="AW520" s="699"/>
      <c r="AX520" s="1659">
        <v>0</v>
      </c>
    </row>
    <row s="1874" customFormat="1" customHeight="1" ht="15">
      <c r="A521" s="1659"/>
      <c r="B521" s="2421"/>
      <c r="C521" s="2422"/>
      <c r="D521" s="713" t="str">
        <f>B519&amp;".3"</f>
        <v>3.161.3</v>
      </c>
      <c r="E521" s="1691" t="s">
        <v>1042</v>
      </c>
      <c r="F521" s="2287" t="s">
        <v>390</v>
      </c>
      <c r="G521" s="1762" t="s">
        <v>22</v>
      </c>
      <c r="H521" s="842" t="s">
        <v>22</v>
      </c>
      <c r="I521" s="1762" t="s">
        <v>22</v>
      </c>
      <c r="J521" s="842" t="s">
        <v>22</v>
      </c>
      <c r="K521" s="1762" t="s">
        <v>22</v>
      </c>
      <c r="L521" s="842" t="s">
        <v>22</v>
      </c>
      <c r="M521" s="2943" t="s">
        <v>22</v>
      </c>
      <c r="N521" s="2940" t="s">
        <v>22</v>
      </c>
      <c r="O521" s="1762" t="s">
        <v>22</v>
      </c>
      <c r="P521" s="842" t="s">
        <v>22</v>
      </c>
      <c r="Q521" s="1762" t="s">
        <v>22</v>
      </c>
      <c r="R521" s="842" t="s">
        <v>22</v>
      </c>
      <c r="S521" s="1762"/>
      <c r="T521" s="842" t="s">
        <v>22</v>
      </c>
      <c r="U521" s="1762" t="s">
        <v>22</v>
      </c>
      <c r="V521" s="842" t="s">
        <v>22</v>
      </c>
      <c r="W521" s="1762" t="s">
        <v>22</v>
      </c>
      <c r="X521" s="842" t="s">
        <v>22</v>
      </c>
      <c r="Y521" s="1762" t="s">
        <v>22</v>
      </c>
      <c r="Z521" s="842" t="s">
        <v>22</v>
      </c>
      <c r="AA521" s="2943" t="s">
        <v>22</v>
      </c>
      <c r="AB521" s="2940" t="s">
        <v>22</v>
      </c>
      <c r="AC521" s="1762" t="s">
        <v>22</v>
      </c>
      <c r="AD521" s="842" t="s">
        <v>22</v>
      </c>
      <c r="AE521" s="1762" t="s">
        <v>22</v>
      </c>
      <c r="AF521" s="842" t="s">
        <v>22</v>
      </c>
      <c r="AG521" s="2943" t="s">
        <v>22</v>
      </c>
      <c r="AH521" s="2940" t="s">
        <v>22</v>
      </c>
      <c r="AI521" s="1762" t="s">
        <v>22</v>
      </c>
      <c r="AJ521" s="842" t="s">
        <v>22</v>
      </c>
      <c r="AK521" s="1762" t="s">
        <v>22</v>
      </c>
      <c r="AL521" s="842" t="s">
        <v>22</v>
      </c>
      <c r="AM521" s="1549" t="s">
        <v>1043</v>
      </c>
      <c r="AN521" s="1659"/>
      <c r="AO521" s="1659"/>
      <c r="AP521" s="1659"/>
      <c r="AQ521" s="1659"/>
      <c r="AR521" s="1659"/>
      <c r="AS521" s="1659"/>
      <c r="AT521" s="1659"/>
      <c r="AU521" s="1659"/>
      <c r="AV521" s="1659"/>
      <c r="AW521" s="699"/>
      <c r="AX521" s="1659">
        <v>0</v>
      </c>
    </row>
    <row s="1874" customFormat="1" customHeight="1" ht="22.5">
      <c r="A522" s="1659"/>
      <c r="B522" s="2421" t="s">
        <v>1247</v>
      </c>
      <c r="C522" s="2422" t="s">
        <v>104</v>
      </c>
      <c r="D522" s="713" t="str">
        <f>B522&amp;".1"</f>
        <v>3.162.1</v>
      </c>
      <c r="E522" s="1691" t="s">
        <v>1039</v>
      </c>
      <c r="F522" s="2287" t="s">
        <v>390</v>
      </c>
      <c r="G522" s="2377" t="s">
        <v>22</v>
      </c>
      <c r="H522" s="842" t="s">
        <v>22</v>
      </c>
      <c r="I522" s="2377" t="s">
        <v>22</v>
      </c>
      <c r="J522" s="842" t="s">
        <v>22</v>
      </c>
      <c r="K522" s="2377" t="s">
        <v>22</v>
      </c>
      <c r="L522" s="842" t="s">
        <v>22</v>
      </c>
      <c r="M522" s="2942" t="s">
        <v>22</v>
      </c>
      <c r="N522" s="2940" t="s">
        <v>22</v>
      </c>
      <c r="O522" s="2377" t="s">
        <v>22</v>
      </c>
      <c r="P522" s="842" t="s">
        <v>22</v>
      </c>
      <c r="Q522" s="2377" t="s">
        <v>1059</v>
      </c>
      <c r="R522" s="842" t="s">
        <v>22</v>
      </c>
      <c r="S522" s="2377"/>
      <c r="T522" s="842" t="s">
        <v>22</v>
      </c>
      <c r="U522" s="2377" t="s">
        <v>22</v>
      </c>
      <c r="V522" s="842" t="s">
        <v>22</v>
      </c>
      <c r="W522" s="2377" t="s">
        <v>22</v>
      </c>
      <c r="X522" s="842" t="s">
        <v>22</v>
      </c>
      <c r="Y522" s="2377" t="s">
        <v>22</v>
      </c>
      <c r="Z522" s="842" t="s">
        <v>22</v>
      </c>
      <c r="AA522" s="2942" t="s">
        <v>22</v>
      </c>
      <c r="AB522" s="2940" t="s">
        <v>22</v>
      </c>
      <c r="AC522" s="2377" t="s">
        <v>22</v>
      </c>
      <c r="AD522" s="842" t="s">
        <v>22</v>
      </c>
      <c r="AE522" s="2377" t="s">
        <v>22</v>
      </c>
      <c r="AF522" s="842" t="s">
        <v>22</v>
      </c>
      <c r="AG522" s="2942" t="s">
        <v>22</v>
      </c>
      <c r="AH522" s="2940" t="s">
        <v>22</v>
      </c>
      <c r="AI522" s="2377" t="s">
        <v>22</v>
      </c>
      <c r="AJ522" s="842" t="s">
        <v>22</v>
      </c>
      <c r="AK522" s="2377" t="s">
        <v>22</v>
      </c>
      <c r="AL522" s="842" t="s">
        <v>22</v>
      </c>
      <c r="AM522" s="1549"/>
      <c r="AN522" s="1659"/>
      <c r="AO522" s="1659"/>
      <c r="AP522" s="1659"/>
      <c r="AQ522" s="1659"/>
      <c r="AR522" s="1659"/>
      <c r="AS522" s="1659"/>
      <c r="AT522" s="1659"/>
      <c r="AU522" s="1659"/>
      <c r="AV522" s="1659"/>
      <c r="AW522" s="699"/>
      <c r="AX522" s="1659">
        <v>0</v>
      </c>
    </row>
    <row s="1874" customFormat="1" customHeight="1" ht="15">
      <c r="A523" s="1659"/>
      <c r="B523" s="2421"/>
      <c r="C523" s="2422"/>
      <c r="D523" s="713" t="str">
        <f>B522&amp;".2"</f>
        <v>3.162.2</v>
      </c>
      <c r="E523" s="1691" t="s">
        <v>1040</v>
      </c>
      <c r="F523" s="2287" t="s">
        <v>390</v>
      </c>
      <c r="G523" s="1762" t="s">
        <v>22</v>
      </c>
      <c r="H523" s="842" t="s">
        <v>22</v>
      </c>
      <c r="I523" s="1762" t="s">
        <v>22</v>
      </c>
      <c r="J523" s="842" t="s">
        <v>22</v>
      </c>
      <c r="K523" s="1762" t="s">
        <v>22</v>
      </c>
      <c r="L523" s="842" t="s">
        <v>22</v>
      </c>
      <c r="M523" s="2943" t="s">
        <v>22</v>
      </c>
      <c r="N523" s="2940" t="s">
        <v>22</v>
      </c>
      <c r="O523" s="1762" t="s">
        <v>22</v>
      </c>
      <c r="P523" s="842" t="s">
        <v>22</v>
      </c>
      <c r="Q523" s="1762">
        <v>46139</v>
      </c>
      <c r="R523" s="842" t="s">
        <v>22</v>
      </c>
      <c r="S523" s="1762"/>
      <c r="T523" s="842" t="s">
        <v>22</v>
      </c>
      <c r="U523" s="1762" t="s">
        <v>22</v>
      </c>
      <c r="V523" s="842" t="s">
        <v>22</v>
      </c>
      <c r="W523" s="1762" t="s">
        <v>22</v>
      </c>
      <c r="X523" s="842" t="s">
        <v>22</v>
      </c>
      <c r="Y523" s="1762" t="s">
        <v>22</v>
      </c>
      <c r="Z523" s="842" t="s">
        <v>22</v>
      </c>
      <c r="AA523" s="2943" t="s">
        <v>22</v>
      </c>
      <c r="AB523" s="2940" t="s">
        <v>22</v>
      </c>
      <c r="AC523" s="1762" t="s">
        <v>22</v>
      </c>
      <c r="AD523" s="842" t="s">
        <v>22</v>
      </c>
      <c r="AE523" s="1762" t="s">
        <v>22</v>
      </c>
      <c r="AF523" s="842" t="s">
        <v>22</v>
      </c>
      <c r="AG523" s="2943" t="s">
        <v>22</v>
      </c>
      <c r="AH523" s="2940" t="s">
        <v>22</v>
      </c>
      <c r="AI523" s="1762" t="s">
        <v>22</v>
      </c>
      <c r="AJ523" s="842" t="s">
        <v>22</v>
      </c>
      <c r="AK523" s="1762" t="s">
        <v>22</v>
      </c>
      <c r="AL523" s="842" t="s">
        <v>22</v>
      </c>
      <c r="AM523" s="1549" t="s">
        <v>1041</v>
      </c>
      <c r="AN523" s="1659"/>
      <c r="AO523" s="1659"/>
      <c r="AP523" s="1659"/>
      <c r="AQ523" s="1659"/>
      <c r="AR523" s="1659"/>
      <c r="AS523" s="1659"/>
      <c r="AT523" s="1659"/>
      <c r="AU523" s="1659"/>
      <c r="AV523" s="1659"/>
      <c r="AW523" s="699"/>
      <c r="AX523" s="1659">
        <v>0</v>
      </c>
    </row>
    <row s="1874" customFormat="1" customHeight="1" ht="15">
      <c r="A524" s="1659"/>
      <c r="B524" s="2421"/>
      <c r="C524" s="2422"/>
      <c r="D524" s="713" t="str">
        <f>B522&amp;".3"</f>
        <v>3.162.3</v>
      </c>
      <c r="E524" s="1691" t="s">
        <v>1042</v>
      </c>
      <c r="F524" s="2287" t="s">
        <v>390</v>
      </c>
      <c r="G524" s="1762" t="s">
        <v>22</v>
      </c>
      <c r="H524" s="842" t="s">
        <v>22</v>
      </c>
      <c r="I524" s="1762" t="s">
        <v>22</v>
      </c>
      <c r="J524" s="842" t="s">
        <v>22</v>
      </c>
      <c r="K524" s="1762" t="s">
        <v>22</v>
      </c>
      <c r="L524" s="842" t="s">
        <v>22</v>
      </c>
      <c r="M524" s="2943" t="s">
        <v>22</v>
      </c>
      <c r="N524" s="2940" t="s">
        <v>22</v>
      </c>
      <c r="O524" s="1762" t="s">
        <v>22</v>
      </c>
      <c r="P524" s="842" t="s">
        <v>22</v>
      </c>
      <c r="Q524" s="1762" t="s">
        <v>22</v>
      </c>
      <c r="R524" s="842" t="s">
        <v>22</v>
      </c>
      <c r="S524" s="1762"/>
      <c r="T524" s="842" t="s">
        <v>22</v>
      </c>
      <c r="U524" s="1762" t="s">
        <v>22</v>
      </c>
      <c r="V524" s="842" t="s">
        <v>22</v>
      </c>
      <c r="W524" s="1762" t="s">
        <v>22</v>
      </c>
      <c r="X524" s="842" t="s">
        <v>22</v>
      </c>
      <c r="Y524" s="1762" t="s">
        <v>22</v>
      </c>
      <c r="Z524" s="842" t="s">
        <v>22</v>
      </c>
      <c r="AA524" s="2943" t="s">
        <v>22</v>
      </c>
      <c r="AB524" s="2940" t="s">
        <v>22</v>
      </c>
      <c r="AC524" s="1762" t="s">
        <v>22</v>
      </c>
      <c r="AD524" s="842" t="s">
        <v>22</v>
      </c>
      <c r="AE524" s="1762" t="s">
        <v>22</v>
      </c>
      <c r="AF524" s="842" t="s">
        <v>22</v>
      </c>
      <c r="AG524" s="2943" t="s">
        <v>22</v>
      </c>
      <c r="AH524" s="2940" t="s">
        <v>22</v>
      </c>
      <c r="AI524" s="1762" t="s">
        <v>22</v>
      </c>
      <c r="AJ524" s="842" t="s">
        <v>22</v>
      </c>
      <c r="AK524" s="1762" t="s">
        <v>22</v>
      </c>
      <c r="AL524" s="842" t="s">
        <v>22</v>
      </c>
      <c r="AM524" s="1549" t="s">
        <v>1043</v>
      </c>
      <c r="AN524" s="1659"/>
      <c r="AO524" s="1659"/>
      <c r="AP524" s="1659"/>
      <c r="AQ524" s="1659"/>
      <c r="AR524" s="1659"/>
      <c r="AS524" s="1659"/>
      <c r="AT524" s="1659"/>
      <c r="AU524" s="1659"/>
      <c r="AV524" s="1659"/>
      <c r="AW524" s="699"/>
      <c r="AX524" s="1659">
        <v>0</v>
      </c>
    </row>
    <row s="1874" customFormat="1" customHeight="1" ht="22.5">
      <c r="A525" s="1659"/>
      <c r="B525" s="2421" t="s">
        <v>1248</v>
      </c>
      <c r="C525" s="2422" t="s">
        <v>104</v>
      </c>
      <c r="D525" s="713" t="str">
        <f>B525&amp;".1"</f>
        <v>3.163.1</v>
      </c>
      <c r="E525" s="1691" t="s">
        <v>1039</v>
      </c>
      <c r="F525" s="2287" t="s">
        <v>390</v>
      </c>
      <c r="G525" s="2377" t="s">
        <v>22</v>
      </c>
      <c r="H525" s="842" t="s">
        <v>22</v>
      </c>
      <c r="I525" s="2377" t="s">
        <v>22</v>
      </c>
      <c r="J525" s="842" t="s">
        <v>22</v>
      </c>
      <c r="K525" s="2377" t="s">
        <v>22</v>
      </c>
      <c r="L525" s="842" t="s">
        <v>22</v>
      </c>
      <c r="M525" s="2942" t="s">
        <v>22</v>
      </c>
      <c r="N525" s="2940" t="s">
        <v>22</v>
      </c>
      <c r="O525" s="2377" t="s">
        <v>22</v>
      </c>
      <c r="P525" s="842" t="s">
        <v>22</v>
      </c>
      <c r="Q525" s="2377" t="s">
        <v>1059</v>
      </c>
      <c r="R525" s="842" t="s">
        <v>22</v>
      </c>
      <c r="S525" s="2377"/>
      <c r="T525" s="842" t="s">
        <v>22</v>
      </c>
      <c r="U525" s="2377" t="s">
        <v>22</v>
      </c>
      <c r="V525" s="842" t="s">
        <v>22</v>
      </c>
      <c r="W525" s="2377" t="s">
        <v>22</v>
      </c>
      <c r="X525" s="842" t="s">
        <v>22</v>
      </c>
      <c r="Y525" s="2377" t="s">
        <v>22</v>
      </c>
      <c r="Z525" s="842" t="s">
        <v>22</v>
      </c>
      <c r="AA525" s="2942" t="s">
        <v>22</v>
      </c>
      <c r="AB525" s="2940" t="s">
        <v>22</v>
      </c>
      <c r="AC525" s="2377" t="s">
        <v>22</v>
      </c>
      <c r="AD525" s="842" t="s">
        <v>22</v>
      </c>
      <c r="AE525" s="2377" t="s">
        <v>22</v>
      </c>
      <c r="AF525" s="842" t="s">
        <v>22</v>
      </c>
      <c r="AG525" s="2942" t="s">
        <v>22</v>
      </c>
      <c r="AH525" s="2940" t="s">
        <v>22</v>
      </c>
      <c r="AI525" s="2377" t="s">
        <v>22</v>
      </c>
      <c r="AJ525" s="842" t="s">
        <v>22</v>
      </c>
      <c r="AK525" s="2377" t="s">
        <v>22</v>
      </c>
      <c r="AL525" s="842" t="s">
        <v>22</v>
      </c>
      <c r="AM525" s="1549"/>
      <c r="AN525" s="1659"/>
      <c r="AO525" s="1659"/>
      <c r="AP525" s="1659"/>
      <c r="AQ525" s="1659"/>
      <c r="AR525" s="1659"/>
      <c r="AS525" s="1659"/>
      <c r="AT525" s="1659"/>
      <c r="AU525" s="1659"/>
      <c r="AV525" s="1659"/>
      <c r="AW525" s="699"/>
      <c r="AX525" s="1659">
        <v>0</v>
      </c>
    </row>
    <row s="1874" customFormat="1" customHeight="1" ht="15">
      <c r="A526" s="1659"/>
      <c r="B526" s="2421"/>
      <c r="C526" s="2422"/>
      <c r="D526" s="713" t="str">
        <f>B525&amp;".2"</f>
        <v>3.163.2</v>
      </c>
      <c r="E526" s="1691" t="s">
        <v>1040</v>
      </c>
      <c r="F526" s="2287" t="s">
        <v>390</v>
      </c>
      <c r="G526" s="1762" t="s">
        <v>22</v>
      </c>
      <c r="H526" s="842" t="s">
        <v>22</v>
      </c>
      <c r="I526" s="1762" t="s">
        <v>22</v>
      </c>
      <c r="J526" s="842" t="s">
        <v>22</v>
      </c>
      <c r="K526" s="1762" t="s">
        <v>22</v>
      </c>
      <c r="L526" s="842" t="s">
        <v>22</v>
      </c>
      <c r="M526" s="2943" t="s">
        <v>22</v>
      </c>
      <c r="N526" s="2940" t="s">
        <v>22</v>
      </c>
      <c r="O526" s="1762" t="s">
        <v>22</v>
      </c>
      <c r="P526" s="842" t="s">
        <v>22</v>
      </c>
      <c r="Q526" s="1762">
        <v>46139</v>
      </c>
      <c r="R526" s="842" t="s">
        <v>22</v>
      </c>
      <c r="S526" s="1762"/>
      <c r="T526" s="842" t="s">
        <v>22</v>
      </c>
      <c r="U526" s="1762" t="s">
        <v>22</v>
      </c>
      <c r="V526" s="842" t="s">
        <v>22</v>
      </c>
      <c r="W526" s="1762" t="s">
        <v>22</v>
      </c>
      <c r="X526" s="842" t="s">
        <v>22</v>
      </c>
      <c r="Y526" s="1762" t="s">
        <v>22</v>
      </c>
      <c r="Z526" s="842" t="s">
        <v>22</v>
      </c>
      <c r="AA526" s="2943" t="s">
        <v>22</v>
      </c>
      <c r="AB526" s="2940" t="s">
        <v>22</v>
      </c>
      <c r="AC526" s="1762" t="s">
        <v>22</v>
      </c>
      <c r="AD526" s="842" t="s">
        <v>22</v>
      </c>
      <c r="AE526" s="1762" t="s">
        <v>22</v>
      </c>
      <c r="AF526" s="842" t="s">
        <v>22</v>
      </c>
      <c r="AG526" s="2943" t="s">
        <v>22</v>
      </c>
      <c r="AH526" s="2940" t="s">
        <v>22</v>
      </c>
      <c r="AI526" s="1762" t="s">
        <v>22</v>
      </c>
      <c r="AJ526" s="842" t="s">
        <v>22</v>
      </c>
      <c r="AK526" s="1762" t="s">
        <v>22</v>
      </c>
      <c r="AL526" s="842" t="s">
        <v>22</v>
      </c>
      <c r="AM526" s="1549" t="s">
        <v>1041</v>
      </c>
      <c r="AN526" s="1659"/>
      <c r="AO526" s="1659"/>
      <c r="AP526" s="1659"/>
      <c r="AQ526" s="1659"/>
      <c r="AR526" s="1659"/>
      <c r="AS526" s="1659"/>
      <c r="AT526" s="1659"/>
      <c r="AU526" s="1659"/>
      <c r="AV526" s="1659"/>
      <c r="AW526" s="699"/>
      <c r="AX526" s="1659">
        <v>0</v>
      </c>
    </row>
    <row s="1874" customFormat="1" customHeight="1" ht="15">
      <c r="A527" s="1659"/>
      <c r="B527" s="2421"/>
      <c r="C527" s="2422"/>
      <c r="D527" s="713" t="str">
        <f>B525&amp;".3"</f>
        <v>3.163.3</v>
      </c>
      <c r="E527" s="1691" t="s">
        <v>1042</v>
      </c>
      <c r="F527" s="2287" t="s">
        <v>390</v>
      </c>
      <c r="G527" s="1762" t="s">
        <v>22</v>
      </c>
      <c r="H527" s="842" t="s">
        <v>22</v>
      </c>
      <c r="I527" s="1762" t="s">
        <v>22</v>
      </c>
      <c r="J527" s="842" t="s">
        <v>22</v>
      </c>
      <c r="K527" s="1762" t="s">
        <v>22</v>
      </c>
      <c r="L527" s="842" t="s">
        <v>22</v>
      </c>
      <c r="M527" s="2943" t="s">
        <v>22</v>
      </c>
      <c r="N527" s="2940" t="s">
        <v>22</v>
      </c>
      <c r="O527" s="1762" t="s">
        <v>22</v>
      </c>
      <c r="P527" s="842" t="s">
        <v>22</v>
      </c>
      <c r="Q527" s="1762" t="s">
        <v>22</v>
      </c>
      <c r="R527" s="842" t="s">
        <v>22</v>
      </c>
      <c r="S527" s="1762"/>
      <c r="T527" s="842" t="s">
        <v>22</v>
      </c>
      <c r="U527" s="1762" t="s">
        <v>22</v>
      </c>
      <c r="V527" s="842" t="s">
        <v>22</v>
      </c>
      <c r="W527" s="1762" t="s">
        <v>22</v>
      </c>
      <c r="X527" s="842" t="s">
        <v>22</v>
      </c>
      <c r="Y527" s="1762" t="s">
        <v>22</v>
      </c>
      <c r="Z527" s="842" t="s">
        <v>22</v>
      </c>
      <c r="AA527" s="2943" t="s">
        <v>22</v>
      </c>
      <c r="AB527" s="2940" t="s">
        <v>22</v>
      </c>
      <c r="AC527" s="1762" t="s">
        <v>22</v>
      </c>
      <c r="AD527" s="842" t="s">
        <v>22</v>
      </c>
      <c r="AE527" s="1762" t="s">
        <v>22</v>
      </c>
      <c r="AF527" s="842" t="s">
        <v>22</v>
      </c>
      <c r="AG527" s="2943" t="s">
        <v>22</v>
      </c>
      <c r="AH527" s="2940" t="s">
        <v>22</v>
      </c>
      <c r="AI527" s="1762" t="s">
        <v>22</v>
      </c>
      <c r="AJ527" s="842" t="s">
        <v>22</v>
      </c>
      <c r="AK527" s="1762" t="s">
        <v>22</v>
      </c>
      <c r="AL527" s="842" t="s">
        <v>22</v>
      </c>
      <c r="AM527" s="1549" t="s">
        <v>1043</v>
      </c>
      <c r="AN527" s="1659"/>
      <c r="AO527" s="1659"/>
      <c r="AP527" s="1659"/>
      <c r="AQ527" s="1659"/>
      <c r="AR527" s="1659"/>
      <c r="AS527" s="1659"/>
      <c r="AT527" s="1659"/>
      <c r="AU527" s="1659"/>
      <c r="AV527" s="1659"/>
      <c r="AW527" s="699"/>
      <c r="AX527" s="1659">
        <v>0</v>
      </c>
    </row>
    <row s="1874" customFormat="1" customHeight="1" ht="22.5">
      <c r="A528" s="1659"/>
      <c r="B528" s="2421" t="s">
        <v>1249</v>
      </c>
      <c r="C528" s="2422" t="s">
        <v>104</v>
      </c>
      <c r="D528" s="713" t="str">
        <f>B528&amp;".1"</f>
        <v>3.164.1</v>
      </c>
      <c r="E528" s="1691" t="s">
        <v>1039</v>
      </c>
      <c r="F528" s="2287" t="s">
        <v>390</v>
      </c>
      <c r="G528" s="2377" t="s">
        <v>22</v>
      </c>
      <c r="H528" s="842" t="s">
        <v>22</v>
      </c>
      <c r="I528" s="2377" t="s">
        <v>22</v>
      </c>
      <c r="J528" s="842" t="s">
        <v>22</v>
      </c>
      <c r="K528" s="2377" t="s">
        <v>22</v>
      </c>
      <c r="L528" s="842" t="s">
        <v>22</v>
      </c>
      <c r="M528" s="2942" t="s">
        <v>22</v>
      </c>
      <c r="N528" s="2940" t="s">
        <v>22</v>
      </c>
      <c r="O528" s="2377" t="s">
        <v>22</v>
      </c>
      <c r="P528" s="842" t="s">
        <v>22</v>
      </c>
      <c r="Q528" s="2377" t="s">
        <v>1059</v>
      </c>
      <c r="R528" s="842" t="s">
        <v>22</v>
      </c>
      <c r="S528" s="2377"/>
      <c r="T528" s="842" t="s">
        <v>22</v>
      </c>
      <c r="U528" s="2377" t="s">
        <v>22</v>
      </c>
      <c r="V528" s="842" t="s">
        <v>22</v>
      </c>
      <c r="W528" s="2377" t="s">
        <v>22</v>
      </c>
      <c r="X528" s="842" t="s">
        <v>22</v>
      </c>
      <c r="Y528" s="2377" t="s">
        <v>22</v>
      </c>
      <c r="Z528" s="842" t="s">
        <v>22</v>
      </c>
      <c r="AA528" s="2942" t="s">
        <v>22</v>
      </c>
      <c r="AB528" s="2940" t="s">
        <v>22</v>
      </c>
      <c r="AC528" s="2377" t="s">
        <v>22</v>
      </c>
      <c r="AD528" s="842" t="s">
        <v>22</v>
      </c>
      <c r="AE528" s="2377" t="s">
        <v>22</v>
      </c>
      <c r="AF528" s="842" t="s">
        <v>22</v>
      </c>
      <c r="AG528" s="2942" t="s">
        <v>22</v>
      </c>
      <c r="AH528" s="2940" t="s">
        <v>22</v>
      </c>
      <c r="AI528" s="2377" t="s">
        <v>22</v>
      </c>
      <c r="AJ528" s="842" t="s">
        <v>22</v>
      </c>
      <c r="AK528" s="2377" t="s">
        <v>22</v>
      </c>
      <c r="AL528" s="842" t="s">
        <v>22</v>
      </c>
      <c r="AM528" s="1549"/>
      <c r="AN528" s="1659"/>
      <c r="AO528" s="1659"/>
      <c r="AP528" s="1659"/>
      <c r="AQ528" s="1659"/>
      <c r="AR528" s="1659"/>
      <c r="AS528" s="1659"/>
      <c r="AT528" s="1659"/>
      <c r="AU528" s="1659"/>
      <c r="AV528" s="1659"/>
      <c r="AW528" s="699"/>
      <c r="AX528" s="1659">
        <v>0</v>
      </c>
    </row>
    <row s="1874" customFormat="1" customHeight="1" ht="15">
      <c r="A529" s="1659"/>
      <c r="B529" s="2421"/>
      <c r="C529" s="2422"/>
      <c r="D529" s="713" t="str">
        <f>B528&amp;".2"</f>
        <v>3.164.2</v>
      </c>
      <c r="E529" s="1691" t="s">
        <v>1040</v>
      </c>
      <c r="F529" s="2287" t="s">
        <v>390</v>
      </c>
      <c r="G529" s="1762" t="s">
        <v>22</v>
      </c>
      <c r="H529" s="842" t="s">
        <v>22</v>
      </c>
      <c r="I529" s="1762" t="s">
        <v>22</v>
      </c>
      <c r="J529" s="842" t="s">
        <v>22</v>
      </c>
      <c r="K529" s="1762" t="s">
        <v>22</v>
      </c>
      <c r="L529" s="842" t="s">
        <v>22</v>
      </c>
      <c r="M529" s="2943" t="s">
        <v>22</v>
      </c>
      <c r="N529" s="2940" t="s">
        <v>22</v>
      </c>
      <c r="O529" s="1762" t="s">
        <v>22</v>
      </c>
      <c r="P529" s="842" t="s">
        <v>22</v>
      </c>
      <c r="Q529" s="1762">
        <v>46140</v>
      </c>
      <c r="R529" s="842" t="s">
        <v>22</v>
      </c>
      <c r="S529" s="1762"/>
      <c r="T529" s="842" t="s">
        <v>22</v>
      </c>
      <c r="U529" s="1762" t="s">
        <v>22</v>
      </c>
      <c r="V529" s="842" t="s">
        <v>22</v>
      </c>
      <c r="W529" s="1762" t="s">
        <v>22</v>
      </c>
      <c r="X529" s="842" t="s">
        <v>22</v>
      </c>
      <c r="Y529" s="1762" t="s">
        <v>22</v>
      </c>
      <c r="Z529" s="842" t="s">
        <v>22</v>
      </c>
      <c r="AA529" s="2943" t="s">
        <v>22</v>
      </c>
      <c r="AB529" s="2940" t="s">
        <v>22</v>
      </c>
      <c r="AC529" s="1762" t="s">
        <v>22</v>
      </c>
      <c r="AD529" s="842" t="s">
        <v>22</v>
      </c>
      <c r="AE529" s="1762" t="s">
        <v>22</v>
      </c>
      <c r="AF529" s="842" t="s">
        <v>22</v>
      </c>
      <c r="AG529" s="2943" t="s">
        <v>22</v>
      </c>
      <c r="AH529" s="2940" t="s">
        <v>22</v>
      </c>
      <c r="AI529" s="1762" t="s">
        <v>22</v>
      </c>
      <c r="AJ529" s="842" t="s">
        <v>22</v>
      </c>
      <c r="AK529" s="1762" t="s">
        <v>22</v>
      </c>
      <c r="AL529" s="842" t="s">
        <v>22</v>
      </c>
      <c r="AM529" s="1549" t="s">
        <v>1041</v>
      </c>
      <c r="AN529" s="1659"/>
      <c r="AO529" s="1659"/>
      <c r="AP529" s="1659"/>
      <c r="AQ529" s="1659"/>
      <c r="AR529" s="1659"/>
      <c r="AS529" s="1659"/>
      <c r="AT529" s="1659"/>
      <c r="AU529" s="1659"/>
      <c r="AV529" s="1659"/>
      <c r="AW529" s="699"/>
      <c r="AX529" s="1659">
        <v>0</v>
      </c>
    </row>
    <row s="1874" customFormat="1" customHeight="1" ht="15">
      <c r="A530" s="1659"/>
      <c r="B530" s="2421"/>
      <c r="C530" s="2422"/>
      <c r="D530" s="713" t="str">
        <f>B528&amp;".3"</f>
        <v>3.164.3</v>
      </c>
      <c r="E530" s="1691" t="s">
        <v>1042</v>
      </c>
      <c r="F530" s="2287" t="s">
        <v>390</v>
      </c>
      <c r="G530" s="1762" t="s">
        <v>22</v>
      </c>
      <c r="H530" s="842" t="s">
        <v>22</v>
      </c>
      <c r="I530" s="1762" t="s">
        <v>22</v>
      </c>
      <c r="J530" s="842" t="s">
        <v>22</v>
      </c>
      <c r="K530" s="1762" t="s">
        <v>22</v>
      </c>
      <c r="L530" s="842" t="s">
        <v>22</v>
      </c>
      <c r="M530" s="2943" t="s">
        <v>22</v>
      </c>
      <c r="N530" s="2940" t="s">
        <v>22</v>
      </c>
      <c r="O530" s="1762" t="s">
        <v>22</v>
      </c>
      <c r="P530" s="842" t="s">
        <v>22</v>
      </c>
      <c r="Q530" s="1762" t="s">
        <v>22</v>
      </c>
      <c r="R530" s="842" t="s">
        <v>22</v>
      </c>
      <c r="S530" s="1762"/>
      <c r="T530" s="842" t="s">
        <v>22</v>
      </c>
      <c r="U530" s="1762" t="s">
        <v>22</v>
      </c>
      <c r="V530" s="842" t="s">
        <v>22</v>
      </c>
      <c r="W530" s="1762" t="s">
        <v>22</v>
      </c>
      <c r="X530" s="842" t="s">
        <v>22</v>
      </c>
      <c r="Y530" s="1762" t="s">
        <v>22</v>
      </c>
      <c r="Z530" s="842" t="s">
        <v>22</v>
      </c>
      <c r="AA530" s="2943" t="s">
        <v>22</v>
      </c>
      <c r="AB530" s="2940" t="s">
        <v>22</v>
      </c>
      <c r="AC530" s="1762" t="s">
        <v>22</v>
      </c>
      <c r="AD530" s="842" t="s">
        <v>22</v>
      </c>
      <c r="AE530" s="1762" t="s">
        <v>22</v>
      </c>
      <c r="AF530" s="842" t="s">
        <v>22</v>
      </c>
      <c r="AG530" s="2943" t="s">
        <v>22</v>
      </c>
      <c r="AH530" s="2940" t="s">
        <v>22</v>
      </c>
      <c r="AI530" s="1762" t="s">
        <v>22</v>
      </c>
      <c r="AJ530" s="842" t="s">
        <v>22</v>
      </c>
      <c r="AK530" s="1762" t="s">
        <v>22</v>
      </c>
      <c r="AL530" s="842" t="s">
        <v>22</v>
      </c>
      <c r="AM530" s="1549" t="s">
        <v>1043</v>
      </c>
      <c r="AN530" s="1659"/>
      <c r="AO530" s="1659"/>
      <c r="AP530" s="1659"/>
      <c r="AQ530" s="1659"/>
      <c r="AR530" s="1659"/>
      <c r="AS530" s="1659"/>
      <c r="AT530" s="1659"/>
      <c r="AU530" s="1659"/>
      <c r="AV530" s="1659"/>
      <c r="AW530" s="699"/>
      <c r="AX530" s="1659">
        <v>0</v>
      </c>
    </row>
    <row s="1874" customFormat="1" customHeight="1" ht="22.5">
      <c r="A531" s="1659"/>
      <c r="B531" s="2421" t="s">
        <v>1250</v>
      </c>
      <c r="C531" s="2422" t="s">
        <v>104</v>
      </c>
      <c r="D531" s="713" t="str">
        <f>B531&amp;".1"</f>
        <v>3.165.1</v>
      </c>
      <c r="E531" s="1691" t="s">
        <v>1039</v>
      </c>
      <c r="F531" s="2287" t="s">
        <v>390</v>
      </c>
      <c r="G531" s="2377" t="s">
        <v>22</v>
      </c>
      <c r="H531" s="842" t="s">
        <v>22</v>
      </c>
      <c r="I531" s="2377" t="s">
        <v>22</v>
      </c>
      <c r="J531" s="842" t="s">
        <v>22</v>
      </c>
      <c r="K531" s="2377" t="s">
        <v>22</v>
      </c>
      <c r="L531" s="842" t="s">
        <v>22</v>
      </c>
      <c r="M531" s="2942" t="s">
        <v>22</v>
      </c>
      <c r="N531" s="2940" t="s">
        <v>22</v>
      </c>
      <c r="O531" s="2377" t="s">
        <v>22</v>
      </c>
      <c r="P531" s="842" t="s">
        <v>22</v>
      </c>
      <c r="Q531" s="2377" t="s">
        <v>1059</v>
      </c>
      <c r="R531" s="842" t="s">
        <v>22</v>
      </c>
      <c r="S531" s="2377"/>
      <c r="T531" s="842" t="s">
        <v>22</v>
      </c>
      <c r="U531" s="2377" t="s">
        <v>22</v>
      </c>
      <c r="V531" s="842" t="s">
        <v>22</v>
      </c>
      <c r="W531" s="2377" t="s">
        <v>22</v>
      </c>
      <c r="X531" s="842" t="s">
        <v>22</v>
      </c>
      <c r="Y531" s="2377" t="s">
        <v>22</v>
      </c>
      <c r="Z531" s="842" t="s">
        <v>22</v>
      </c>
      <c r="AA531" s="2942" t="s">
        <v>22</v>
      </c>
      <c r="AB531" s="2940" t="s">
        <v>22</v>
      </c>
      <c r="AC531" s="2377" t="s">
        <v>22</v>
      </c>
      <c r="AD531" s="842" t="s">
        <v>22</v>
      </c>
      <c r="AE531" s="2377" t="s">
        <v>22</v>
      </c>
      <c r="AF531" s="842" t="s">
        <v>22</v>
      </c>
      <c r="AG531" s="2942" t="s">
        <v>22</v>
      </c>
      <c r="AH531" s="2940" t="s">
        <v>22</v>
      </c>
      <c r="AI531" s="2377" t="s">
        <v>22</v>
      </c>
      <c r="AJ531" s="842" t="s">
        <v>22</v>
      </c>
      <c r="AK531" s="2377" t="s">
        <v>22</v>
      </c>
      <c r="AL531" s="842" t="s">
        <v>22</v>
      </c>
      <c r="AM531" s="1549"/>
      <c r="AN531" s="1659"/>
      <c r="AO531" s="1659"/>
      <c r="AP531" s="1659"/>
      <c r="AQ531" s="1659"/>
      <c r="AR531" s="1659"/>
      <c r="AS531" s="1659"/>
      <c r="AT531" s="1659"/>
      <c r="AU531" s="1659"/>
      <c r="AV531" s="1659"/>
      <c r="AW531" s="699"/>
      <c r="AX531" s="1659">
        <v>0</v>
      </c>
    </row>
    <row s="1874" customFormat="1" customHeight="1" ht="15">
      <c r="A532" s="1659"/>
      <c r="B532" s="2421"/>
      <c r="C532" s="2422"/>
      <c r="D532" s="713" t="str">
        <f>B531&amp;".2"</f>
        <v>3.165.2</v>
      </c>
      <c r="E532" s="1691" t="s">
        <v>1040</v>
      </c>
      <c r="F532" s="2287" t="s">
        <v>390</v>
      </c>
      <c r="G532" s="1762" t="s">
        <v>22</v>
      </c>
      <c r="H532" s="842" t="s">
        <v>22</v>
      </c>
      <c r="I532" s="1762" t="s">
        <v>22</v>
      </c>
      <c r="J532" s="842" t="s">
        <v>22</v>
      </c>
      <c r="K532" s="1762" t="s">
        <v>22</v>
      </c>
      <c r="L532" s="842" t="s">
        <v>22</v>
      </c>
      <c r="M532" s="2943" t="s">
        <v>22</v>
      </c>
      <c r="N532" s="2940" t="s">
        <v>22</v>
      </c>
      <c r="O532" s="1762" t="s">
        <v>22</v>
      </c>
      <c r="P532" s="842" t="s">
        <v>22</v>
      </c>
      <c r="Q532" s="1762">
        <v>46140</v>
      </c>
      <c r="R532" s="842" t="s">
        <v>22</v>
      </c>
      <c r="S532" s="1762"/>
      <c r="T532" s="842" t="s">
        <v>22</v>
      </c>
      <c r="U532" s="1762" t="s">
        <v>22</v>
      </c>
      <c r="V532" s="842" t="s">
        <v>22</v>
      </c>
      <c r="W532" s="1762" t="s">
        <v>22</v>
      </c>
      <c r="X532" s="842" t="s">
        <v>22</v>
      </c>
      <c r="Y532" s="1762" t="s">
        <v>22</v>
      </c>
      <c r="Z532" s="842" t="s">
        <v>22</v>
      </c>
      <c r="AA532" s="2943" t="s">
        <v>22</v>
      </c>
      <c r="AB532" s="2940" t="s">
        <v>22</v>
      </c>
      <c r="AC532" s="1762" t="s">
        <v>22</v>
      </c>
      <c r="AD532" s="842" t="s">
        <v>22</v>
      </c>
      <c r="AE532" s="1762" t="s">
        <v>22</v>
      </c>
      <c r="AF532" s="842" t="s">
        <v>22</v>
      </c>
      <c r="AG532" s="2943" t="s">
        <v>22</v>
      </c>
      <c r="AH532" s="2940" t="s">
        <v>22</v>
      </c>
      <c r="AI532" s="1762" t="s">
        <v>22</v>
      </c>
      <c r="AJ532" s="842" t="s">
        <v>22</v>
      </c>
      <c r="AK532" s="1762" t="s">
        <v>22</v>
      </c>
      <c r="AL532" s="842" t="s">
        <v>22</v>
      </c>
      <c r="AM532" s="1549" t="s">
        <v>1041</v>
      </c>
      <c r="AN532" s="1659"/>
      <c r="AO532" s="1659"/>
      <c r="AP532" s="1659"/>
      <c r="AQ532" s="1659"/>
      <c r="AR532" s="1659"/>
      <c r="AS532" s="1659"/>
      <c r="AT532" s="1659"/>
      <c r="AU532" s="1659"/>
      <c r="AV532" s="1659"/>
      <c r="AW532" s="699"/>
      <c r="AX532" s="1659">
        <v>0</v>
      </c>
    </row>
    <row s="1874" customFormat="1" customHeight="1" ht="15">
      <c r="A533" s="1659"/>
      <c r="B533" s="2421"/>
      <c r="C533" s="2422"/>
      <c r="D533" s="713" t="str">
        <f>B531&amp;".3"</f>
        <v>3.165.3</v>
      </c>
      <c r="E533" s="1691" t="s">
        <v>1042</v>
      </c>
      <c r="F533" s="2287" t="s">
        <v>390</v>
      </c>
      <c r="G533" s="1762" t="s">
        <v>22</v>
      </c>
      <c r="H533" s="842" t="s">
        <v>22</v>
      </c>
      <c r="I533" s="1762" t="s">
        <v>22</v>
      </c>
      <c r="J533" s="842" t="s">
        <v>22</v>
      </c>
      <c r="K533" s="1762" t="s">
        <v>22</v>
      </c>
      <c r="L533" s="842" t="s">
        <v>22</v>
      </c>
      <c r="M533" s="2943" t="s">
        <v>22</v>
      </c>
      <c r="N533" s="2940" t="s">
        <v>22</v>
      </c>
      <c r="O533" s="1762" t="s">
        <v>22</v>
      </c>
      <c r="P533" s="842" t="s">
        <v>22</v>
      </c>
      <c r="Q533" s="1762" t="s">
        <v>22</v>
      </c>
      <c r="R533" s="842" t="s">
        <v>22</v>
      </c>
      <c r="S533" s="1762"/>
      <c r="T533" s="842" t="s">
        <v>22</v>
      </c>
      <c r="U533" s="1762" t="s">
        <v>22</v>
      </c>
      <c r="V533" s="842" t="s">
        <v>22</v>
      </c>
      <c r="W533" s="1762" t="s">
        <v>22</v>
      </c>
      <c r="X533" s="842" t="s">
        <v>22</v>
      </c>
      <c r="Y533" s="1762" t="s">
        <v>22</v>
      </c>
      <c r="Z533" s="842" t="s">
        <v>22</v>
      </c>
      <c r="AA533" s="2943" t="s">
        <v>22</v>
      </c>
      <c r="AB533" s="2940" t="s">
        <v>22</v>
      </c>
      <c r="AC533" s="1762" t="s">
        <v>22</v>
      </c>
      <c r="AD533" s="842" t="s">
        <v>22</v>
      </c>
      <c r="AE533" s="1762" t="s">
        <v>22</v>
      </c>
      <c r="AF533" s="842" t="s">
        <v>22</v>
      </c>
      <c r="AG533" s="2943" t="s">
        <v>22</v>
      </c>
      <c r="AH533" s="2940" t="s">
        <v>22</v>
      </c>
      <c r="AI533" s="1762" t="s">
        <v>22</v>
      </c>
      <c r="AJ533" s="842" t="s">
        <v>22</v>
      </c>
      <c r="AK533" s="1762" t="s">
        <v>22</v>
      </c>
      <c r="AL533" s="842" t="s">
        <v>22</v>
      </c>
      <c r="AM533" s="1549" t="s">
        <v>1043</v>
      </c>
      <c r="AN533" s="1659"/>
      <c r="AO533" s="1659"/>
      <c r="AP533" s="1659"/>
      <c r="AQ533" s="1659"/>
      <c r="AR533" s="1659"/>
      <c r="AS533" s="1659"/>
      <c r="AT533" s="1659"/>
      <c r="AU533" s="1659"/>
      <c r="AV533" s="1659"/>
      <c r="AW533" s="699"/>
      <c r="AX533" s="1659">
        <v>0</v>
      </c>
    </row>
    <row s="1874" customFormat="1" customHeight="1" ht="22.5">
      <c r="A534" s="1659"/>
      <c r="B534" s="2421" t="s">
        <v>1251</v>
      </c>
      <c r="C534" s="2422" t="s">
        <v>104</v>
      </c>
      <c r="D534" s="713" t="str">
        <f>B534&amp;".1"</f>
        <v>3.166.1</v>
      </c>
      <c r="E534" s="1691" t="s">
        <v>1039</v>
      </c>
      <c r="F534" s="2287" t="s">
        <v>390</v>
      </c>
      <c r="G534" s="2377" t="s">
        <v>22</v>
      </c>
      <c r="H534" s="842" t="s">
        <v>22</v>
      </c>
      <c r="I534" s="2377" t="s">
        <v>22</v>
      </c>
      <c r="J534" s="842" t="s">
        <v>22</v>
      </c>
      <c r="K534" s="2377" t="s">
        <v>22</v>
      </c>
      <c r="L534" s="842" t="s">
        <v>22</v>
      </c>
      <c r="M534" s="2942" t="s">
        <v>22</v>
      </c>
      <c r="N534" s="2940" t="s">
        <v>22</v>
      </c>
      <c r="O534" s="2377" t="s">
        <v>22</v>
      </c>
      <c r="P534" s="842" t="s">
        <v>22</v>
      </c>
      <c r="Q534" s="2377" t="s">
        <v>1059</v>
      </c>
      <c r="R534" s="842" t="s">
        <v>22</v>
      </c>
      <c r="S534" s="2377"/>
      <c r="T534" s="842" t="s">
        <v>22</v>
      </c>
      <c r="U534" s="2377" t="s">
        <v>22</v>
      </c>
      <c r="V534" s="842" t="s">
        <v>22</v>
      </c>
      <c r="W534" s="2377" t="s">
        <v>22</v>
      </c>
      <c r="X534" s="842" t="s">
        <v>22</v>
      </c>
      <c r="Y534" s="2377" t="s">
        <v>22</v>
      </c>
      <c r="Z534" s="842" t="s">
        <v>22</v>
      </c>
      <c r="AA534" s="2942" t="s">
        <v>22</v>
      </c>
      <c r="AB534" s="2940" t="s">
        <v>22</v>
      </c>
      <c r="AC534" s="2377" t="s">
        <v>22</v>
      </c>
      <c r="AD534" s="842" t="s">
        <v>22</v>
      </c>
      <c r="AE534" s="2377" t="s">
        <v>22</v>
      </c>
      <c r="AF534" s="842" t="s">
        <v>22</v>
      </c>
      <c r="AG534" s="2942" t="s">
        <v>22</v>
      </c>
      <c r="AH534" s="2940" t="s">
        <v>22</v>
      </c>
      <c r="AI534" s="2377" t="s">
        <v>22</v>
      </c>
      <c r="AJ534" s="842" t="s">
        <v>22</v>
      </c>
      <c r="AK534" s="2377" t="s">
        <v>22</v>
      </c>
      <c r="AL534" s="842" t="s">
        <v>22</v>
      </c>
      <c r="AM534" s="1549"/>
      <c r="AN534" s="1659"/>
      <c r="AO534" s="1659"/>
      <c r="AP534" s="1659"/>
      <c r="AQ534" s="1659"/>
      <c r="AR534" s="1659"/>
      <c r="AS534" s="1659"/>
      <c r="AT534" s="1659"/>
      <c r="AU534" s="1659"/>
      <c r="AV534" s="1659"/>
      <c r="AW534" s="699"/>
      <c r="AX534" s="1659">
        <v>0</v>
      </c>
    </row>
    <row s="1874" customFormat="1" customHeight="1" ht="15">
      <c r="A535" s="1659"/>
      <c r="B535" s="2421"/>
      <c r="C535" s="2422"/>
      <c r="D535" s="713" t="str">
        <f>B534&amp;".2"</f>
        <v>3.166.2</v>
      </c>
      <c r="E535" s="1691" t="s">
        <v>1040</v>
      </c>
      <c r="F535" s="2287" t="s">
        <v>390</v>
      </c>
      <c r="G535" s="1762" t="s">
        <v>22</v>
      </c>
      <c r="H535" s="842" t="s">
        <v>22</v>
      </c>
      <c r="I535" s="1762" t="s">
        <v>22</v>
      </c>
      <c r="J535" s="842" t="s">
        <v>22</v>
      </c>
      <c r="K535" s="1762" t="s">
        <v>22</v>
      </c>
      <c r="L535" s="842" t="s">
        <v>22</v>
      </c>
      <c r="M535" s="2943" t="s">
        <v>22</v>
      </c>
      <c r="N535" s="2940" t="s">
        <v>22</v>
      </c>
      <c r="O535" s="1762" t="s">
        <v>22</v>
      </c>
      <c r="P535" s="842" t="s">
        <v>22</v>
      </c>
      <c r="Q535" s="1762">
        <v>46140</v>
      </c>
      <c r="R535" s="842" t="s">
        <v>22</v>
      </c>
      <c r="S535" s="1762"/>
      <c r="T535" s="842" t="s">
        <v>22</v>
      </c>
      <c r="U535" s="1762" t="s">
        <v>22</v>
      </c>
      <c r="V535" s="842" t="s">
        <v>22</v>
      </c>
      <c r="W535" s="1762" t="s">
        <v>22</v>
      </c>
      <c r="X535" s="842" t="s">
        <v>22</v>
      </c>
      <c r="Y535" s="1762" t="s">
        <v>22</v>
      </c>
      <c r="Z535" s="842" t="s">
        <v>22</v>
      </c>
      <c r="AA535" s="2943" t="s">
        <v>22</v>
      </c>
      <c r="AB535" s="2940" t="s">
        <v>22</v>
      </c>
      <c r="AC535" s="1762" t="s">
        <v>22</v>
      </c>
      <c r="AD535" s="842" t="s">
        <v>22</v>
      </c>
      <c r="AE535" s="1762" t="s">
        <v>22</v>
      </c>
      <c r="AF535" s="842" t="s">
        <v>22</v>
      </c>
      <c r="AG535" s="2943" t="s">
        <v>22</v>
      </c>
      <c r="AH535" s="2940" t="s">
        <v>22</v>
      </c>
      <c r="AI535" s="1762" t="s">
        <v>22</v>
      </c>
      <c r="AJ535" s="842" t="s">
        <v>22</v>
      </c>
      <c r="AK535" s="1762" t="s">
        <v>22</v>
      </c>
      <c r="AL535" s="842" t="s">
        <v>22</v>
      </c>
      <c r="AM535" s="1549" t="s">
        <v>1041</v>
      </c>
      <c r="AN535" s="1659"/>
      <c r="AO535" s="1659"/>
      <c r="AP535" s="1659"/>
      <c r="AQ535" s="1659"/>
      <c r="AR535" s="1659"/>
      <c r="AS535" s="1659"/>
      <c r="AT535" s="1659"/>
      <c r="AU535" s="1659"/>
      <c r="AV535" s="1659"/>
      <c r="AW535" s="699"/>
      <c r="AX535" s="1659">
        <v>0</v>
      </c>
    </row>
    <row s="1874" customFormat="1" customHeight="1" ht="15">
      <c r="A536" s="1659"/>
      <c r="B536" s="2421"/>
      <c r="C536" s="2422"/>
      <c r="D536" s="713" t="str">
        <f>B534&amp;".3"</f>
        <v>3.166.3</v>
      </c>
      <c r="E536" s="1691" t="s">
        <v>1042</v>
      </c>
      <c r="F536" s="2287" t="s">
        <v>390</v>
      </c>
      <c r="G536" s="1762" t="s">
        <v>22</v>
      </c>
      <c r="H536" s="842" t="s">
        <v>22</v>
      </c>
      <c r="I536" s="1762" t="s">
        <v>22</v>
      </c>
      <c r="J536" s="842" t="s">
        <v>22</v>
      </c>
      <c r="K536" s="1762" t="s">
        <v>22</v>
      </c>
      <c r="L536" s="842" t="s">
        <v>22</v>
      </c>
      <c r="M536" s="2943" t="s">
        <v>22</v>
      </c>
      <c r="N536" s="2940" t="s">
        <v>22</v>
      </c>
      <c r="O536" s="1762" t="s">
        <v>22</v>
      </c>
      <c r="P536" s="842" t="s">
        <v>22</v>
      </c>
      <c r="Q536" s="1762" t="s">
        <v>22</v>
      </c>
      <c r="R536" s="842" t="s">
        <v>22</v>
      </c>
      <c r="S536" s="1762"/>
      <c r="T536" s="842" t="s">
        <v>22</v>
      </c>
      <c r="U536" s="1762" t="s">
        <v>22</v>
      </c>
      <c r="V536" s="842" t="s">
        <v>22</v>
      </c>
      <c r="W536" s="1762" t="s">
        <v>22</v>
      </c>
      <c r="X536" s="842" t="s">
        <v>22</v>
      </c>
      <c r="Y536" s="1762" t="s">
        <v>22</v>
      </c>
      <c r="Z536" s="842" t="s">
        <v>22</v>
      </c>
      <c r="AA536" s="2943" t="s">
        <v>22</v>
      </c>
      <c r="AB536" s="2940" t="s">
        <v>22</v>
      </c>
      <c r="AC536" s="1762" t="s">
        <v>22</v>
      </c>
      <c r="AD536" s="842" t="s">
        <v>22</v>
      </c>
      <c r="AE536" s="1762" t="s">
        <v>22</v>
      </c>
      <c r="AF536" s="842" t="s">
        <v>22</v>
      </c>
      <c r="AG536" s="2943" t="s">
        <v>22</v>
      </c>
      <c r="AH536" s="2940" t="s">
        <v>22</v>
      </c>
      <c r="AI536" s="1762" t="s">
        <v>22</v>
      </c>
      <c r="AJ536" s="842" t="s">
        <v>22</v>
      </c>
      <c r="AK536" s="1762" t="s">
        <v>22</v>
      </c>
      <c r="AL536" s="842" t="s">
        <v>22</v>
      </c>
      <c r="AM536" s="1549" t="s">
        <v>1043</v>
      </c>
      <c r="AN536" s="1659"/>
      <c r="AO536" s="1659"/>
      <c r="AP536" s="1659"/>
      <c r="AQ536" s="1659"/>
      <c r="AR536" s="1659"/>
      <c r="AS536" s="1659"/>
      <c r="AT536" s="1659"/>
      <c r="AU536" s="1659"/>
      <c r="AV536" s="1659"/>
      <c r="AW536" s="699"/>
      <c r="AX536" s="1659">
        <v>0</v>
      </c>
    </row>
    <row s="1874" customFormat="1" customHeight="1" ht="22.5">
      <c r="A537" s="1659"/>
      <c r="B537" s="2421" t="s">
        <v>1252</v>
      </c>
      <c r="C537" s="2422" t="s">
        <v>104</v>
      </c>
      <c r="D537" s="713" t="str">
        <f>B537&amp;".1"</f>
        <v>3.167.1</v>
      </c>
      <c r="E537" s="1691" t="s">
        <v>1039</v>
      </c>
      <c r="F537" s="2287" t="s">
        <v>390</v>
      </c>
      <c r="G537" s="2377" t="s">
        <v>22</v>
      </c>
      <c r="H537" s="842" t="s">
        <v>22</v>
      </c>
      <c r="I537" s="2377" t="s">
        <v>22</v>
      </c>
      <c r="J537" s="842" t="s">
        <v>22</v>
      </c>
      <c r="K537" s="2377" t="s">
        <v>22</v>
      </c>
      <c r="L537" s="842" t="s">
        <v>22</v>
      </c>
      <c r="M537" s="2942" t="s">
        <v>22</v>
      </c>
      <c r="N537" s="2940" t="s">
        <v>22</v>
      </c>
      <c r="O537" s="2377" t="s">
        <v>22</v>
      </c>
      <c r="P537" s="842" t="s">
        <v>22</v>
      </c>
      <c r="Q537" s="2377" t="s">
        <v>1059</v>
      </c>
      <c r="R537" s="842" t="s">
        <v>22</v>
      </c>
      <c r="S537" s="2377"/>
      <c r="T537" s="842" t="s">
        <v>22</v>
      </c>
      <c r="U537" s="2377" t="s">
        <v>22</v>
      </c>
      <c r="V537" s="842" t="s">
        <v>22</v>
      </c>
      <c r="W537" s="2377" t="s">
        <v>22</v>
      </c>
      <c r="X537" s="842" t="s">
        <v>22</v>
      </c>
      <c r="Y537" s="2377" t="s">
        <v>22</v>
      </c>
      <c r="Z537" s="842" t="s">
        <v>22</v>
      </c>
      <c r="AA537" s="2942" t="s">
        <v>22</v>
      </c>
      <c r="AB537" s="2940" t="s">
        <v>22</v>
      </c>
      <c r="AC537" s="2377" t="s">
        <v>22</v>
      </c>
      <c r="AD537" s="842" t="s">
        <v>22</v>
      </c>
      <c r="AE537" s="2377" t="s">
        <v>22</v>
      </c>
      <c r="AF537" s="842" t="s">
        <v>22</v>
      </c>
      <c r="AG537" s="2942" t="s">
        <v>22</v>
      </c>
      <c r="AH537" s="2940" t="s">
        <v>22</v>
      </c>
      <c r="AI537" s="2377" t="s">
        <v>22</v>
      </c>
      <c r="AJ537" s="842" t="s">
        <v>22</v>
      </c>
      <c r="AK537" s="2377" t="s">
        <v>22</v>
      </c>
      <c r="AL537" s="842" t="s">
        <v>22</v>
      </c>
      <c r="AM537" s="1549"/>
      <c r="AN537" s="1659"/>
      <c r="AO537" s="1659"/>
      <c r="AP537" s="1659"/>
      <c r="AQ537" s="1659"/>
      <c r="AR537" s="1659"/>
      <c r="AS537" s="1659"/>
      <c r="AT537" s="1659"/>
      <c r="AU537" s="1659"/>
      <c r="AV537" s="1659"/>
      <c r="AW537" s="699"/>
      <c r="AX537" s="1659">
        <v>0</v>
      </c>
    </row>
    <row s="1874" customFormat="1" customHeight="1" ht="15">
      <c r="A538" s="1659"/>
      <c r="B538" s="2421"/>
      <c r="C538" s="2422"/>
      <c r="D538" s="713" t="str">
        <f>B537&amp;".2"</f>
        <v>3.167.2</v>
      </c>
      <c r="E538" s="1691" t="s">
        <v>1040</v>
      </c>
      <c r="F538" s="2287" t="s">
        <v>390</v>
      </c>
      <c r="G538" s="1762" t="s">
        <v>22</v>
      </c>
      <c r="H538" s="842" t="s">
        <v>22</v>
      </c>
      <c r="I538" s="1762" t="s">
        <v>22</v>
      </c>
      <c r="J538" s="842" t="s">
        <v>22</v>
      </c>
      <c r="K538" s="1762" t="s">
        <v>22</v>
      </c>
      <c r="L538" s="842" t="s">
        <v>22</v>
      </c>
      <c r="M538" s="2943" t="s">
        <v>22</v>
      </c>
      <c r="N538" s="2940" t="s">
        <v>22</v>
      </c>
      <c r="O538" s="1762" t="s">
        <v>22</v>
      </c>
      <c r="P538" s="842" t="s">
        <v>22</v>
      </c>
      <c r="Q538" s="1762">
        <v>46140</v>
      </c>
      <c r="R538" s="842" t="s">
        <v>22</v>
      </c>
      <c r="S538" s="1762"/>
      <c r="T538" s="842" t="s">
        <v>22</v>
      </c>
      <c r="U538" s="1762" t="s">
        <v>22</v>
      </c>
      <c r="V538" s="842" t="s">
        <v>22</v>
      </c>
      <c r="W538" s="1762" t="s">
        <v>22</v>
      </c>
      <c r="X538" s="842" t="s">
        <v>22</v>
      </c>
      <c r="Y538" s="1762" t="s">
        <v>22</v>
      </c>
      <c r="Z538" s="842" t="s">
        <v>22</v>
      </c>
      <c r="AA538" s="2943" t="s">
        <v>22</v>
      </c>
      <c r="AB538" s="2940" t="s">
        <v>22</v>
      </c>
      <c r="AC538" s="1762" t="s">
        <v>22</v>
      </c>
      <c r="AD538" s="842" t="s">
        <v>22</v>
      </c>
      <c r="AE538" s="1762" t="s">
        <v>22</v>
      </c>
      <c r="AF538" s="842" t="s">
        <v>22</v>
      </c>
      <c r="AG538" s="2943" t="s">
        <v>22</v>
      </c>
      <c r="AH538" s="2940" t="s">
        <v>22</v>
      </c>
      <c r="AI538" s="1762" t="s">
        <v>22</v>
      </c>
      <c r="AJ538" s="842" t="s">
        <v>22</v>
      </c>
      <c r="AK538" s="1762" t="s">
        <v>22</v>
      </c>
      <c r="AL538" s="842" t="s">
        <v>22</v>
      </c>
      <c r="AM538" s="1549" t="s">
        <v>1041</v>
      </c>
      <c r="AN538" s="1659"/>
      <c r="AO538" s="1659"/>
      <c r="AP538" s="1659"/>
      <c r="AQ538" s="1659"/>
      <c r="AR538" s="1659"/>
      <c r="AS538" s="1659"/>
      <c r="AT538" s="1659"/>
      <c r="AU538" s="1659"/>
      <c r="AV538" s="1659"/>
      <c r="AW538" s="699"/>
      <c r="AX538" s="1659">
        <v>0</v>
      </c>
    </row>
    <row s="1874" customFormat="1" customHeight="1" ht="15">
      <c r="A539" s="1659"/>
      <c r="B539" s="2421"/>
      <c r="C539" s="2422"/>
      <c r="D539" s="713" t="str">
        <f>B537&amp;".3"</f>
        <v>3.167.3</v>
      </c>
      <c r="E539" s="1691" t="s">
        <v>1042</v>
      </c>
      <c r="F539" s="2287" t="s">
        <v>390</v>
      </c>
      <c r="G539" s="1762" t="s">
        <v>22</v>
      </c>
      <c r="H539" s="842" t="s">
        <v>22</v>
      </c>
      <c r="I539" s="1762" t="s">
        <v>22</v>
      </c>
      <c r="J539" s="842" t="s">
        <v>22</v>
      </c>
      <c r="K539" s="1762" t="s">
        <v>22</v>
      </c>
      <c r="L539" s="842" t="s">
        <v>22</v>
      </c>
      <c r="M539" s="2943" t="s">
        <v>22</v>
      </c>
      <c r="N539" s="2940" t="s">
        <v>22</v>
      </c>
      <c r="O539" s="1762" t="s">
        <v>22</v>
      </c>
      <c r="P539" s="842" t="s">
        <v>22</v>
      </c>
      <c r="Q539" s="1762" t="s">
        <v>22</v>
      </c>
      <c r="R539" s="842" t="s">
        <v>22</v>
      </c>
      <c r="S539" s="1762"/>
      <c r="T539" s="842" t="s">
        <v>22</v>
      </c>
      <c r="U539" s="1762" t="s">
        <v>22</v>
      </c>
      <c r="V539" s="842" t="s">
        <v>22</v>
      </c>
      <c r="W539" s="1762" t="s">
        <v>22</v>
      </c>
      <c r="X539" s="842" t="s">
        <v>22</v>
      </c>
      <c r="Y539" s="1762" t="s">
        <v>22</v>
      </c>
      <c r="Z539" s="842" t="s">
        <v>22</v>
      </c>
      <c r="AA539" s="2943" t="s">
        <v>22</v>
      </c>
      <c r="AB539" s="2940" t="s">
        <v>22</v>
      </c>
      <c r="AC539" s="1762" t="s">
        <v>22</v>
      </c>
      <c r="AD539" s="842" t="s">
        <v>22</v>
      </c>
      <c r="AE539" s="1762" t="s">
        <v>22</v>
      </c>
      <c r="AF539" s="842" t="s">
        <v>22</v>
      </c>
      <c r="AG539" s="2943" t="s">
        <v>22</v>
      </c>
      <c r="AH539" s="2940" t="s">
        <v>22</v>
      </c>
      <c r="AI539" s="1762" t="s">
        <v>22</v>
      </c>
      <c r="AJ539" s="842" t="s">
        <v>22</v>
      </c>
      <c r="AK539" s="1762" t="s">
        <v>22</v>
      </c>
      <c r="AL539" s="842" t="s">
        <v>22</v>
      </c>
      <c r="AM539" s="1549" t="s">
        <v>1043</v>
      </c>
      <c r="AN539" s="1659"/>
      <c r="AO539" s="1659"/>
      <c r="AP539" s="1659"/>
      <c r="AQ539" s="1659"/>
      <c r="AR539" s="1659"/>
      <c r="AS539" s="1659"/>
      <c r="AT539" s="1659"/>
      <c r="AU539" s="1659"/>
      <c r="AV539" s="1659"/>
      <c r="AW539" s="699"/>
      <c r="AX539" s="1659">
        <v>0</v>
      </c>
    </row>
    <row s="1874" customFormat="1" customHeight="1" ht="22.5">
      <c r="A540" s="1659"/>
      <c r="B540" s="2421" t="s">
        <v>1253</v>
      </c>
      <c r="C540" s="2422" t="s">
        <v>104</v>
      </c>
      <c r="D540" s="713" t="str">
        <f>B540&amp;".1"</f>
        <v>3.168.1</v>
      </c>
      <c r="E540" s="1691" t="s">
        <v>1039</v>
      </c>
      <c r="F540" s="2287" t="s">
        <v>390</v>
      </c>
      <c r="G540" s="2377" t="s">
        <v>22</v>
      </c>
      <c r="H540" s="842" t="s">
        <v>22</v>
      </c>
      <c r="I540" s="2377" t="s">
        <v>22</v>
      </c>
      <c r="J540" s="842" t="s">
        <v>22</v>
      </c>
      <c r="K540" s="2377" t="s">
        <v>22</v>
      </c>
      <c r="L540" s="842" t="s">
        <v>22</v>
      </c>
      <c r="M540" s="2942" t="s">
        <v>22</v>
      </c>
      <c r="N540" s="2940" t="s">
        <v>22</v>
      </c>
      <c r="O540" s="2377" t="s">
        <v>22</v>
      </c>
      <c r="P540" s="842" t="s">
        <v>22</v>
      </c>
      <c r="Q540" s="2377" t="s">
        <v>1059</v>
      </c>
      <c r="R540" s="842" t="s">
        <v>22</v>
      </c>
      <c r="S540" s="2377"/>
      <c r="T540" s="842" t="s">
        <v>22</v>
      </c>
      <c r="U540" s="2377" t="s">
        <v>22</v>
      </c>
      <c r="V540" s="842" t="s">
        <v>22</v>
      </c>
      <c r="W540" s="2377" t="s">
        <v>22</v>
      </c>
      <c r="X540" s="842" t="s">
        <v>22</v>
      </c>
      <c r="Y540" s="2377" t="s">
        <v>22</v>
      </c>
      <c r="Z540" s="842" t="s">
        <v>22</v>
      </c>
      <c r="AA540" s="2942" t="s">
        <v>22</v>
      </c>
      <c r="AB540" s="2940" t="s">
        <v>22</v>
      </c>
      <c r="AC540" s="2377" t="s">
        <v>22</v>
      </c>
      <c r="AD540" s="842" t="s">
        <v>22</v>
      </c>
      <c r="AE540" s="2377" t="s">
        <v>22</v>
      </c>
      <c r="AF540" s="842" t="s">
        <v>22</v>
      </c>
      <c r="AG540" s="2942" t="s">
        <v>22</v>
      </c>
      <c r="AH540" s="2940" t="s">
        <v>22</v>
      </c>
      <c r="AI540" s="2377" t="s">
        <v>22</v>
      </c>
      <c r="AJ540" s="842" t="s">
        <v>22</v>
      </c>
      <c r="AK540" s="2377" t="s">
        <v>22</v>
      </c>
      <c r="AL540" s="842" t="s">
        <v>22</v>
      </c>
      <c r="AM540" s="1549"/>
      <c r="AN540" s="1659"/>
      <c r="AO540" s="1659"/>
      <c r="AP540" s="1659"/>
      <c r="AQ540" s="1659"/>
      <c r="AR540" s="1659"/>
      <c r="AS540" s="1659"/>
      <c r="AT540" s="1659"/>
      <c r="AU540" s="1659"/>
      <c r="AV540" s="1659"/>
      <c r="AW540" s="699"/>
      <c r="AX540" s="1659">
        <v>0</v>
      </c>
    </row>
    <row s="1874" customFormat="1" customHeight="1" ht="15">
      <c r="A541" s="1659"/>
      <c r="B541" s="2421"/>
      <c r="C541" s="2422"/>
      <c r="D541" s="713" t="str">
        <f>B540&amp;".2"</f>
        <v>3.168.2</v>
      </c>
      <c r="E541" s="1691" t="s">
        <v>1040</v>
      </c>
      <c r="F541" s="2287" t="s">
        <v>390</v>
      </c>
      <c r="G541" s="1762" t="s">
        <v>22</v>
      </c>
      <c r="H541" s="842" t="s">
        <v>22</v>
      </c>
      <c r="I541" s="1762" t="s">
        <v>22</v>
      </c>
      <c r="J541" s="842" t="s">
        <v>22</v>
      </c>
      <c r="K541" s="1762" t="s">
        <v>22</v>
      </c>
      <c r="L541" s="842" t="s">
        <v>22</v>
      </c>
      <c r="M541" s="2943" t="s">
        <v>22</v>
      </c>
      <c r="N541" s="2940" t="s">
        <v>22</v>
      </c>
      <c r="O541" s="1762" t="s">
        <v>22</v>
      </c>
      <c r="P541" s="842" t="s">
        <v>22</v>
      </c>
      <c r="Q541" s="1762">
        <v>46141</v>
      </c>
      <c r="R541" s="842" t="s">
        <v>22</v>
      </c>
      <c r="S541" s="1762"/>
      <c r="T541" s="842" t="s">
        <v>22</v>
      </c>
      <c r="U541" s="1762" t="s">
        <v>22</v>
      </c>
      <c r="V541" s="842" t="s">
        <v>22</v>
      </c>
      <c r="W541" s="1762" t="s">
        <v>22</v>
      </c>
      <c r="X541" s="842" t="s">
        <v>22</v>
      </c>
      <c r="Y541" s="1762" t="s">
        <v>22</v>
      </c>
      <c r="Z541" s="842" t="s">
        <v>22</v>
      </c>
      <c r="AA541" s="2943" t="s">
        <v>22</v>
      </c>
      <c r="AB541" s="2940" t="s">
        <v>22</v>
      </c>
      <c r="AC541" s="1762" t="s">
        <v>22</v>
      </c>
      <c r="AD541" s="842" t="s">
        <v>22</v>
      </c>
      <c r="AE541" s="1762" t="s">
        <v>22</v>
      </c>
      <c r="AF541" s="842" t="s">
        <v>22</v>
      </c>
      <c r="AG541" s="2943" t="s">
        <v>22</v>
      </c>
      <c r="AH541" s="2940" t="s">
        <v>22</v>
      </c>
      <c r="AI541" s="1762" t="s">
        <v>22</v>
      </c>
      <c r="AJ541" s="842" t="s">
        <v>22</v>
      </c>
      <c r="AK541" s="1762" t="s">
        <v>22</v>
      </c>
      <c r="AL541" s="842" t="s">
        <v>22</v>
      </c>
      <c r="AM541" s="1549" t="s">
        <v>1041</v>
      </c>
      <c r="AN541" s="1659"/>
      <c r="AO541" s="1659"/>
      <c r="AP541" s="1659"/>
      <c r="AQ541" s="1659"/>
      <c r="AR541" s="1659"/>
      <c r="AS541" s="1659"/>
      <c r="AT541" s="1659"/>
      <c r="AU541" s="1659"/>
      <c r="AV541" s="1659"/>
      <c r="AW541" s="699"/>
      <c r="AX541" s="1659">
        <v>0</v>
      </c>
    </row>
    <row s="1874" customFormat="1" customHeight="1" ht="15">
      <c r="A542" s="1659"/>
      <c r="B542" s="2421"/>
      <c r="C542" s="2422"/>
      <c r="D542" s="713" t="str">
        <f>B540&amp;".3"</f>
        <v>3.168.3</v>
      </c>
      <c r="E542" s="1691" t="s">
        <v>1042</v>
      </c>
      <c r="F542" s="2287" t="s">
        <v>390</v>
      </c>
      <c r="G542" s="1762" t="s">
        <v>22</v>
      </c>
      <c r="H542" s="842" t="s">
        <v>22</v>
      </c>
      <c r="I542" s="1762" t="s">
        <v>22</v>
      </c>
      <c r="J542" s="842" t="s">
        <v>22</v>
      </c>
      <c r="K542" s="1762" t="s">
        <v>22</v>
      </c>
      <c r="L542" s="842" t="s">
        <v>22</v>
      </c>
      <c r="M542" s="2943" t="s">
        <v>22</v>
      </c>
      <c r="N542" s="2940" t="s">
        <v>22</v>
      </c>
      <c r="O542" s="1762" t="s">
        <v>22</v>
      </c>
      <c r="P542" s="842" t="s">
        <v>22</v>
      </c>
      <c r="Q542" s="1762" t="s">
        <v>22</v>
      </c>
      <c r="R542" s="842" t="s">
        <v>22</v>
      </c>
      <c r="S542" s="1762"/>
      <c r="T542" s="842" t="s">
        <v>22</v>
      </c>
      <c r="U542" s="1762" t="s">
        <v>22</v>
      </c>
      <c r="V542" s="842" t="s">
        <v>22</v>
      </c>
      <c r="W542" s="1762" t="s">
        <v>22</v>
      </c>
      <c r="X542" s="842" t="s">
        <v>22</v>
      </c>
      <c r="Y542" s="1762" t="s">
        <v>22</v>
      </c>
      <c r="Z542" s="842" t="s">
        <v>22</v>
      </c>
      <c r="AA542" s="2943" t="s">
        <v>22</v>
      </c>
      <c r="AB542" s="2940" t="s">
        <v>22</v>
      </c>
      <c r="AC542" s="1762" t="s">
        <v>22</v>
      </c>
      <c r="AD542" s="842" t="s">
        <v>22</v>
      </c>
      <c r="AE542" s="1762" t="s">
        <v>22</v>
      </c>
      <c r="AF542" s="842" t="s">
        <v>22</v>
      </c>
      <c r="AG542" s="2943" t="s">
        <v>22</v>
      </c>
      <c r="AH542" s="2940" t="s">
        <v>22</v>
      </c>
      <c r="AI542" s="1762" t="s">
        <v>22</v>
      </c>
      <c r="AJ542" s="842" t="s">
        <v>22</v>
      </c>
      <c r="AK542" s="1762" t="s">
        <v>22</v>
      </c>
      <c r="AL542" s="842" t="s">
        <v>22</v>
      </c>
      <c r="AM542" s="1549" t="s">
        <v>1043</v>
      </c>
      <c r="AN542" s="1659"/>
      <c r="AO542" s="1659"/>
      <c r="AP542" s="1659"/>
      <c r="AQ542" s="1659"/>
      <c r="AR542" s="1659"/>
      <c r="AS542" s="1659"/>
      <c r="AT542" s="1659"/>
      <c r="AU542" s="1659"/>
      <c r="AV542" s="1659"/>
      <c r="AW542" s="699"/>
      <c r="AX542" s="1659">
        <v>0</v>
      </c>
    </row>
    <row s="1874" customFormat="1" customHeight="1" ht="22.5">
      <c r="A543" s="1659"/>
      <c r="B543" s="2421" t="s">
        <v>1254</v>
      </c>
      <c r="C543" s="2422" t="s">
        <v>104</v>
      </c>
      <c r="D543" s="713" t="str">
        <f>B543&amp;".1"</f>
        <v>3.169.1</v>
      </c>
      <c r="E543" s="1691" t="s">
        <v>1039</v>
      </c>
      <c r="F543" s="2287" t="s">
        <v>390</v>
      </c>
      <c r="G543" s="2377" t="s">
        <v>22</v>
      </c>
      <c r="H543" s="842" t="s">
        <v>22</v>
      </c>
      <c r="I543" s="2377" t="s">
        <v>22</v>
      </c>
      <c r="J543" s="842" t="s">
        <v>22</v>
      </c>
      <c r="K543" s="2377" t="s">
        <v>22</v>
      </c>
      <c r="L543" s="842" t="s">
        <v>22</v>
      </c>
      <c r="M543" s="2942" t="s">
        <v>22</v>
      </c>
      <c r="N543" s="2940" t="s">
        <v>22</v>
      </c>
      <c r="O543" s="2377" t="s">
        <v>22</v>
      </c>
      <c r="P543" s="842" t="s">
        <v>22</v>
      </c>
      <c r="Q543" s="2377" t="s">
        <v>1059</v>
      </c>
      <c r="R543" s="842" t="s">
        <v>22</v>
      </c>
      <c r="S543" s="2377"/>
      <c r="T543" s="842" t="s">
        <v>22</v>
      </c>
      <c r="U543" s="2377" t="s">
        <v>22</v>
      </c>
      <c r="V543" s="842" t="s">
        <v>22</v>
      </c>
      <c r="W543" s="2377" t="s">
        <v>22</v>
      </c>
      <c r="X543" s="842" t="s">
        <v>22</v>
      </c>
      <c r="Y543" s="2377" t="s">
        <v>22</v>
      </c>
      <c r="Z543" s="842" t="s">
        <v>22</v>
      </c>
      <c r="AA543" s="2942" t="s">
        <v>22</v>
      </c>
      <c r="AB543" s="2940" t="s">
        <v>22</v>
      </c>
      <c r="AC543" s="2377" t="s">
        <v>22</v>
      </c>
      <c r="AD543" s="842" t="s">
        <v>22</v>
      </c>
      <c r="AE543" s="2377" t="s">
        <v>22</v>
      </c>
      <c r="AF543" s="842" t="s">
        <v>22</v>
      </c>
      <c r="AG543" s="2942" t="s">
        <v>22</v>
      </c>
      <c r="AH543" s="2940" t="s">
        <v>22</v>
      </c>
      <c r="AI543" s="2377" t="s">
        <v>22</v>
      </c>
      <c r="AJ543" s="842" t="s">
        <v>22</v>
      </c>
      <c r="AK543" s="2377" t="s">
        <v>22</v>
      </c>
      <c r="AL543" s="842" t="s">
        <v>22</v>
      </c>
      <c r="AM543" s="1549"/>
      <c r="AN543" s="1659"/>
      <c r="AO543" s="1659"/>
      <c r="AP543" s="1659"/>
      <c r="AQ543" s="1659"/>
      <c r="AR543" s="1659"/>
      <c r="AS543" s="1659"/>
      <c r="AT543" s="1659"/>
      <c r="AU543" s="1659"/>
      <c r="AV543" s="1659"/>
      <c r="AW543" s="699"/>
      <c r="AX543" s="1659">
        <v>0</v>
      </c>
    </row>
    <row s="1874" customFormat="1" customHeight="1" ht="15">
      <c r="A544" s="1659"/>
      <c r="B544" s="2421"/>
      <c r="C544" s="2422"/>
      <c r="D544" s="713" t="str">
        <f>B543&amp;".2"</f>
        <v>3.169.2</v>
      </c>
      <c r="E544" s="1691" t="s">
        <v>1040</v>
      </c>
      <c r="F544" s="2287" t="s">
        <v>390</v>
      </c>
      <c r="G544" s="1762" t="s">
        <v>22</v>
      </c>
      <c r="H544" s="842" t="s">
        <v>22</v>
      </c>
      <c r="I544" s="1762" t="s">
        <v>22</v>
      </c>
      <c r="J544" s="842" t="s">
        <v>22</v>
      </c>
      <c r="K544" s="1762" t="s">
        <v>22</v>
      </c>
      <c r="L544" s="842" t="s">
        <v>22</v>
      </c>
      <c r="M544" s="2943" t="s">
        <v>22</v>
      </c>
      <c r="N544" s="2940" t="s">
        <v>22</v>
      </c>
      <c r="O544" s="1762" t="s">
        <v>22</v>
      </c>
      <c r="P544" s="842" t="s">
        <v>22</v>
      </c>
      <c r="Q544" s="1762">
        <v>46141</v>
      </c>
      <c r="R544" s="842" t="s">
        <v>22</v>
      </c>
      <c r="S544" s="1762"/>
      <c r="T544" s="842" t="s">
        <v>22</v>
      </c>
      <c r="U544" s="1762" t="s">
        <v>22</v>
      </c>
      <c r="V544" s="842" t="s">
        <v>22</v>
      </c>
      <c r="W544" s="1762" t="s">
        <v>22</v>
      </c>
      <c r="X544" s="842" t="s">
        <v>22</v>
      </c>
      <c r="Y544" s="1762" t="s">
        <v>22</v>
      </c>
      <c r="Z544" s="842" t="s">
        <v>22</v>
      </c>
      <c r="AA544" s="2943" t="s">
        <v>22</v>
      </c>
      <c r="AB544" s="2940" t="s">
        <v>22</v>
      </c>
      <c r="AC544" s="1762" t="s">
        <v>22</v>
      </c>
      <c r="AD544" s="842" t="s">
        <v>22</v>
      </c>
      <c r="AE544" s="1762" t="s">
        <v>22</v>
      </c>
      <c r="AF544" s="842" t="s">
        <v>22</v>
      </c>
      <c r="AG544" s="2943" t="s">
        <v>22</v>
      </c>
      <c r="AH544" s="2940" t="s">
        <v>22</v>
      </c>
      <c r="AI544" s="1762" t="s">
        <v>22</v>
      </c>
      <c r="AJ544" s="842" t="s">
        <v>22</v>
      </c>
      <c r="AK544" s="1762" t="s">
        <v>22</v>
      </c>
      <c r="AL544" s="842" t="s">
        <v>22</v>
      </c>
      <c r="AM544" s="1549" t="s">
        <v>1041</v>
      </c>
      <c r="AN544" s="1659"/>
      <c r="AO544" s="1659"/>
      <c r="AP544" s="1659"/>
      <c r="AQ544" s="1659"/>
      <c r="AR544" s="1659"/>
      <c r="AS544" s="1659"/>
      <c r="AT544" s="1659"/>
      <c r="AU544" s="1659"/>
      <c r="AV544" s="1659"/>
      <c r="AW544" s="699"/>
      <c r="AX544" s="1659">
        <v>0</v>
      </c>
    </row>
    <row s="1874" customFormat="1" customHeight="1" ht="15">
      <c r="A545" s="1659"/>
      <c r="B545" s="2421"/>
      <c r="C545" s="2422"/>
      <c r="D545" s="713" t="str">
        <f>B543&amp;".3"</f>
        <v>3.169.3</v>
      </c>
      <c r="E545" s="1691" t="s">
        <v>1042</v>
      </c>
      <c r="F545" s="2287" t="s">
        <v>390</v>
      </c>
      <c r="G545" s="1762" t="s">
        <v>22</v>
      </c>
      <c r="H545" s="842" t="s">
        <v>22</v>
      </c>
      <c r="I545" s="1762" t="s">
        <v>22</v>
      </c>
      <c r="J545" s="842" t="s">
        <v>22</v>
      </c>
      <c r="K545" s="1762" t="s">
        <v>22</v>
      </c>
      <c r="L545" s="842" t="s">
        <v>22</v>
      </c>
      <c r="M545" s="2943" t="s">
        <v>22</v>
      </c>
      <c r="N545" s="2940" t="s">
        <v>22</v>
      </c>
      <c r="O545" s="1762" t="s">
        <v>22</v>
      </c>
      <c r="P545" s="842" t="s">
        <v>22</v>
      </c>
      <c r="Q545" s="1762" t="s">
        <v>22</v>
      </c>
      <c r="R545" s="842" t="s">
        <v>22</v>
      </c>
      <c r="S545" s="1762"/>
      <c r="T545" s="842" t="s">
        <v>22</v>
      </c>
      <c r="U545" s="1762" t="s">
        <v>22</v>
      </c>
      <c r="V545" s="842" t="s">
        <v>22</v>
      </c>
      <c r="W545" s="1762" t="s">
        <v>22</v>
      </c>
      <c r="X545" s="842" t="s">
        <v>22</v>
      </c>
      <c r="Y545" s="1762" t="s">
        <v>22</v>
      </c>
      <c r="Z545" s="842" t="s">
        <v>22</v>
      </c>
      <c r="AA545" s="2943" t="s">
        <v>22</v>
      </c>
      <c r="AB545" s="2940" t="s">
        <v>22</v>
      </c>
      <c r="AC545" s="1762" t="s">
        <v>22</v>
      </c>
      <c r="AD545" s="842" t="s">
        <v>22</v>
      </c>
      <c r="AE545" s="1762" t="s">
        <v>22</v>
      </c>
      <c r="AF545" s="842" t="s">
        <v>22</v>
      </c>
      <c r="AG545" s="2943" t="s">
        <v>22</v>
      </c>
      <c r="AH545" s="2940" t="s">
        <v>22</v>
      </c>
      <c r="AI545" s="1762" t="s">
        <v>22</v>
      </c>
      <c r="AJ545" s="842" t="s">
        <v>22</v>
      </c>
      <c r="AK545" s="1762" t="s">
        <v>22</v>
      </c>
      <c r="AL545" s="842" t="s">
        <v>22</v>
      </c>
      <c r="AM545" s="1549" t="s">
        <v>1043</v>
      </c>
      <c r="AN545" s="1659"/>
      <c r="AO545" s="1659"/>
      <c r="AP545" s="1659"/>
      <c r="AQ545" s="1659"/>
      <c r="AR545" s="1659"/>
      <c r="AS545" s="1659"/>
      <c r="AT545" s="1659"/>
      <c r="AU545" s="1659"/>
      <c r="AV545" s="1659"/>
      <c r="AW545" s="699"/>
      <c r="AX545" s="1659">
        <v>0</v>
      </c>
    </row>
    <row s="1874" customFormat="1" customHeight="1" ht="22.5">
      <c r="A546" s="1659"/>
      <c r="B546" s="2421" t="s">
        <v>1255</v>
      </c>
      <c r="C546" s="2422" t="s">
        <v>104</v>
      </c>
      <c r="D546" s="713" t="str">
        <f>B546&amp;".1"</f>
        <v>3.170.1</v>
      </c>
      <c r="E546" s="1691" t="s">
        <v>1039</v>
      </c>
      <c r="F546" s="2287" t="s">
        <v>390</v>
      </c>
      <c r="G546" s="2377" t="s">
        <v>22</v>
      </c>
      <c r="H546" s="842" t="s">
        <v>22</v>
      </c>
      <c r="I546" s="2377" t="s">
        <v>22</v>
      </c>
      <c r="J546" s="842" t="s">
        <v>22</v>
      </c>
      <c r="K546" s="2377" t="s">
        <v>22</v>
      </c>
      <c r="L546" s="842" t="s">
        <v>22</v>
      </c>
      <c r="M546" s="2942" t="s">
        <v>22</v>
      </c>
      <c r="N546" s="2940" t="s">
        <v>22</v>
      </c>
      <c r="O546" s="2377" t="s">
        <v>22</v>
      </c>
      <c r="P546" s="842" t="s">
        <v>22</v>
      </c>
      <c r="Q546" s="2377" t="s">
        <v>1059</v>
      </c>
      <c r="R546" s="842" t="s">
        <v>22</v>
      </c>
      <c r="S546" s="2377"/>
      <c r="T546" s="842" t="s">
        <v>22</v>
      </c>
      <c r="U546" s="2377" t="s">
        <v>22</v>
      </c>
      <c r="V546" s="842" t="s">
        <v>22</v>
      </c>
      <c r="W546" s="2377" t="s">
        <v>22</v>
      </c>
      <c r="X546" s="842" t="s">
        <v>22</v>
      </c>
      <c r="Y546" s="2377" t="s">
        <v>22</v>
      </c>
      <c r="Z546" s="842" t="s">
        <v>22</v>
      </c>
      <c r="AA546" s="2942" t="s">
        <v>22</v>
      </c>
      <c r="AB546" s="2940" t="s">
        <v>22</v>
      </c>
      <c r="AC546" s="2377" t="s">
        <v>22</v>
      </c>
      <c r="AD546" s="842" t="s">
        <v>22</v>
      </c>
      <c r="AE546" s="2377" t="s">
        <v>22</v>
      </c>
      <c r="AF546" s="842" t="s">
        <v>22</v>
      </c>
      <c r="AG546" s="2942" t="s">
        <v>22</v>
      </c>
      <c r="AH546" s="2940" t="s">
        <v>22</v>
      </c>
      <c r="AI546" s="2377" t="s">
        <v>22</v>
      </c>
      <c r="AJ546" s="842" t="s">
        <v>22</v>
      </c>
      <c r="AK546" s="2377" t="s">
        <v>22</v>
      </c>
      <c r="AL546" s="842" t="s">
        <v>22</v>
      </c>
      <c r="AM546" s="1549"/>
      <c r="AN546" s="1659"/>
      <c r="AO546" s="1659"/>
      <c r="AP546" s="1659"/>
      <c r="AQ546" s="1659"/>
      <c r="AR546" s="1659"/>
      <c r="AS546" s="1659"/>
      <c r="AT546" s="1659"/>
      <c r="AU546" s="1659"/>
      <c r="AV546" s="1659"/>
      <c r="AW546" s="699"/>
      <c r="AX546" s="1659">
        <v>0</v>
      </c>
    </row>
    <row s="1874" customFormat="1" customHeight="1" ht="15">
      <c r="A547" s="1659"/>
      <c r="B547" s="2421"/>
      <c r="C547" s="2422"/>
      <c r="D547" s="713" t="str">
        <f>B546&amp;".2"</f>
        <v>3.170.2</v>
      </c>
      <c r="E547" s="1691" t="s">
        <v>1040</v>
      </c>
      <c r="F547" s="2287" t="s">
        <v>390</v>
      </c>
      <c r="G547" s="1762" t="s">
        <v>22</v>
      </c>
      <c r="H547" s="842" t="s">
        <v>22</v>
      </c>
      <c r="I547" s="1762" t="s">
        <v>22</v>
      </c>
      <c r="J547" s="842" t="s">
        <v>22</v>
      </c>
      <c r="K547" s="1762" t="s">
        <v>22</v>
      </c>
      <c r="L547" s="842" t="s">
        <v>22</v>
      </c>
      <c r="M547" s="2943" t="s">
        <v>22</v>
      </c>
      <c r="N547" s="2940" t="s">
        <v>22</v>
      </c>
      <c r="O547" s="1762" t="s">
        <v>22</v>
      </c>
      <c r="P547" s="842" t="s">
        <v>22</v>
      </c>
      <c r="Q547" s="1762">
        <v>46141</v>
      </c>
      <c r="R547" s="842" t="s">
        <v>22</v>
      </c>
      <c r="S547" s="1762"/>
      <c r="T547" s="842" t="s">
        <v>22</v>
      </c>
      <c r="U547" s="1762" t="s">
        <v>22</v>
      </c>
      <c r="V547" s="842" t="s">
        <v>22</v>
      </c>
      <c r="W547" s="1762" t="s">
        <v>22</v>
      </c>
      <c r="X547" s="842" t="s">
        <v>22</v>
      </c>
      <c r="Y547" s="1762" t="s">
        <v>22</v>
      </c>
      <c r="Z547" s="842" t="s">
        <v>22</v>
      </c>
      <c r="AA547" s="2943" t="s">
        <v>22</v>
      </c>
      <c r="AB547" s="2940" t="s">
        <v>22</v>
      </c>
      <c r="AC547" s="1762" t="s">
        <v>22</v>
      </c>
      <c r="AD547" s="842" t="s">
        <v>22</v>
      </c>
      <c r="AE547" s="1762" t="s">
        <v>22</v>
      </c>
      <c r="AF547" s="842" t="s">
        <v>22</v>
      </c>
      <c r="AG547" s="2943" t="s">
        <v>22</v>
      </c>
      <c r="AH547" s="2940" t="s">
        <v>22</v>
      </c>
      <c r="AI547" s="1762" t="s">
        <v>22</v>
      </c>
      <c r="AJ547" s="842" t="s">
        <v>22</v>
      </c>
      <c r="AK547" s="1762" t="s">
        <v>22</v>
      </c>
      <c r="AL547" s="842" t="s">
        <v>22</v>
      </c>
      <c r="AM547" s="1549" t="s">
        <v>1041</v>
      </c>
      <c r="AN547" s="1659"/>
      <c r="AO547" s="1659"/>
      <c r="AP547" s="1659"/>
      <c r="AQ547" s="1659"/>
      <c r="AR547" s="1659"/>
      <c r="AS547" s="1659"/>
      <c r="AT547" s="1659"/>
      <c r="AU547" s="1659"/>
      <c r="AV547" s="1659"/>
      <c r="AW547" s="699"/>
      <c r="AX547" s="1659">
        <v>0</v>
      </c>
    </row>
    <row s="1874" customFormat="1" customHeight="1" ht="15">
      <c r="A548" s="1659"/>
      <c r="B548" s="2421"/>
      <c r="C548" s="2422"/>
      <c r="D548" s="713" t="str">
        <f>B546&amp;".3"</f>
        <v>3.170.3</v>
      </c>
      <c r="E548" s="1691" t="s">
        <v>1042</v>
      </c>
      <c r="F548" s="2287" t="s">
        <v>390</v>
      </c>
      <c r="G548" s="1762" t="s">
        <v>22</v>
      </c>
      <c r="H548" s="842" t="s">
        <v>22</v>
      </c>
      <c r="I548" s="1762" t="s">
        <v>22</v>
      </c>
      <c r="J548" s="842" t="s">
        <v>22</v>
      </c>
      <c r="K548" s="1762" t="s">
        <v>22</v>
      </c>
      <c r="L548" s="842" t="s">
        <v>22</v>
      </c>
      <c r="M548" s="2943" t="s">
        <v>22</v>
      </c>
      <c r="N548" s="2940" t="s">
        <v>22</v>
      </c>
      <c r="O548" s="1762" t="s">
        <v>22</v>
      </c>
      <c r="P548" s="842" t="s">
        <v>22</v>
      </c>
      <c r="Q548" s="1762" t="s">
        <v>22</v>
      </c>
      <c r="R548" s="842" t="s">
        <v>22</v>
      </c>
      <c r="S548" s="1762"/>
      <c r="T548" s="842" t="s">
        <v>22</v>
      </c>
      <c r="U548" s="1762" t="s">
        <v>22</v>
      </c>
      <c r="V548" s="842" t="s">
        <v>22</v>
      </c>
      <c r="W548" s="1762" t="s">
        <v>22</v>
      </c>
      <c r="X548" s="842" t="s">
        <v>22</v>
      </c>
      <c r="Y548" s="1762" t="s">
        <v>22</v>
      </c>
      <c r="Z548" s="842" t="s">
        <v>22</v>
      </c>
      <c r="AA548" s="2943" t="s">
        <v>22</v>
      </c>
      <c r="AB548" s="2940" t="s">
        <v>22</v>
      </c>
      <c r="AC548" s="1762" t="s">
        <v>22</v>
      </c>
      <c r="AD548" s="842" t="s">
        <v>22</v>
      </c>
      <c r="AE548" s="1762" t="s">
        <v>22</v>
      </c>
      <c r="AF548" s="842" t="s">
        <v>22</v>
      </c>
      <c r="AG548" s="2943" t="s">
        <v>22</v>
      </c>
      <c r="AH548" s="2940" t="s">
        <v>22</v>
      </c>
      <c r="AI548" s="1762" t="s">
        <v>22</v>
      </c>
      <c r="AJ548" s="842" t="s">
        <v>22</v>
      </c>
      <c r="AK548" s="1762" t="s">
        <v>22</v>
      </c>
      <c r="AL548" s="842" t="s">
        <v>22</v>
      </c>
      <c r="AM548" s="1549" t="s">
        <v>1043</v>
      </c>
      <c r="AN548" s="1659"/>
      <c r="AO548" s="1659"/>
      <c r="AP548" s="1659"/>
      <c r="AQ548" s="1659"/>
      <c r="AR548" s="1659"/>
      <c r="AS548" s="1659"/>
      <c r="AT548" s="1659"/>
      <c r="AU548" s="1659"/>
      <c r="AV548" s="1659"/>
      <c r="AW548" s="699"/>
      <c r="AX548" s="1659">
        <v>0</v>
      </c>
    </row>
    <row s="1874" customFormat="1" customHeight="1" ht="22.5">
      <c r="A549" s="1659"/>
      <c r="B549" s="2421" t="s">
        <v>1256</v>
      </c>
      <c r="C549" s="2422" t="s">
        <v>104</v>
      </c>
      <c r="D549" s="713" t="str">
        <f>B549&amp;".1"</f>
        <v>3.171.1</v>
      </c>
      <c r="E549" s="1691" t="s">
        <v>1039</v>
      </c>
      <c r="F549" s="2287" t="s">
        <v>390</v>
      </c>
      <c r="G549" s="2377" t="s">
        <v>22</v>
      </c>
      <c r="H549" s="842" t="s">
        <v>22</v>
      </c>
      <c r="I549" s="2377" t="s">
        <v>22</v>
      </c>
      <c r="J549" s="842" t="s">
        <v>22</v>
      </c>
      <c r="K549" s="2377" t="s">
        <v>22</v>
      </c>
      <c r="L549" s="842" t="s">
        <v>22</v>
      </c>
      <c r="M549" s="2942" t="s">
        <v>22</v>
      </c>
      <c r="N549" s="2940" t="s">
        <v>22</v>
      </c>
      <c r="O549" s="2377" t="s">
        <v>22</v>
      </c>
      <c r="P549" s="842" t="s">
        <v>22</v>
      </c>
      <c r="Q549" s="2377" t="s">
        <v>1059</v>
      </c>
      <c r="R549" s="842" t="s">
        <v>22</v>
      </c>
      <c r="S549" s="2377"/>
      <c r="T549" s="842" t="s">
        <v>22</v>
      </c>
      <c r="U549" s="2377" t="s">
        <v>22</v>
      </c>
      <c r="V549" s="842" t="s">
        <v>22</v>
      </c>
      <c r="W549" s="2377" t="s">
        <v>22</v>
      </c>
      <c r="X549" s="842" t="s">
        <v>22</v>
      </c>
      <c r="Y549" s="2377" t="s">
        <v>22</v>
      </c>
      <c r="Z549" s="842" t="s">
        <v>22</v>
      </c>
      <c r="AA549" s="2942" t="s">
        <v>22</v>
      </c>
      <c r="AB549" s="2940" t="s">
        <v>22</v>
      </c>
      <c r="AC549" s="2377" t="s">
        <v>22</v>
      </c>
      <c r="AD549" s="842" t="s">
        <v>22</v>
      </c>
      <c r="AE549" s="2377" t="s">
        <v>22</v>
      </c>
      <c r="AF549" s="842" t="s">
        <v>22</v>
      </c>
      <c r="AG549" s="2942" t="s">
        <v>22</v>
      </c>
      <c r="AH549" s="2940" t="s">
        <v>22</v>
      </c>
      <c r="AI549" s="2377" t="s">
        <v>22</v>
      </c>
      <c r="AJ549" s="842" t="s">
        <v>22</v>
      </c>
      <c r="AK549" s="2377" t="s">
        <v>22</v>
      </c>
      <c r="AL549" s="842" t="s">
        <v>22</v>
      </c>
      <c r="AM549" s="1549"/>
      <c r="AN549" s="1659"/>
      <c r="AO549" s="1659"/>
      <c r="AP549" s="1659"/>
      <c r="AQ549" s="1659"/>
      <c r="AR549" s="1659"/>
      <c r="AS549" s="1659"/>
      <c r="AT549" s="1659"/>
      <c r="AU549" s="1659"/>
      <c r="AV549" s="1659"/>
      <c r="AW549" s="699"/>
      <c r="AX549" s="1659">
        <v>0</v>
      </c>
    </row>
    <row s="1874" customFormat="1" customHeight="1" ht="15">
      <c r="A550" s="1659"/>
      <c r="B550" s="2421"/>
      <c r="C550" s="2422"/>
      <c r="D550" s="713" t="str">
        <f>B549&amp;".2"</f>
        <v>3.171.2</v>
      </c>
      <c r="E550" s="1691" t="s">
        <v>1040</v>
      </c>
      <c r="F550" s="2287" t="s">
        <v>390</v>
      </c>
      <c r="G550" s="1762" t="s">
        <v>22</v>
      </c>
      <c r="H550" s="842" t="s">
        <v>22</v>
      </c>
      <c r="I550" s="1762" t="s">
        <v>22</v>
      </c>
      <c r="J550" s="842" t="s">
        <v>22</v>
      </c>
      <c r="K550" s="1762" t="s">
        <v>22</v>
      </c>
      <c r="L550" s="842" t="s">
        <v>22</v>
      </c>
      <c r="M550" s="2943" t="s">
        <v>22</v>
      </c>
      <c r="N550" s="2940" t="s">
        <v>22</v>
      </c>
      <c r="O550" s="1762" t="s">
        <v>22</v>
      </c>
      <c r="P550" s="842" t="s">
        <v>22</v>
      </c>
      <c r="Q550" s="1762">
        <v>46141</v>
      </c>
      <c r="R550" s="842" t="s">
        <v>22</v>
      </c>
      <c r="S550" s="1762"/>
      <c r="T550" s="842" t="s">
        <v>22</v>
      </c>
      <c r="U550" s="1762" t="s">
        <v>22</v>
      </c>
      <c r="V550" s="842" t="s">
        <v>22</v>
      </c>
      <c r="W550" s="1762" t="s">
        <v>22</v>
      </c>
      <c r="X550" s="842" t="s">
        <v>22</v>
      </c>
      <c r="Y550" s="1762" t="s">
        <v>22</v>
      </c>
      <c r="Z550" s="842" t="s">
        <v>22</v>
      </c>
      <c r="AA550" s="2943" t="s">
        <v>22</v>
      </c>
      <c r="AB550" s="2940" t="s">
        <v>22</v>
      </c>
      <c r="AC550" s="1762" t="s">
        <v>22</v>
      </c>
      <c r="AD550" s="842" t="s">
        <v>22</v>
      </c>
      <c r="AE550" s="1762" t="s">
        <v>22</v>
      </c>
      <c r="AF550" s="842" t="s">
        <v>22</v>
      </c>
      <c r="AG550" s="2943" t="s">
        <v>22</v>
      </c>
      <c r="AH550" s="2940" t="s">
        <v>22</v>
      </c>
      <c r="AI550" s="1762" t="s">
        <v>22</v>
      </c>
      <c r="AJ550" s="842" t="s">
        <v>22</v>
      </c>
      <c r="AK550" s="1762" t="s">
        <v>22</v>
      </c>
      <c r="AL550" s="842" t="s">
        <v>22</v>
      </c>
      <c r="AM550" s="1549" t="s">
        <v>1041</v>
      </c>
      <c r="AN550" s="1659"/>
      <c r="AO550" s="1659"/>
      <c r="AP550" s="1659"/>
      <c r="AQ550" s="1659"/>
      <c r="AR550" s="1659"/>
      <c r="AS550" s="1659"/>
      <c r="AT550" s="1659"/>
      <c r="AU550" s="1659"/>
      <c r="AV550" s="1659"/>
      <c r="AW550" s="699"/>
      <c r="AX550" s="1659">
        <v>0</v>
      </c>
    </row>
    <row s="1874" customFormat="1" customHeight="1" ht="15">
      <c r="A551" s="1659"/>
      <c r="B551" s="2421"/>
      <c r="C551" s="2422"/>
      <c r="D551" s="713" t="str">
        <f>B549&amp;".3"</f>
        <v>3.171.3</v>
      </c>
      <c r="E551" s="1691" t="s">
        <v>1042</v>
      </c>
      <c r="F551" s="2287" t="s">
        <v>390</v>
      </c>
      <c r="G551" s="1762" t="s">
        <v>22</v>
      </c>
      <c r="H551" s="842" t="s">
        <v>22</v>
      </c>
      <c r="I551" s="1762" t="s">
        <v>22</v>
      </c>
      <c r="J551" s="842" t="s">
        <v>22</v>
      </c>
      <c r="K551" s="1762" t="s">
        <v>22</v>
      </c>
      <c r="L551" s="842" t="s">
        <v>22</v>
      </c>
      <c r="M551" s="2943" t="s">
        <v>22</v>
      </c>
      <c r="N551" s="2940" t="s">
        <v>22</v>
      </c>
      <c r="O551" s="1762" t="s">
        <v>22</v>
      </c>
      <c r="P551" s="842" t="s">
        <v>22</v>
      </c>
      <c r="Q551" s="1762" t="s">
        <v>22</v>
      </c>
      <c r="R551" s="842" t="s">
        <v>22</v>
      </c>
      <c r="S551" s="1762"/>
      <c r="T551" s="842" t="s">
        <v>22</v>
      </c>
      <c r="U551" s="1762" t="s">
        <v>22</v>
      </c>
      <c r="V551" s="842" t="s">
        <v>22</v>
      </c>
      <c r="W551" s="1762" t="s">
        <v>22</v>
      </c>
      <c r="X551" s="842" t="s">
        <v>22</v>
      </c>
      <c r="Y551" s="1762" t="s">
        <v>22</v>
      </c>
      <c r="Z551" s="842" t="s">
        <v>22</v>
      </c>
      <c r="AA551" s="2943" t="s">
        <v>22</v>
      </c>
      <c r="AB551" s="2940" t="s">
        <v>22</v>
      </c>
      <c r="AC551" s="1762" t="s">
        <v>22</v>
      </c>
      <c r="AD551" s="842" t="s">
        <v>22</v>
      </c>
      <c r="AE551" s="1762" t="s">
        <v>22</v>
      </c>
      <c r="AF551" s="842" t="s">
        <v>22</v>
      </c>
      <c r="AG551" s="2943" t="s">
        <v>22</v>
      </c>
      <c r="AH551" s="2940" t="s">
        <v>22</v>
      </c>
      <c r="AI551" s="1762" t="s">
        <v>22</v>
      </c>
      <c r="AJ551" s="842" t="s">
        <v>22</v>
      </c>
      <c r="AK551" s="1762" t="s">
        <v>22</v>
      </c>
      <c r="AL551" s="842" t="s">
        <v>22</v>
      </c>
      <c r="AM551" s="1549" t="s">
        <v>1043</v>
      </c>
      <c r="AN551" s="1659"/>
      <c r="AO551" s="1659"/>
      <c r="AP551" s="1659"/>
      <c r="AQ551" s="1659"/>
      <c r="AR551" s="1659"/>
      <c r="AS551" s="1659"/>
      <c r="AT551" s="1659"/>
      <c r="AU551" s="1659"/>
      <c r="AV551" s="1659"/>
      <c r="AW551" s="699"/>
      <c r="AX551" s="1659">
        <v>0</v>
      </c>
    </row>
    <row s="1874" customFormat="1" customHeight="1" ht="22.5">
      <c r="A552" s="1659"/>
      <c r="B552" s="2421" t="s">
        <v>1257</v>
      </c>
      <c r="C552" s="2422" t="s">
        <v>104</v>
      </c>
      <c r="D552" s="713" t="str">
        <f>B552&amp;".1"</f>
        <v>3.172.1</v>
      </c>
      <c r="E552" s="1691" t="s">
        <v>1039</v>
      </c>
      <c r="F552" s="2287" t="s">
        <v>390</v>
      </c>
      <c r="G552" s="2377" t="s">
        <v>22</v>
      </c>
      <c r="H552" s="842" t="s">
        <v>22</v>
      </c>
      <c r="I552" s="2377" t="s">
        <v>22</v>
      </c>
      <c r="J552" s="842" t="s">
        <v>22</v>
      </c>
      <c r="K552" s="2377" t="s">
        <v>22</v>
      </c>
      <c r="L552" s="842" t="s">
        <v>22</v>
      </c>
      <c r="M552" s="2942" t="s">
        <v>22</v>
      </c>
      <c r="N552" s="2940" t="s">
        <v>22</v>
      </c>
      <c r="O552" s="2377" t="s">
        <v>22</v>
      </c>
      <c r="P552" s="842" t="s">
        <v>22</v>
      </c>
      <c r="Q552" s="2377" t="s">
        <v>1059</v>
      </c>
      <c r="R552" s="842" t="s">
        <v>22</v>
      </c>
      <c r="S552" s="2377"/>
      <c r="T552" s="842" t="s">
        <v>22</v>
      </c>
      <c r="U552" s="2377" t="s">
        <v>22</v>
      </c>
      <c r="V552" s="842" t="s">
        <v>22</v>
      </c>
      <c r="W552" s="2377" t="s">
        <v>22</v>
      </c>
      <c r="X552" s="842" t="s">
        <v>22</v>
      </c>
      <c r="Y552" s="2377" t="s">
        <v>22</v>
      </c>
      <c r="Z552" s="842" t="s">
        <v>22</v>
      </c>
      <c r="AA552" s="2942" t="s">
        <v>22</v>
      </c>
      <c r="AB552" s="2940" t="s">
        <v>22</v>
      </c>
      <c r="AC552" s="2377" t="s">
        <v>22</v>
      </c>
      <c r="AD552" s="842" t="s">
        <v>22</v>
      </c>
      <c r="AE552" s="2377" t="s">
        <v>22</v>
      </c>
      <c r="AF552" s="842" t="s">
        <v>22</v>
      </c>
      <c r="AG552" s="2942" t="s">
        <v>22</v>
      </c>
      <c r="AH552" s="2940" t="s">
        <v>22</v>
      </c>
      <c r="AI552" s="2377" t="s">
        <v>22</v>
      </c>
      <c r="AJ552" s="842" t="s">
        <v>22</v>
      </c>
      <c r="AK552" s="2377" t="s">
        <v>22</v>
      </c>
      <c r="AL552" s="842" t="s">
        <v>22</v>
      </c>
      <c r="AM552" s="1549"/>
      <c r="AN552" s="1659"/>
      <c r="AO552" s="1659"/>
      <c r="AP552" s="1659"/>
      <c r="AQ552" s="1659"/>
      <c r="AR552" s="1659"/>
      <c r="AS552" s="1659"/>
      <c r="AT552" s="1659"/>
      <c r="AU552" s="1659"/>
      <c r="AV552" s="1659"/>
      <c r="AW552" s="699"/>
      <c r="AX552" s="1659">
        <v>0</v>
      </c>
    </row>
    <row s="1874" customFormat="1" customHeight="1" ht="15">
      <c r="A553" s="1659"/>
      <c r="B553" s="2421"/>
      <c r="C553" s="2422"/>
      <c r="D553" s="713" t="str">
        <f>B552&amp;".2"</f>
        <v>3.172.2</v>
      </c>
      <c r="E553" s="1691" t="s">
        <v>1040</v>
      </c>
      <c r="F553" s="2287" t="s">
        <v>390</v>
      </c>
      <c r="G553" s="1762" t="s">
        <v>22</v>
      </c>
      <c r="H553" s="842" t="s">
        <v>22</v>
      </c>
      <c r="I553" s="1762" t="s">
        <v>22</v>
      </c>
      <c r="J553" s="842" t="s">
        <v>22</v>
      </c>
      <c r="K553" s="1762" t="s">
        <v>22</v>
      </c>
      <c r="L553" s="842" t="s">
        <v>22</v>
      </c>
      <c r="M553" s="2943" t="s">
        <v>22</v>
      </c>
      <c r="N553" s="2940" t="s">
        <v>22</v>
      </c>
      <c r="O553" s="1762" t="s">
        <v>22</v>
      </c>
      <c r="P553" s="842" t="s">
        <v>22</v>
      </c>
      <c r="Q553" s="1762">
        <v>46141</v>
      </c>
      <c r="R553" s="842" t="s">
        <v>22</v>
      </c>
      <c r="S553" s="1762"/>
      <c r="T553" s="842" t="s">
        <v>22</v>
      </c>
      <c r="U553" s="1762" t="s">
        <v>22</v>
      </c>
      <c r="V553" s="842" t="s">
        <v>22</v>
      </c>
      <c r="W553" s="1762" t="s">
        <v>22</v>
      </c>
      <c r="X553" s="842" t="s">
        <v>22</v>
      </c>
      <c r="Y553" s="1762" t="s">
        <v>22</v>
      </c>
      <c r="Z553" s="842" t="s">
        <v>22</v>
      </c>
      <c r="AA553" s="2943" t="s">
        <v>22</v>
      </c>
      <c r="AB553" s="2940" t="s">
        <v>22</v>
      </c>
      <c r="AC553" s="1762" t="s">
        <v>22</v>
      </c>
      <c r="AD553" s="842" t="s">
        <v>22</v>
      </c>
      <c r="AE553" s="1762" t="s">
        <v>22</v>
      </c>
      <c r="AF553" s="842" t="s">
        <v>22</v>
      </c>
      <c r="AG553" s="2943" t="s">
        <v>22</v>
      </c>
      <c r="AH553" s="2940" t="s">
        <v>22</v>
      </c>
      <c r="AI553" s="1762" t="s">
        <v>22</v>
      </c>
      <c r="AJ553" s="842" t="s">
        <v>22</v>
      </c>
      <c r="AK553" s="1762" t="s">
        <v>22</v>
      </c>
      <c r="AL553" s="842" t="s">
        <v>22</v>
      </c>
      <c r="AM553" s="1549" t="s">
        <v>1041</v>
      </c>
      <c r="AN553" s="1659"/>
      <c r="AO553" s="1659"/>
      <c r="AP553" s="1659"/>
      <c r="AQ553" s="1659"/>
      <c r="AR553" s="1659"/>
      <c r="AS553" s="1659"/>
      <c r="AT553" s="1659"/>
      <c r="AU553" s="1659"/>
      <c r="AV553" s="1659"/>
      <c r="AW553" s="699"/>
      <c r="AX553" s="1659">
        <v>0</v>
      </c>
    </row>
    <row s="1874" customFormat="1" customHeight="1" ht="15">
      <c r="A554" s="1659"/>
      <c r="B554" s="2421"/>
      <c r="C554" s="2422"/>
      <c r="D554" s="713" t="str">
        <f>B552&amp;".3"</f>
        <v>3.172.3</v>
      </c>
      <c r="E554" s="1691" t="s">
        <v>1042</v>
      </c>
      <c r="F554" s="2287" t="s">
        <v>390</v>
      </c>
      <c r="G554" s="1762" t="s">
        <v>22</v>
      </c>
      <c r="H554" s="842" t="s">
        <v>22</v>
      </c>
      <c r="I554" s="1762" t="s">
        <v>22</v>
      </c>
      <c r="J554" s="842" t="s">
        <v>22</v>
      </c>
      <c r="K554" s="1762" t="s">
        <v>22</v>
      </c>
      <c r="L554" s="842" t="s">
        <v>22</v>
      </c>
      <c r="M554" s="2943" t="s">
        <v>22</v>
      </c>
      <c r="N554" s="2940" t="s">
        <v>22</v>
      </c>
      <c r="O554" s="1762" t="s">
        <v>22</v>
      </c>
      <c r="P554" s="842" t="s">
        <v>22</v>
      </c>
      <c r="Q554" s="1762" t="s">
        <v>22</v>
      </c>
      <c r="R554" s="842" t="s">
        <v>22</v>
      </c>
      <c r="S554" s="1762"/>
      <c r="T554" s="842" t="s">
        <v>22</v>
      </c>
      <c r="U554" s="1762" t="s">
        <v>22</v>
      </c>
      <c r="V554" s="842" t="s">
        <v>22</v>
      </c>
      <c r="W554" s="1762" t="s">
        <v>22</v>
      </c>
      <c r="X554" s="842" t="s">
        <v>22</v>
      </c>
      <c r="Y554" s="1762" t="s">
        <v>22</v>
      </c>
      <c r="Z554" s="842" t="s">
        <v>22</v>
      </c>
      <c r="AA554" s="2943" t="s">
        <v>22</v>
      </c>
      <c r="AB554" s="2940" t="s">
        <v>22</v>
      </c>
      <c r="AC554" s="1762" t="s">
        <v>22</v>
      </c>
      <c r="AD554" s="842" t="s">
        <v>22</v>
      </c>
      <c r="AE554" s="1762" t="s">
        <v>22</v>
      </c>
      <c r="AF554" s="842" t="s">
        <v>22</v>
      </c>
      <c r="AG554" s="2943" t="s">
        <v>22</v>
      </c>
      <c r="AH554" s="2940" t="s">
        <v>22</v>
      </c>
      <c r="AI554" s="1762" t="s">
        <v>22</v>
      </c>
      <c r="AJ554" s="842" t="s">
        <v>22</v>
      </c>
      <c r="AK554" s="1762" t="s">
        <v>22</v>
      </c>
      <c r="AL554" s="842" t="s">
        <v>22</v>
      </c>
      <c r="AM554" s="1549" t="s">
        <v>1043</v>
      </c>
      <c r="AN554" s="1659"/>
      <c r="AO554" s="1659"/>
      <c r="AP554" s="1659"/>
      <c r="AQ554" s="1659"/>
      <c r="AR554" s="1659"/>
      <c r="AS554" s="1659"/>
      <c r="AT554" s="1659"/>
      <c r="AU554" s="1659"/>
      <c r="AV554" s="1659"/>
      <c r="AW554" s="699"/>
      <c r="AX554" s="1659">
        <v>0</v>
      </c>
    </row>
    <row s="1874" customFormat="1" customHeight="1" ht="22.5">
      <c r="A555" s="1659"/>
      <c r="B555" s="2421" t="s">
        <v>1258</v>
      </c>
      <c r="C555" s="2422" t="s">
        <v>104</v>
      </c>
      <c r="D555" s="713" t="str">
        <f>B555&amp;".1"</f>
        <v>3.173.1</v>
      </c>
      <c r="E555" s="1691" t="s">
        <v>1039</v>
      </c>
      <c r="F555" s="2287" t="s">
        <v>390</v>
      </c>
      <c r="G555" s="2377" t="s">
        <v>22</v>
      </c>
      <c r="H555" s="842" t="s">
        <v>22</v>
      </c>
      <c r="I555" s="2377" t="s">
        <v>22</v>
      </c>
      <c r="J555" s="842" t="s">
        <v>22</v>
      </c>
      <c r="K555" s="2377" t="s">
        <v>22</v>
      </c>
      <c r="L555" s="842" t="s">
        <v>22</v>
      </c>
      <c r="M555" s="2942" t="s">
        <v>22</v>
      </c>
      <c r="N555" s="2940" t="s">
        <v>22</v>
      </c>
      <c r="O555" s="2377" t="s">
        <v>22</v>
      </c>
      <c r="P555" s="842" t="s">
        <v>22</v>
      </c>
      <c r="Q555" s="2377" t="s">
        <v>1059</v>
      </c>
      <c r="R555" s="842" t="s">
        <v>22</v>
      </c>
      <c r="S555" s="2377"/>
      <c r="T555" s="842" t="s">
        <v>22</v>
      </c>
      <c r="U555" s="2377" t="s">
        <v>22</v>
      </c>
      <c r="V555" s="842" t="s">
        <v>22</v>
      </c>
      <c r="W555" s="2377" t="s">
        <v>22</v>
      </c>
      <c r="X555" s="842" t="s">
        <v>22</v>
      </c>
      <c r="Y555" s="2377" t="s">
        <v>22</v>
      </c>
      <c r="Z555" s="842" t="s">
        <v>22</v>
      </c>
      <c r="AA555" s="2942" t="s">
        <v>22</v>
      </c>
      <c r="AB555" s="2940" t="s">
        <v>22</v>
      </c>
      <c r="AC555" s="2377" t="s">
        <v>22</v>
      </c>
      <c r="AD555" s="842" t="s">
        <v>22</v>
      </c>
      <c r="AE555" s="2377" t="s">
        <v>22</v>
      </c>
      <c r="AF555" s="842" t="s">
        <v>22</v>
      </c>
      <c r="AG555" s="2942" t="s">
        <v>22</v>
      </c>
      <c r="AH555" s="2940" t="s">
        <v>22</v>
      </c>
      <c r="AI555" s="2377" t="s">
        <v>22</v>
      </c>
      <c r="AJ555" s="842" t="s">
        <v>22</v>
      </c>
      <c r="AK555" s="2377" t="s">
        <v>22</v>
      </c>
      <c r="AL555" s="842" t="s">
        <v>22</v>
      </c>
      <c r="AM555" s="1549"/>
      <c r="AN555" s="1659"/>
      <c r="AO555" s="1659"/>
      <c r="AP555" s="1659"/>
      <c r="AQ555" s="1659"/>
      <c r="AR555" s="1659"/>
      <c r="AS555" s="1659"/>
      <c r="AT555" s="1659"/>
      <c r="AU555" s="1659"/>
      <c r="AV555" s="1659"/>
      <c r="AW555" s="699"/>
      <c r="AX555" s="1659">
        <v>0</v>
      </c>
    </row>
    <row s="1874" customFormat="1" customHeight="1" ht="15">
      <c r="A556" s="1659"/>
      <c r="B556" s="2421"/>
      <c r="C556" s="2422"/>
      <c r="D556" s="713" t="str">
        <f>B555&amp;".2"</f>
        <v>3.173.2</v>
      </c>
      <c r="E556" s="1691" t="s">
        <v>1040</v>
      </c>
      <c r="F556" s="2287" t="s">
        <v>390</v>
      </c>
      <c r="G556" s="1762" t="s">
        <v>22</v>
      </c>
      <c r="H556" s="842" t="s">
        <v>22</v>
      </c>
      <c r="I556" s="1762" t="s">
        <v>22</v>
      </c>
      <c r="J556" s="842" t="s">
        <v>22</v>
      </c>
      <c r="K556" s="1762" t="s">
        <v>22</v>
      </c>
      <c r="L556" s="842" t="s">
        <v>22</v>
      </c>
      <c r="M556" s="2943" t="s">
        <v>22</v>
      </c>
      <c r="N556" s="2940" t="s">
        <v>22</v>
      </c>
      <c r="O556" s="1762" t="s">
        <v>22</v>
      </c>
      <c r="P556" s="842" t="s">
        <v>22</v>
      </c>
      <c r="Q556" s="1762">
        <v>46141</v>
      </c>
      <c r="R556" s="842" t="s">
        <v>22</v>
      </c>
      <c r="S556" s="1762"/>
      <c r="T556" s="842" t="s">
        <v>22</v>
      </c>
      <c r="U556" s="1762" t="s">
        <v>22</v>
      </c>
      <c r="V556" s="842" t="s">
        <v>22</v>
      </c>
      <c r="W556" s="1762" t="s">
        <v>22</v>
      </c>
      <c r="X556" s="842" t="s">
        <v>22</v>
      </c>
      <c r="Y556" s="1762" t="s">
        <v>22</v>
      </c>
      <c r="Z556" s="842" t="s">
        <v>22</v>
      </c>
      <c r="AA556" s="2943" t="s">
        <v>22</v>
      </c>
      <c r="AB556" s="2940" t="s">
        <v>22</v>
      </c>
      <c r="AC556" s="1762" t="s">
        <v>22</v>
      </c>
      <c r="AD556" s="842" t="s">
        <v>22</v>
      </c>
      <c r="AE556" s="1762" t="s">
        <v>22</v>
      </c>
      <c r="AF556" s="842" t="s">
        <v>22</v>
      </c>
      <c r="AG556" s="2943" t="s">
        <v>22</v>
      </c>
      <c r="AH556" s="2940" t="s">
        <v>22</v>
      </c>
      <c r="AI556" s="1762" t="s">
        <v>22</v>
      </c>
      <c r="AJ556" s="842" t="s">
        <v>22</v>
      </c>
      <c r="AK556" s="1762" t="s">
        <v>22</v>
      </c>
      <c r="AL556" s="842" t="s">
        <v>22</v>
      </c>
      <c r="AM556" s="1549" t="s">
        <v>1041</v>
      </c>
      <c r="AN556" s="1659"/>
      <c r="AO556" s="1659"/>
      <c r="AP556" s="1659"/>
      <c r="AQ556" s="1659"/>
      <c r="AR556" s="1659"/>
      <c r="AS556" s="1659"/>
      <c r="AT556" s="1659"/>
      <c r="AU556" s="1659"/>
      <c r="AV556" s="1659"/>
      <c r="AW556" s="699"/>
      <c r="AX556" s="1659">
        <v>0</v>
      </c>
    </row>
    <row s="1874" customFormat="1" customHeight="1" ht="15">
      <c r="A557" s="1659"/>
      <c r="B557" s="2421"/>
      <c r="C557" s="2422"/>
      <c r="D557" s="713" t="str">
        <f>B555&amp;".3"</f>
        <v>3.173.3</v>
      </c>
      <c r="E557" s="1691" t="s">
        <v>1042</v>
      </c>
      <c r="F557" s="2287" t="s">
        <v>390</v>
      </c>
      <c r="G557" s="1762" t="s">
        <v>22</v>
      </c>
      <c r="H557" s="842" t="s">
        <v>22</v>
      </c>
      <c r="I557" s="1762" t="s">
        <v>22</v>
      </c>
      <c r="J557" s="842" t="s">
        <v>22</v>
      </c>
      <c r="K557" s="1762" t="s">
        <v>22</v>
      </c>
      <c r="L557" s="842" t="s">
        <v>22</v>
      </c>
      <c r="M557" s="2943" t="s">
        <v>22</v>
      </c>
      <c r="N557" s="2940" t="s">
        <v>22</v>
      </c>
      <c r="O557" s="1762" t="s">
        <v>22</v>
      </c>
      <c r="P557" s="842" t="s">
        <v>22</v>
      </c>
      <c r="Q557" s="1762" t="s">
        <v>22</v>
      </c>
      <c r="R557" s="842" t="s">
        <v>22</v>
      </c>
      <c r="S557" s="1762"/>
      <c r="T557" s="842" t="s">
        <v>22</v>
      </c>
      <c r="U557" s="1762" t="s">
        <v>22</v>
      </c>
      <c r="V557" s="842" t="s">
        <v>22</v>
      </c>
      <c r="W557" s="1762" t="s">
        <v>22</v>
      </c>
      <c r="X557" s="842" t="s">
        <v>22</v>
      </c>
      <c r="Y557" s="1762" t="s">
        <v>22</v>
      </c>
      <c r="Z557" s="842" t="s">
        <v>22</v>
      </c>
      <c r="AA557" s="2943" t="s">
        <v>22</v>
      </c>
      <c r="AB557" s="2940" t="s">
        <v>22</v>
      </c>
      <c r="AC557" s="1762" t="s">
        <v>22</v>
      </c>
      <c r="AD557" s="842" t="s">
        <v>22</v>
      </c>
      <c r="AE557" s="1762" t="s">
        <v>22</v>
      </c>
      <c r="AF557" s="842" t="s">
        <v>22</v>
      </c>
      <c r="AG557" s="2943" t="s">
        <v>22</v>
      </c>
      <c r="AH557" s="2940" t="s">
        <v>22</v>
      </c>
      <c r="AI557" s="1762" t="s">
        <v>22</v>
      </c>
      <c r="AJ557" s="842" t="s">
        <v>22</v>
      </c>
      <c r="AK557" s="1762" t="s">
        <v>22</v>
      </c>
      <c r="AL557" s="842" t="s">
        <v>22</v>
      </c>
      <c r="AM557" s="1549" t="s">
        <v>1043</v>
      </c>
      <c r="AN557" s="1659"/>
      <c r="AO557" s="1659"/>
      <c r="AP557" s="1659"/>
      <c r="AQ557" s="1659"/>
      <c r="AR557" s="1659"/>
      <c r="AS557" s="1659"/>
      <c r="AT557" s="1659"/>
      <c r="AU557" s="1659"/>
      <c r="AV557" s="1659"/>
      <c r="AW557" s="699"/>
      <c r="AX557" s="1659">
        <v>0</v>
      </c>
    </row>
    <row s="1874" customFormat="1" customHeight="1" ht="22.5">
      <c r="A558" s="1659"/>
      <c r="B558" s="2421" t="s">
        <v>1259</v>
      </c>
      <c r="C558" s="2422" t="s">
        <v>104</v>
      </c>
      <c r="D558" s="713" t="str">
        <f>B558&amp;".1"</f>
        <v>3.174.1</v>
      </c>
      <c r="E558" s="1691" t="s">
        <v>1039</v>
      </c>
      <c r="F558" s="2287" t="s">
        <v>390</v>
      </c>
      <c r="G558" s="2377" t="s">
        <v>22</v>
      </c>
      <c r="H558" s="842" t="s">
        <v>22</v>
      </c>
      <c r="I558" s="2377" t="s">
        <v>22</v>
      </c>
      <c r="J558" s="842" t="s">
        <v>22</v>
      </c>
      <c r="K558" s="2377" t="s">
        <v>22</v>
      </c>
      <c r="L558" s="842" t="s">
        <v>22</v>
      </c>
      <c r="M558" s="2942" t="s">
        <v>22</v>
      </c>
      <c r="N558" s="2940" t="s">
        <v>22</v>
      </c>
      <c r="O558" s="2377" t="s">
        <v>22</v>
      </c>
      <c r="P558" s="842" t="s">
        <v>22</v>
      </c>
      <c r="Q558" s="2377" t="s">
        <v>1059</v>
      </c>
      <c r="R558" s="842" t="s">
        <v>22</v>
      </c>
      <c r="S558" s="2377"/>
      <c r="T558" s="842" t="s">
        <v>22</v>
      </c>
      <c r="U558" s="2377" t="s">
        <v>22</v>
      </c>
      <c r="V558" s="842" t="s">
        <v>22</v>
      </c>
      <c r="W558" s="2377" t="s">
        <v>22</v>
      </c>
      <c r="X558" s="842" t="s">
        <v>22</v>
      </c>
      <c r="Y558" s="2377" t="s">
        <v>22</v>
      </c>
      <c r="Z558" s="842" t="s">
        <v>22</v>
      </c>
      <c r="AA558" s="2942" t="s">
        <v>22</v>
      </c>
      <c r="AB558" s="2940" t="s">
        <v>22</v>
      </c>
      <c r="AC558" s="2377" t="s">
        <v>22</v>
      </c>
      <c r="AD558" s="842" t="s">
        <v>22</v>
      </c>
      <c r="AE558" s="2377" t="s">
        <v>22</v>
      </c>
      <c r="AF558" s="842" t="s">
        <v>22</v>
      </c>
      <c r="AG558" s="2942" t="s">
        <v>22</v>
      </c>
      <c r="AH558" s="2940" t="s">
        <v>22</v>
      </c>
      <c r="AI558" s="2377" t="s">
        <v>22</v>
      </c>
      <c r="AJ558" s="842" t="s">
        <v>22</v>
      </c>
      <c r="AK558" s="2377" t="s">
        <v>22</v>
      </c>
      <c r="AL558" s="842" t="s">
        <v>22</v>
      </c>
      <c r="AM558" s="1549"/>
      <c r="AN558" s="1659"/>
      <c r="AO558" s="1659"/>
      <c r="AP558" s="1659"/>
      <c r="AQ558" s="1659"/>
      <c r="AR558" s="1659"/>
      <c r="AS558" s="1659"/>
      <c r="AT558" s="1659"/>
      <c r="AU558" s="1659"/>
      <c r="AV558" s="1659"/>
      <c r="AW558" s="699"/>
      <c r="AX558" s="1659">
        <v>0</v>
      </c>
    </row>
    <row s="1874" customFormat="1" customHeight="1" ht="15">
      <c r="A559" s="1659"/>
      <c r="B559" s="2421"/>
      <c r="C559" s="2422"/>
      <c r="D559" s="713" t="str">
        <f>B558&amp;".2"</f>
        <v>3.174.2</v>
      </c>
      <c r="E559" s="1691" t="s">
        <v>1040</v>
      </c>
      <c r="F559" s="2287" t="s">
        <v>390</v>
      </c>
      <c r="G559" s="1762" t="s">
        <v>22</v>
      </c>
      <c r="H559" s="842" t="s">
        <v>22</v>
      </c>
      <c r="I559" s="1762" t="s">
        <v>22</v>
      </c>
      <c r="J559" s="842" t="s">
        <v>22</v>
      </c>
      <c r="K559" s="1762" t="s">
        <v>22</v>
      </c>
      <c r="L559" s="842" t="s">
        <v>22</v>
      </c>
      <c r="M559" s="2943" t="s">
        <v>22</v>
      </c>
      <c r="N559" s="2940" t="s">
        <v>22</v>
      </c>
      <c r="O559" s="1762" t="s">
        <v>22</v>
      </c>
      <c r="P559" s="842" t="s">
        <v>22</v>
      </c>
      <c r="Q559" s="1762">
        <v>46141</v>
      </c>
      <c r="R559" s="842" t="s">
        <v>22</v>
      </c>
      <c r="S559" s="1762"/>
      <c r="T559" s="842" t="s">
        <v>22</v>
      </c>
      <c r="U559" s="1762" t="s">
        <v>22</v>
      </c>
      <c r="V559" s="842" t="s">
        <v>22</v>
      </c>
      <c r="W559" s="1762" t="s">
        <v>22</v>
      </c>
      <c r="X559" s="842" t="s">
        <v>22</v>
      </c>
      <c r="Y559" s="1762" t="s">
        <v>22</v>
      </c>
      <c r="Z559" s="842" t="s">
        <v>22</v>
      </c>
      <c r="AA559" s="2943" t="s">
        <v>22</v>
      </c>
      <c r="AB559" s="2940" t="s">
        <v>22</v>
      </c>
      <c r="AC559" s="1762" t="s">
        <v>22</v>
      </c>
      <c r="AD559" s="842" t="s">
        <v>22</v>
      </c>
      <c r="AE559" s="1762" t="s">
        <v>22</v>
      </c>
      <c r="AF559" s="842" t="s">
        <v>22</v>
      </c>
      <c r="AG559" s="2943" t="s">
        <v>22</v>
      </c>
      <c r="AH559" s="2940" t="s">
        <v>22</v>
      </c>
      <c r="AI559" s="1762" t="s">
        <v>22</v>
      </c>
      <c r="AJ559" s="842" t="s">
        <v>22</v>
      </c>
      <c r="AK559" s="1762" t="s">
        <v>22</v>
      </c>
      <c r="AL559" s="842" t="s">
        <v>22</v>
      </c>
      <c r="AM559" s="1549" t="s">
        <v>1041</v>
      </c>
      <c r="AN559" s="1659"/>
      <c r="AO559" s="1659"/>
      <c r="AP559" s="1659"/>
      <c r="AQ559" s="1659"/>
      <c r="AR559" s="1659"/>
      <c r="AS559" s="1659"/>
      <c r="AT559" s="1659"/>
      <c r="AU559" s="1659"/>
      <c r="AV559" s="1659"/>
      <c r="AW559" s="699"/>
      <c r="AX559" s="1659">
        <v>0</v>
      </c>
    </row>
    <row s="1874" customFormat="1" customHeight="1" ht="15">
      <c r="A560" s="1659"/>
      <c r="B560" s="2421"/>
      <c r="C560" s="2422"/>
      <c r="D560" s="713" t="str">
        <f>B558&amp;".3"</f>
        <v>3.174.3</v>
      </c>
      <c r="E560" s="1691" t="s">
        <v>1042</v>
      </c>
      <c r="F560" s="2287" t="s">
        <v>390</v>
      </c>
      <c r="G560" s="1762" t="s">
        <v>22</v>
      </c>
      <c r="H560" s="842" t="s">
        <v>22</v>
      </c>
      <c r="I560" s="1762" t="s">
        <v>22</v>
      </c>
      <c r="J560" s="842" t="s">
        <v>22</v>
      </c>
      <c r="K560" s="1762" t="s">
        <v>22</v>
      </c>
      <c r="L560" s="842" t="s">
        <v>22</v>
      </c>
      <c r="M560" s="2943" t="s">
        <v>22</v>
      </c>
      <c r="N560" s="2940" t="s">
        <v>22</v>
      </c>
      <c r="O560" s="1762" t="s">
        <v>22</v>
      </c>
      <c r="P560" s="842" t="s">
        <v>22</v>
      </c>
      <c r="Q560" s="1762" t="s">
        <v>22</v>
      </c>
      <c r="R560" s="842" t="s">
        <v>22</v>
      </c>
      <c r="S560" s="1762"/>
      <c r="T560" s="842" t="s">
        <v>22</v>
      </c>
      <c r="U560" s="1762" t="s">
        <v>22</v>
      </c>
      <c r="V560" s="842" t="s">
        <v>22</v>
      </c>
      <c r="W560" s="1762" t="s">
        <v>22</v>
      </c>
      <c r="X560" s="842" t="s">
        <v>22</v>
      </c>
      <c r="Y560" s="1762" t="s">
        <v>22</v>
      </c>
      <c r="Z560" s="842" t="s">
        <v>22</v>
      </c>
      <c r="AA560" s="2943" t="s">
        <v>22</v>
      </c>
      <c r="AB560" s="2940" t="s">
        <v>22</v>
      </c>
      <c r="AC560" s="1762" t="s">
        <v>22</v>
      </c>
      <c r="AD560" s="842" t="s">
        <v>22</v>
      </c>
      <c r="AE560" s="1762" t="s">
        <v>22</v>
      </c>
      <c r="AF560" s="842" t="s">
        <v>22</v>
      </c>
      <c r="AG560" s="2943" t="s">
        <v>22</v>
      </c>
      <c r="AH560" s="2940" t="s">
        <v>22</v>
      </c>
      <c r="AI560" s="1762" t="s">
        <v>22</v>
      </c>
      <c r="AJ560" s="842" t="s">
        <v>22</v>
      </c>
      <c r="AK560" s="1762" t="s">
        <v>22</v>
      </c>
      <c r="AL560" s="842" t="s">
        <v>22</v>
      </c>
      <c r="AM560" s="1549" t="s">
        <v>1043</v>
      </c>
      <c r="AN560" s="1659"/>
      <c r="AO560" s="1659"/>
      <c r="AP560" s="1659"/>
      <c r="AQ560" s="1659"/>
      <c r="AR560" s="1659"/>
      <c r="AS560" s="1659"/>
      <c r="AT560" s="1659"/>
      <c r="AU560" s="1659"/>
      <c r="AV560" s="1659"/>
      <c r="AW560" s="699"/>
      <c r="AX560" s="1659">
        <v>0</v>
      </c>
    </row>
    <row s="1874" customFormat="1" customHeight="1" ht="22.5">
      <c r="A561" s="1659"/>
      <c r="B561" s="2421" t="s">
        <v>1260</v>
      </c>
      <c r="C561" s="2422" t="s">
        <v>104</v>
      </c>
      <c r="D561" s="713" t="str">
        <f>B561&amp;".1"</f>
        <v>3.175.1</v>
      </c>
      <c r="E561" s="1691" t="s">
        <v>1039</v>
      </c>
      <c r="F561" s="2287" t="s">
        <v>390</v>
      </c>
      <c r="G561" s="2377" t="s">
        <v>22</v>
      </c>
      <c r="H561" s="842" t="s">
        <v>22</v>
      </c>
      <c r="I561" s="2377" t="s">
        <v>22</v>
      </c>
      <c r="J561" s="842" t="s">
        <v>22</v>
      </c>
      <c r="K561" s="2377" t="s">
        <v>22</v>
      </c>
      <c r="L561" s="842" t="s">
        <v>22</v>
      </c>
      <c r="M561" s="2942" t="s">
        <v>22</v>
      </c>
      <c r="N561" s="2940" t="s">
        <v>22</v>
      </c>
      <c r="O561" s="2377" t="s">
        <v>22</v>
      </c>
      <c r="P561" s="842" t="s">
        <v>22</v>
      </c>
      <c r="Q561" s="2377" t="s">
        <v>1059</v>
      </c>
      <c r="R561" s="842" t="s">
        <v>22</v>
      </c>
      <c r="S561" s="2377"/>
      <c r="T561" s="842" t="s">
        <v>22</v>
      </c>
      <c r="U561" s="2377" t="s">
        <v>22</v>
      </c>
      <c r="V561" s="842" t="s">
        <v>22</v>
      </c>
      <c r="W561" s="2377" t="s">
        <v>22</v>
      </c>
      <c r="X561" s="842" t="s">
        <v>22</v>
      </c>
      <c r="Y561" s="2377" t="s">
        <v>22</v>
      </c>
      <c r="Z561" s="842" t="s">
        <v>22</v>
      </c>
      <c r="AA561" s="2942" t="s">
        <v>22</v>
      </c>
      <c r="AB561" s="2940" t="s">
        <v>22</v>
      </c>
      <c r="AC561" s="2377" t="s">
        <v>22</v>
      </c>
      <c r="AD561" s="842" t="s">
        <v>22</v>
      </c>
      <c r="AE561" s="2377" t="s">
        <v>22</v>
      </c>
      <c r="AF561" s="842" t="s">
        <v>22</v>
      </c>
      <c r="AG561" s="2942" t="s">
        <v>22</v>
      </c>
      <c r="AH561" s="2940" t="s">
        <v>22</v>
      </c>
      <c r="AI561" s="2377" t="s">
        <v>22</v>
      </c>
      <c r="AJ561" s="842" t="s">
        <v>22</v>
      </c>
      <c r="AK561" s="2377" t="s">
        <v>22</v>
      </c>
      <c r="AL561" s="842" t="s">
        <v>22</v>
      </c>
      <c r="AM561" s="1549"/>
      <c r="AN561" s="1659"/>
      <c r="AO561" s="1659"/>
      <c r="AP561" s="1659"/>
      <c r="AQ561" s="1659"/>
      <c r="AR561" s="1659"/>
      <c r="AS561" s="1659"/>
      <c r="AT561" s="1659"/>
      <c r="AU561" s="1659"/>
      <c r="AV561" s="1659"/>
      <c r="AW561" s="699"/>
      <c r="AX561" s="1659">
        <v>0</v>
      </c>
    </row>
    <row s="1874" customFormat="1" customHeight="1" ht="15">
      <c r="A562" s="1659"/>
      <c r="B562" s="2421"/>
      <c r="C562" s="2422"/>
      <c r="D562" s="713" t="str">
        <f>B561&amp;".2"</f>
        <v>3.175.2</v>
      </c>
      <c r="E562" s="1691" t="s">
        <v>1040</v>
      </c>
      <c r="F562" s="2287" t="s">
        <v>390</v>
      </c>
      <c r="G562" s="1762" t="s">
        <v>22</v>
      </c>
      <c r="H562" s="842" t="s">
        <v>22</v>
      </c>
      <c r="I562" s="1762" t="s">
        <v>22</v>
      </c>
      <c r="J562" s="842" t="s">
        <v>22</v>
      </c>
      <c r="K562" s="1762" t="s">
        <v>22</v>
      </c>
      <c r="L562" s="842" t="s">
        <v>22</v>
      </c>
      <c r="M562" s="2943" t="s">
        <v>22</v>
      </c>
      <c r="N562" s="2940" t="s">
        <v>22</v>
      </c>
      <c r="O562" s="1762" t="s">
        <v>22</v>
      </c>
      <c r="P562" s="842" t="s">
        <v>22</v>
      </c>
      <c r="Q562" s="1762">
        <v>46141</v>
      </c>
      <c r="R562" s="842" t="s">
        <v>22</v>
      </c>
      <c r="S562" s="1762"/>
      <c r="T562" s="842" t="s">
        <v>22</v>
      </c>
      <c r="U562" s="1762" t="s">
        <v>22</v>
      </c>
      <c r="V562" s="842" t="s">
        <v>22</v>
      </c>
      <c r="W562" s="1762" t="s">
        <v>22</v>
      </c>
      <c r="X562" s="842" t="s">
        <v>22</v>
      </c>
      <c r="Y562" s="1762" t="s">
        <v>22</v>
      </c>
      <c r="Z562" s="842" t="s">
        <v>22</v>
      </c>
      <c r="AA562" s="2943" t="s">
        <v>22</v>
      </c>
      <c r="AB562" s="2940" t="s">
        <v>22</v>
      </c>
      <c r="AC562" s="1762" t="s">
        <v>22</v>
      </c>
      <c r="AD562" s="842" t="s">
        <v>22</v>
      </c>
      <c r="AE562" s="1762" t="s">
        <v>22</v>
      </c>
      <c r="AF562" s="842" t="s">
        <v>22</v>
      </c>
      <c r="AG562" s="2943" t="s">
        <v>22</v>
      </c>
      <c r="AH562" s="2940" t="s">
        <v>22</v>
      </c>
      <c r="AI562" s="1762" t="s">
        <v>22</v>
      </c>
      <c r="AJ562" s="842" t="s">
        <v>22</v>
      </c>
      <c r="AK562" s="1762" t="s">
        <v>22</v>
      </c>
      <c r="AL562" s="842" t="s">
        <v>22</v>
      </c>
      <c r="AM562" s="1549" t="s">
        <v>1041</v>
      </c>
      <c r="AN562" s="1659"/>
      <c r="AO562" s="1659"/>
      <c r="AP562" s="1659"/>
      <c r="AQ562" s="1659"/>
      <c r="AR562" s="1659"/>
      <c r="AS562" s="1659"/>
      <c r="AT562" s="1659"/>
      <c r="AU562" s="1659"/>
      <c r="AV562" s="1659"/>
      <c r="AW562" s="699"/>
      <c r="AX562" s="1659">
        <v>0</v>
      </c>
    </row>
    <row s="1874" customFormat="1" customHeight="1" ht="15">
      <c r="A563" s="1659"/>
      <c r="B563" s="2421"/>
      <c r="C563" s="2422"/>
      <c r="D563" s="713" t="str">
        <f>B561&amp;".3"</f>
        <v>3.175.3</v>
      </c>
      <c r="E563" s="1691" t="s">
        <v>1042</v>
      </c>
      <c r="F563" s="2287" t="s">
        <v>390</v>
      </c>
      <c r="G563" s="1762" t="s">
        <v>22</v>
      </c>
      <c r="H563" s="842" t="s">
        <v>22</v>
      </c>
      <c r="I563" s="1762" t="s">
        <v>22</v>
      </c>
      <c r="J563" s="842" t="s">
        <v>22</v>
      </c>
      <c r="K563" s="1762" t="s">
        <v>22</v>
      </c>
      <c r="L563" s="842" t="s">
        <v>22</v>
      </c>
      <c r="M563" s="2943" t="s">
        <v>22</v>
      </c>
      <c r="N563" s="2940" t="s">
        <v>22</v>
      </c>
      <c r="O563" s="1762" t="s">
        <v>22</v>
      </c>
      <c r="P563" s="842" t="s">
        <v>22</v>
      </c>
      <c r="Q563" s="1762" t="s">
        <v>22</v>
      </c>
      <c r="R563" s="842" t="s">
        <v>22</v>
      </c>
      <c r="S563" s="1762"/>
      <c r="T563" s="842" t="s">
        <v>22</v>
      </c>
      <c r="U563" s="1762" t="s">
        <v>22</v>
      </c>
      <c r="V563" s="842" t="s">
        <v>22</v>
      </c>
      <c r="W563" s="1762" t="s">
        <v>22</v>
      </c>
      <c r="X563" s="842" t="s">
        <v>22</v>
      </c>
      <c r="Y563" s="1762" t="s">
        <v>22</v>
      </c>
      <c r="Z563" s="842" t="s">
        <v>22</v>
      </c>
      <c r="AA563" s="2943" t="s">
        <v>22</v>
      </c>
      <c r="AB563" s="2940" t="s">
        <v>22</v>
      </c>
      <c r="AC563" s="1762" t="s">
        <v>22</v>
      </c>
      <c r="AD563" s="842" t="s">
        <v>22</v>
      </c>
      <c r="AE563" s="1762" t="s">
        <v>22</v>
      </c>
      <c r="AF563" s="842" t="s">
        <v>22</v>
      </c>
      <c r="AG563" s="2943" t="s">
        <v>22</v>
      </c>
      <c r="AH563" s="2940" t="s">
        <v>22</v>
      </c>
      <c r="AI563" s="1762" t="s">
        <v>22</v>
      </c>
      <c r="AJ563" s="842" t="s">
        <v>22</v>
      </c>
      <c r="AK563" s="1762" t="s">
        <v>22</v>
      </c>
      <c r="AL563" s="842" t="s">
        <v>22</v>
      </c>
      <c r="AM563" s="1549" t="s">
        <v>1043</v>
      </c>
      <c r="AN563" s="1659"/>
      <c r="AO563" s="1659"/>
      <c r="AP563" s="1659"/>
      <c r="AQ563" s="1659"/>
      <c r="AR563" s="1659"/>
      <c r="AS563" s="1659"/>
      <c r="AT563" s="1659"/>
      <c r="AU563" s="1659"/>
      <c r="AV563" s="1659"/>
      <c r="AW563" s="699"/>
      <c r="AX563" s="1659">
        <v>0</v>
      </c>
    </row>
    <row s="1874" customFormat="1" customHeight="1" ht="22.5">
      <c r="A564" s="1659"/>
      <c r="B564" s="2421" t="s">
        <v>1261</v>
      </c>
      <c r="C564" s="2422" t="s">
        <v>104</v>
      </c>
      <c r="D564" s="713" t="str">
        <f>B564&amp;".1"</f>
        <v>3.176.1</v>
      </c>
      <c r="E564" s="1691" t="s">
        <v>1039</v>
      </c>
      <c r="F564" s="2287" t="s">
        <v>390</v>
      </c>
      <c r="G564" s="2377" t="s">
        <v>22</v>
      </c>
      <c r="H564" s="842" t="s">
        <v>22</v>
      </c>
      <c r="I564" s="2377" t="s">
        <v>22</v>
      </c>
      <c r="J564" s="842" t="s">
        <v>22</v>
      </c>
      <c r="K564" s="2377" t="s">
        <v>22</v>
      </c>
      <c r="L564" s="842" t="s">
        <v>22</v>
      </c>
      <c r="M564" s="2942" t="s">
        <v>22</v>
      </c>
      <c r="N564" s="2940" t="s">
        <v>22</v>
      </c>
      <c r="O564" s="2377" t="s">
        <v>22</v>
      </c>
      <c r="P564" s="842" t="s">
        <v>22</v>
      </c>
      <c r="Q564" s="2377" t="s">
        <v>1059</v>
      </c>
      <c r="R564" s="842" t="s">
        <v>22</v>
      </c>
      <c r="S564" s="2377"/>
      <c r="T564" s="842" t="s">
        <v>22</v>
      </c>
      <c r="U564" s="2377" t="s">
        <v>22</v>
      </c>
      <c r="V564" s="842" t="s">
        <v>22</v>
      </c>
      <c r="W564" s="2377" t="s">
        <v>22</v>
      </c>
      <c r="X564" s="842" t="s">
        <v>22</v>
      </c>
      <c r="Y564" s="2377" t="s">
        <v>22</v>
      </c>
      <c r="Z564" s="842" t="s">
        <v>22</v>
      </c>
      <c r="AA564" s="2942" t="s">
        <v>22</v>
      </c>
      <c r="AB564" s="2940" t="s">
        <v>22</v>
      </c>
      <c r="AC564" s="2377" t="s">
        <v>22</v>
      </c>
      <c r="AD564" s="842" t="s">
        <v>22</v>
      </c>
      <c r="AE564" s="2377" t="s">
        <v>22</v>
      </c>
      <c r="AF564" s="842" t="s">
        <v>22</v>
      </c>
      <c r="AG564" s="2942" t="s">
        <v>22</v>
      </c>
      <c r="AH564" s="2940" t="s">
        <v>22</v>
      </c>
      <c r="AI564" s="2377" t="s">
        <v>22</v>
      </c>
      <c r="AJ564" s="842" t="s">
        <v>22</v>
      </c>
      <c r="AK564" s="2377" t="s">
        <v>22</v>
      </c>
      <c r="AL564" s="842" t="s">
        <v>22</v>
      </c>
      <c r="AM564" s="1549"/>
      <c r="AN564" s="1659"/>
      <c r="AO564" s="1659"/>
      <c r="AP564" s="1659"/>
      <c r="AQ564" s="1659"/>
      <c r="AR564" s="1659"/>
      <c r="AS564" s="1659"/>
      <c r="AT564" s="1659"/>
      <c r="AU564" s="1659"/>
      <c r="AV564" s="1659"/>
      <c r="AW564" s="699"/>
      <c r="AX564" s="1659">
        <v>0</v>
      </c>
    </row>
    <row s="1874" customFormat="1" customHeight="1" ht="15">
      <c r="A565" s="1659"/>
      <c r="B565" s="2421"/>
      <c r="C565" s="2422"/>
      <c r="D565" s="713" t="str">
        <f>B564&amp;".2"</f>
        <v>3.176.2</v>
      </c>
      <c r="E565" s="1691" t="s">
        <v>1040</v>
      </c>
      <c r="F565" s="2287" t="s">
        <v>390</v>
      </c>
      <c r="G565" s="1762" t="s">
        <v>22</v>
      </c>
      <c r="H565" s="842" t="s">
        <v>22</v>
      </c>
      <c r="I565" s="1762" t="s">
        <v>22</v>
      </c>
      <c r="J565" s="842" t="s">
        <v>22</v>
      </c>
      <c r="K565" s="1762" t="s">
        <v>22</v>
      </c>
      <c r="L565" s="842" t="s">
        <v>22</v>
      </c>
      <c r="M565" s="2943" t="s">
        <v>22</v>
      </c>
      <c r="N565" s="2940" t="s">
        <v>22</v>
      </c>
      <c r="O565" s="1762" t="s">
        <v>22</v>
      </c>
      <c r="P565" s="842" t="s">
        <v>22</v>
      </c>
      <c r="Q565" s="1762">
        <v>46141</v>
      </c>
      <c r="R565" s="842" t="s">
        <v>22</v>
      </c>
      <c r="S565" s="1762"/>
      <c r="T565" s="842" t="s">
        <v>22</v>
      </c>
      <c r="U565" s="1762" t="s">
        <v>22</v>
      </c>
      <c r="V565" s="842" t="s">
        <v>22</v>
      </c>
      <c r="W565" s="1762" t="s">
        <v>22</v>
      </c>
      <c r="X565" s="842" t="s">
        <v>22</v>
      </c>
      <c r="Y565" s="1762" t="s">
        <v>22</v>
      </c>
      <c r="Z565" s="842" t="s">
        <v>22</v>
      </c>
      <c r="AA565" s="2943" t="s">
        <v>22</v>
      </c>
      <c r="AB565" s="2940" t="s">
        <v>22</v>
      </c>
      <c r="AC565" s="1762" t="s">
        <v>22</v>
      </c>
      <c r="AD565" s="842" t="s">
        <v>22</v>
      </c>
      <c r="AE565" s="1762" t="s">
        <v>22</v>
      </c>
      <c r="AF565" s="842" t="s">
        <v>22</v>
      </c>
      <c r="AG565" s="2943" t="s">
        <v>22</v>
      </c>
      <c r="AH565" s="2940" t="s">
        <v>22</v>
      </c>
      <c r="AI565" s="1762" t="s">
        <v>22</v>
      </c>
      <c r="AJ565" s="842" t="s">
        <v>22</v>
      </c>
      <c r="AK565" s="1762" t="s">
        <v>22</v>
      </c>
      <c r="AL565" s="842" t="s">
        <v>22</v>
      </c>
      <c r="AM565" s="1549" t="s">
        <v>1041</v>
      </c>
      <c r="AN565" s="1659"/>
      <c r="AO565" s="1659"/>
      <c r="AP565" s="1659"/>
      <c r="AQ565" s="1659"/>
      <c r="AR565" s="1659"/>
      <c r="AS565" s="1659"/>
      <c r="AT565" s="1659"/>
      <c r="AU565" s="1659"/>
      <c r="AV565" s="1659"/>
      <c r="AW565" s="699"/>
      <c r="AX565" s="1659">
        <v>0</v>
      </c>
    </row>
    <row s="1874" customFormat="1" customHeight="1" ht="15">
      <c r="A566" s="1659"/>
      <c r="B566" s="2421"/>
      <c r="C566" s="2422"/>
      <c r="D566" s="713" t="str">
        <f>B564&amp;".3"</f>
        <v>3.176.3</v>
      </c>
      <c r="E566" s="1691" t="s">
        <v>1042</v>
      </c>
      <c r="F566" s="2287" t="s">
        <v>390</v>
      </c>
      <c r="G566" s="1762" t="s">
        <v>22</v>
      </c>
      <c r="H566" s="842" t="s">
        <v>22</v>
      </c>
      <c r="I566" s="1762" t="s">
        <v>22</v>
      </c>
      <c r="J566" s="842" t="s">
        <v>22</v>
      </c>
      <c r="K566" s="1762" t="s">
        <v>22</v>
      </c>
      <c r="L566" s="842" t="s">
        <v>22</v>
      </c>
      <c r="M566" s="2943" t="s">
        <v>22</v>
      </c>
      <c r="N566" s="2940" t="s">
        <v>22</v>
      </c>
      <c r="O566" s="1762" t="s">
        <v>22</v>
      </c>
      <c r="P566" s="842" t="s">
        <v>22</v>
      </c>
      <c r="Q566" s="1762" t="s">
        <v>22</v>
      </c>
      <c r="R566" s="842" t="s">
        <v>22</v>
      </c>
      <c r="S566" s="1762"/>
      <c r="T566" s="842" t="s">
        <v>22</v>
      </c>
      <c r="U566" s="1762" t="s">
        <v>22</v>
      </c>
      <c r="V566" s="842" t="s">
        <v>22</v>
      </c>
      <c r="W566" s="1762" t="s">
        <v>22</v>
      </c>
      <c r="X566" s="842" t="s">
        <v>22</v>
      </c>
      <c r="Y566" s="1762" t="s">
        <v>22</v>
      </c>
      <c r="Z566" s="842" t="s">
        <v>22</v>
      </c>
      <c r="AA566" s="2943" t="s">
        <v>22</v>
      </c>
      <c r="AB566" s="2940" t="s">
        <v>22</v>
      </c>
      <c r="AC566" s="1762" t="s">
        <v>22</v>
      </c>
      <c r="AD566" s="842" t="s">
        <v>22</v>
      </c>
      <c r="AE566" s="1762" t="s">
        <v>22</v>
      </c>
      <c r="AF566" s="842" t="s">
        <v>22</v>
      </c>
      <c r="AG566" s="2943" t="s">
        <v>22</v>
      </c>
      <c r="AH566" s="2940" t="s">
        <v>22</v>
      </c>
      <c r="AI566" s="1762" t="s">
        <v>22</v>
      </c>
      <c r="AJ566" s="842" t="s">
        <v>22</v>
      </c>
      <c r="AK566" s="1762" t="s">
        <v>22</v>
      </c>
      <c r="AL566" s="842" t="s">
        <v>22</v>
      </c>
      <c r="AM566" s="1549" t="s">
        <v>1043</v>
      </c>
      <c r="AN566" s="1659"/>
      <c r="AO566" s="1659"/>
      <c r="AP566" s="1659"/>
      <c r="AQ566" s="1659"/>
      <c r="AR566" s="1659"/>
      <c r="AS566" s="1659"/>
      <c r="AT566" s="1659"/>
      <c r="AU566" s="1659"/>
      <c r="AV566" s="1659"/>
      <c r="AW566" s="699"/>
      <c r="AX566" s="1659">
        <v>0</v>
      </c>
    </row>
    <row s="1874" customFormat="1" customHeight="1" ht="22.5">
      <c r="A567" s="1659"/>
      <c r="B567" s="2421" t="s">
        <v>1262</v>
      </c>
      <c r="C567" s="2422" t="s">
        <v>104</v>
      </c>
      <c r="D567" s="713" t="str">
        <f>B567&amp;".1"</f>
        <v>3.177.1</v>
      </c>
      <c r="E567" s="1691" t="s">
        <v>1039</v>
      </c>
      <c r="F567" s="2287" t="s">
        <v>390</v>
      </c>
      <c r="G567" s="2377" t="s">
        <v>22</v>
      </c>
      <c r="H567" s="842" t="s">
        <v>22</v>
      </c>
      <c r="I567" s="2377" t="s">
        <v>22</v>
      </c>
      <c r="J567" s="842" t="s">
        <v>22</v>
      </c>
      <c r="K567" s="2377" t="s">
        <v>22</v>
      </c>
      <c r="L567" s="842" t="s">
        <v>22</v>
      </c>
      <c r="M567" s="2942" t="s">
        <v>22</v>
      </c>
      <c r="N567" s="2940" t="s">
        <v>22</v>
      </c>
      <c r="O567" s="2377" t="s">
        <v>22</v>
      </c>
      <c r="P567" s="842" t="s">
        <v>22</v>
      </c>
      <c r="Q567" s="2377" t="s">
        <v>1059</v>
      </c>
      <c r="R567" s="842" t="s">
        <v>22</v>
      </c>
      <c r="S567" s="2377"/>
      <c r="T567" s="842" t="s">
        <v>22</v>
      </c>
      <c r="U567" s="2377" t="s">
        <v>22</v>
      </c>
      <c r="V567" s="842" t="s">
        <v>22</v>
      </c>
      <c r="W567" s="2377" t="s">
        <v>22</v>
      </c>
      <c r="X567" s="842" t="s">
        <v>22</v>
      </c>
      <c r="Y567" s="2377" t="s">
        <v>22</v>
      </c>
      <c r="Z567" s="842" t="s">
        <v>22</v>
      </c>
      <c r="AA567" s="2942" t="s">
        <v>22</v>
      </c>
      <c r="AB567" s="2940" t="s">
        <v>22</v>
      </c>
      <c r="AC567" s="2377" t="s">
        <v>22</v>
      </c>
      <c r="AD567" s="842" t="s">
        <v>22</v>
      </c>
      <c r="AE567" s="2377" t="s">
        <v>22</v>
      </c>
      <c r="AF567" s="842" t="s">
        <v>22</v>
      </c>
      <c r="AG567" s="2942" t="s">
        <v>22</v>
      </c>
      <c r="AH567" s="2940" t="s">
        <v>22</v>
      </c>
      <c r="AI567" s="2377" t="s">
        <v>22</v>
      </c>
      <c r="AJ567" s="842" t="s">
        <v>22</v>
      </c>
      <c r="AK567" s="2377" t="s">
        <v>22</v>
      </c>
      <c r="AL567" s="842" t="s">
        <v>22</v>
      </c>
      <c r="AM567" s="1549"/>
      <c r="AN567" s="1659"/>
      <c r="AO567" s="1659"/>
      <c r="AP567" s="1659"/>
      <c r="AQ567" s="1659"/>
      <c r="AR567" s="1659"/>
      <c r="AS567" s="1659"/>
      <c r="AT567" s="1659"/>
      <c r="AU567" s="1659"/>
      <c r="AV567" s="1659"/>
      <c r="AW567" s="699"/>
      <c r="AX567" s="1659">
        <v>0</v>
      </c>
    </row>
    <row s="1874" customFormat="1" customHeight="1" ht="15">
      <c r="A568" s="1659"/>
      <c r="B568" s="2421"/>
      <c r="C568" s="2422"/>
      <c r="D568" s="713" t="str">
        <f>B567&amp;".2"</f>
        <v>3.177.2</v>
      </c>
      <c r="E568" s="1691" t="s">
        <v>1040</v>
      </c>
      <c r="F568" s="2287" t="s">
        <v>390</v>
      </c>
      <c r="G568" s="1762" t="s">
        <v>22</v>
      </c>
      <c r="H568" s="842" t="s">
        <v>22</v>
      </c>
      <c r="I568" s="1762" t="s">
        <v>22</v>
      </c>
      <c r="J568" s="842" t="s">
        <v>22</v>
      </c>
      <c r="K568" s="1762" t="s">
        <v>22</v>
      </c>
      <c r="L568" s="842" t="s">
        <v>22</v>
      </c>
      <c r="M568" s="2943" t="s">
        <v>22</v>
      </c>
      <c r="N568" s="2940" t="s">
        <v>22</v>
      </c>
      <c r="O568" s="1762" t="s">
        <v>22</v>
      </c>
      <c r="P568" s="842" t="s">
        <v>22</v>
      </c>
      <c r="Q568" s="1762">
        <v>46141</v>
      </c>
      <c r="R568" s="842" t="s">
        <v>22</v>
      </c>
      <c r="S568" s="1762"/>
      <c r="T568" s="842" t="s">
        <v>22</v>
      </c>
      <c r="U568" s="1762" t="s">
        <v>22</v>
      </c>
      <c r="V568" s="842" t="s">
        <v>22</v>
      </c>
      <c r="W568" s="1762" t="s">
        <v>22</v>
      </c>
      <c r="X568" s="842" t="s">
        <v>22</v>
      </c>
      <c r="Y568" s="1762" t="s">
        <v>22</v>
      </c>
      <c r="Z568" s="842" t="s">
        <v>22</v>
      </c>
      <c r="AA568" s="2943" t="s">
        <v>22</v>
      </c>
      <c r="AB568" s="2940" t="s">
        <v>22</v>
      </c>
      <c r="AC568" s="1762" t="s">
        <v>22</v>
      </c>
      <c r="AD568" s="842" t="s">
        <v>22</v>
      </c>
      <c r="AE568" s="1762" t="s">
        <v>22</v>
      </c>
      <c r="AF568" s="842" t="s">
        <v>22</v>
      </c>
      <c r="AG568" s="2943" t="s">
        <v>22</v>
      </c>
      <c r="AH568" s="2940" t="s">
        <v>22</v>
      </c>
      <c r="AI568" s="1762" t="s">
        <v>22</v>
      </c>
      <c r="AJ568" s="842" t="s">
        <v>22</v>
      </c>
      <c r="AK568" s="1762" t="s">
        <v>22</v>
      </c>
      <c r="AL568" s="842" t="s">
        <v>22</v>
      </c>
      <c r="AM568" s="1549" t="s">
        <v>1041</v>
      </c>
      <c r="AN568" s="1659"/>
      <c r="AO568" s="1659"/>
      <c r="AP568" s="1659"/>
      <c r="AQ568" s="1659"/>
      <c r="AR568" s="1659"/>
      <c r="AS568" s="1659"/>
      <c r="AT568" s="1659"/>
      <c r="AU568" s="1659"/>
      <c r="AV568" s="1659"/>
      <c r="AW568" s="699"/>
      <c r="AX568" s="1659">
        <v>0</v>
      </c>
    </row>
    <row s="1874" customFormat="1" customHeight="1" ht="15">
      <c r="A569" s="1659"/>
      <c r="B569" s="2421"/>
      <c r="C569" s="2422"/>
      <c r="D569" s="713" t="str">
        <f>B567&amp;".3"</f>
        <v>3.177.3</v>
      </c>
      <c r="E569" s="1691" t="s">
        <v>1042</v>
      </c>
      <c r="F569" s="2287" t="s">
        <v>390</v>
      </c>
      <c r="G569" s="1762" t="s">
        <v>22</v>
      </c>
      <c r="H569" s="842" t="s">
        <v>22</v>
      </c>
      <c r="I569" s="1762" t="s">
        <v>22</v>
      </c>
      <c r="J569" s="842" t="s">
        <v>22</v>
      </c>
      <c r="K569" s="1762" t="s">
        <v>22</v>
      </c>
      <c r="L569" s="842" t="s">
        <v>22</v>
      </c>
      <c r="M569" s="2943" t="s">
        <v>22</v>
      </c>
      <c r="N569" s="2940" t="s">
        <v>22</v>
      </c>
      <c r="O569" s="1762" t="s">
        <v>22</v>
      </c>
      <c r="P569" s="842" t="s">
        <v>22</v>
      </c>
      <c r="Q569" s="1762" t="s">
        <v>22</v>
      </c>
      <c r="R569" s="842" t="s">
        <v>22</v>
      </c>
      <c r="S569" s="1762"/>
      <c r="T569" s="842" t="s">
        <v>22</v>
      </c>
      <c r="U569" s="1762" t="s">
        <v>22</v>
      </c>
      <c r="V569" s="842" t="s">
        <v>22</v>
      </c>
      <c r="W569" s="1762" t="s">
        <v>22</v>
      </c>
      <c r="X569" s="842" t="s">
        <v>22</v>
      </c>
      <c r="Y569" s="1762" t="s">
        <v>22</v>
      </c>
      <c r="Z569" s="842" t="s">
        <v>22</v>
      </c>
      <c r="AA569" s="2943" t="s">
        <v>22</v>
      </c>
      <c r="AB569" s="2940" t="s">
        <v>22</v>
      </c>
      <c r="AC569" s="1762" t="s">
        <v>22</v>
      </c>
      <c r="AD569" s="842" t="s">
        <v>22</v>
      </c>
      <c r="AE569" s="1762" t="s">
        <v>22</v>
      </c>
      <c r="AF569" s="842" t="s">
        <v>22</v>
      </c>
      <c r="AG569" s="2943" t="s">
        <v>22</v>
      </c>
      <c r="AH569" s="2940" t="s">
        <v>22</v>
      </c>
      <c r="AI569" s="1762" t="s">
        <v>22</v>
      </c>
      <c r="AJ569" s="842" t="s">
        <v>22</v>
      </c>
      <c r="AK569" s="1762" t="s">
        <v>22</v>
      </c>
      <c r="AL569" s="842" t="s">
        <v>22</v>
      </c>
      <c r="AM569" s="1549" t="s">
        <v>1043</v>
      </c>
      <c r="AN569" s="1659"/>
      <c r="AO569" s="1659"/>
      <c r="AP569" s="1659"/>
      <c r="AQ569" s="1659"/>
      <c r="AR569" s="1659"/>
      <c r="AS569" s="1659"/>
      <c r="AT569" s="1659"/>
      <c r="AU569" s="1659"/>
      <c r="AV569" s="1659"/>
      <c r="AW569" s="699"/>
      <c r="AX569" s="1659">
        <v>0</v>
      </c>
    </row>
    <row s="1874" customFormat="1" customHeight="1" ht="22.5">
      <c r="A570" s="1659"/>
      <c r="B570" s="2421" t="s">
        <v>1263</v>
      </c>
      <c r="C570" s="2422" t="s">
        <v>104</v>
      </c>
      <c r="D570" s="713" t="str">
        <f>B570&amp;".1"</f>
        <v>3.178.1</v>
      </c>
      <c r="E570" s="1691" t="s">
        <v>1039</v>
      </c>
      <c r="F570" s="2287" t="s">
        <v>390</v>
      </c>
      <c r="G570" s="2377" t="s">
        <v>22</v>
      </c>
      <c r="H570" s="842" t="s">
        <v>22</v>
      </c>
      <c r="I570" s="2377" t="s">
        <v>22</v>
      </c>
      <c r="J570" s="842" t="s">
        <v>22</v>
      </c>
      <c r="K570" s="2377" t="s">
        <v>22</v>
      </c>
      <c r="L570" s="842" t="s">
        <v>22</v>
      </c>
      <c r="M570" s="2942" t="s">
        <v>22</v>
      </c>
      <c r="N570" s="2940" t="s">
        <v>22</v>
      </c>
      <c r="O570" s="2377" t="s">
        <v>22</v>
      </c>
      <c r="P570" s="842" t="s">
        <v>22</v>
      </c>
      <c r="Q570" s="2377" t="s">
        <v>1059</v>
      </c>
      <c r="R570" s="842" t="s">
        <v>22</v>
      </c>
      <c r="S570" s="2377"/>
      <c r="T570" s="842" t="s">
        <v>22</v>
      </c>
      <c r="U570" s="2377" t="s">
        <v>22</v>
      </c>
      <c r="V570" s="842" t="s">
        <v>22</v>
      </c>
      <c r="W570" s="2377" t="s">
        <v>22</v>
      </c>
      <c r="X570" s="842" t="s">
        <v>22</v>
      </c>
      <c r="Y570" s="2377" t="s">
        <v>22</v>
      </c>
      <c r="Z570" s="842" t="s">
        <v>22</v>
      </c>
      <c r="AA570" s="2942" t="s">
        <v>22</v>
      </c>
      <c r="AB570" s="2940" t="s">
        <v>22</v>
      </c>
      <c r="AC570" s="2377" t="s">
        <v>22</v>
      </c>
      <c r="AD570" s="842" t="s">
        <v>22</v>
      </c>
      <c r="AE570" s="2377" t="s">
        <v>22</v>
      </c>
      <c r="AF570" s="842" t="s">
        <v>22</v>
      </c>
      <c r="AG570" s="2942" t="s">
        <v>22</v>
      </c>
      <c r="AH570" s="2940" t="s">
        <v>22</v>
      </c>
      <c r="AI570" s="2377" t="s">
        <v>22</v>
      </c>
      <c r="AJ570" s="842" t="s">
        <v>22</v>
      </c>
      <c r="AK570" s="2377" t="s">
        <v>22</v>
      </c>
      <c r="AL570" s="842" t="s">
        <v>22</v>
      </c>
      <c r="AM570" s="1549"/>
      <c r="AN570" s="1659"/>
      <c r="AO570" s="1659"/>
      <c r="AP570" s="1659"/>
      <c r="AQ570" s="1659"/>
      <c r="AR570" s="1659"/>
      <c r="AS570" s="1659"/>
      <c r="AT570" s="1659"/>
      <c r="AU570" s="1659"/>
      <c r="AV570" s="1659"/>
      <c r="AW570" s="699"/>
      <c r="AX570" s="1659">
        <v>0</v>
      </c>
    </row>
    <row s="1874" customFormat="1" customHeight="1" ht="15">
      <c r="A571" s="1659"/>
      <c r="B571" s="2421"/>
      <c r="C571" s="2422"/>
      <c r="D571" s="713" t="str">
        <f>B570&amp;".2"</f>
        <v>3.178.2</v>
      </c>
      <c r="E571" s="1691" t="s">
        <v>1040</v>
      </c>
      <c r="F571" s="2287" t="s">
        <v>390</v>
      </c>
      <c r="G571" s="1762" t="s">
        <v>22</v>
      </c>
      <c r="H571" s="842" t="s">
        <v>22</v>
      </c>
      <c r="I571" s="1762" t="s">
        <v>22</v>
      </c>
      <c r="J571" s="842" t="s">
        <v>22</v>
      </c>
      <c r="K571" s="1762" t="s">
        <v>22</v>
      </c>
      <c r="L571" s="842" t="s">
        <v>22</v>
      </c>
      <c r="M571" s="2943" t="s">
        <v>22</v>
      </c>
      <c r="N571" s="2940" t="s">
        <v>22</v>
      </c>
      <c r="O571" s="1762" t="s">
        <v>22</v>
      </c>
      <c r="P571" s="842" t="s">
        <v>22</v>
      </c>
      <c r="Q571" s="1762">
        <v>46141</v>
      </c>
      <c r="R571" s="842" t="s">
        <v>22</v>
      </c>
      <c r="S571" s="1762"/>
      <c r="T571" s="842" t="s">
        <v>22</v>
      </c>
      <c r="U571" s="1762" t="s">
        <v>22</v>
      </c>
      <c r="V571" s="842" t="s">
        <v>22</v>
      </c>
      <c r="W571" s="1762" t="s">
        <v>22</v>
      </c>
      <c r="X571" s="842" t="s">
        <v>22</v>
      </c>
      <c r="Y571" s="1762" t="s">
        <v>22</v>
      </c>
      <c r="Z571" s="842" t="s">
        <v>22</v>
      </c>
      <c r="AA571" s="2943" t="s">
        <v>22</v>
      </c>
      <c r="AB571" s="2940" t="s">
        <v>22</v>
      </c>
      <c r="AC571" s="1762" t="s">
        <v>22</v>
      </c>
      <c r="AD571" s="842" t="s">
        <v>22</v>
      </c>
      <c r="AE571" s="1762" t="s">
        <v>22</v>
      </c>
      <c r="AF571" s="842" t="s">
        <v>22</v>
      </c>
      <c r="AG571" s="2943" t="s">
        <v>22</v>
      </c>
      <c r="AH571" s="2940" t="s">
        <v>22</v>
      </c>
      <c r="AI571" s="1762" t="s">
        <v>22</v>
      </c>
      <c r="AJ571" s="842" t="s">
        <v>22</v>
      </c>
      <c r="AK571" s="1762" t="s">
        <v>22</v>
      </c>
      <c r="AL571" s="842" t="s">
        <v>22</v>
      </c>
      <c r="AM571" s="1549" t="s">
        <v>1041</v>
      </c>
      <c r="AN571" s="1659"/>
      <c r="AO571" s="1659"/>
      <c r="AP571" s="1659"/>
      <c r="AQ571" s="1659"/>
      <c r="AR571" s="1659"/>
      <c r="AS571" s="1659"/>
      <c r="AT571" s="1659"/>
      <c r="AU571" s="1659"/>
      <c r="AV571" s="1659"/>
      <c r="AW571" s="699"/>
      <c r="AX571" s="1659">
        <v>0</v>
      </c>
    </row>
    <row s="1874" customFormat="1" customHeight="1" ht="15">
      <c r="A572" s="1659"/>
      <c r="B572" s="2421"/>
      <c r="C572" s="2422"/>
      <c r="D572" s="713" t="str">
        <f>B570&amp;".3"</f>
        <v>3.178.3</v>
      </c>
      <c r="E572" s="1691" t="s">
        <v>1042</v>
      </c>
      <c r="F572" s="2287" t="s">
        <v>390</v>
      </c>
      <c r="G572" s="1762" t="s">
        <v>22</v>
      </c>
      <c r="H572" s="842" t="s">
        <v>22</v>
      </c>
      <c r="I572" s="1762" t="s">
        <v>22</v>
      </c>
      <c r="J572" s="842" t="s">
        <v>22</v>
      </c>
      <c r="K572" s="1762" t="s">
        <v>22</v>
      </c>
      <c r="L572" s="842" t="s">
        <v>22</v>
      </c>
      <c r="M572" s="2943" t="s">
        <v>22</v>
      </c>
      <c r="N572" s="2940" t="s">
        <v>22</v>
      </c>
      <c r="O572" s="1762" t="s">
        <v>22</v>
      </c>
      <c r="P572" s="842" t="s">
        <v>22</v>
      </c>
      <c r="Q572" s="1762" t="s">
        <v>22</v>
      </c>
      <c r="R572" s="842" t="s">
        <v>22</v>
      </c>
      <c r="S572" s="1762"/>
      <c r="T572" s="842" t="s">
        <v>22</v>
      </c>
      <c r="U572" s="1762" t="s">
        <v>22</v>
      </c>
      <c r="V572" s="842" t="s">
        <v>22</v>
      </c>
      <c r="W572" s="1762" t="s">
        <v>22</v>
      </c>
      <c r="X572" s="842" t="s">
        <v>22</v>
      </c>
      <c r="Y572" s="1762" t="s">
        <v>22</v>
      </c>
      <c r="Z572" s="842" t="s">
        <v>22</v>
      </c>
      <c r="AA572" s="2943" t="s">
        <v>22</v>
      </c>
      <c r="AB572" s="2940" t="s">
        <v>22</v>
      </c>
      <c r="AC572" s="1762" t="s">
        <v>22</v>
      </c>
      <c r="AD572" s="842" t="s">
        <v>22</v>
      </c>
      <c r="AE572" s="1762" t="s">
        <v>22</v>
      </c>
      <c r="AF572" s="842" t="s">
        <v>22</v>
      </c>
      <c r="AG572" s="2943" t="s">
        <v>22</v>
      </c>
      <c r="AH572" s="2940" t="s">
        <v>22</v>
      </c>
      <c r="AI572" s="1762" t="s">
        <v>22</v>
      </c>
      <c r="AJ572" s="842" t="s">
        <v>22</v>
      </c>
      <c r="AK572" s="1762" t="s">
        <v>22</v>
      </c>
      <c r="AL572" s="842" t="s">
        <v>22</v>
      </c>
      <c r="AM572" s="1549" t="s">
        <v>1043</v>
      </c>
      <c r="AN572" s="1659"/>
      <c r="AO572" s="1659"/>
      <c r="AP572" s="1659"/>
      <c r="AQ572" s="1659"/>
      <c r="AR572" s="1659"/>
      <c r="AS572" s="1659"/>
      <c r="AT572" s="1659"/>
      <c r="AU572" s="1659"/>
      <c r="AV572" s="1659"/>
      <c r="AW572" s="699"/>
      <c r="AX572" s="1659">
        <v>0</v>
      </c>
    </row>
    <row s="1874" customFormat="1" customHeight="1" ht="22.5">
      <c r="A573" s="1659"/>
      <c r="B573" s="2421" t="s">
        <v>1264</v>
      </c>
      <c r="C573" s="2422" t="s">
        <v>104</v>
      </c>
      <c r="D573" s="713" t="str">
        <f>B573&amp;".1"</f>
        <v>3.179.1</v>
      </c>
      <c r="E573" s="1691" t="s">
        <v>1039</v>
      </c>
      <c r="F573" s="2287" t="s">
        <v>390</v>
      </c>
      <c r="G573" s="2377" t="s">
        <v>22</v>
      </c>
      <c r="H573" s="842" t="s">
        <v>22</v>
      </c>
      <c r="I573" s="2377" t="s">
        <v>22</v>
      </c>
      <c r="J573" s="842" t="s">
        <v>22</v>
      </c>
      <c r="K573" s="2377" t="s">
        <v>22</v>
      </c>
      <c r="L573" s="842" t="s">
        <v>22</v>
      </c>
      <c r="M573" s="2942" t="s">
        <v>22</v>
      </c>
      <c r="N573" s="2940" t="s">
        <v>22</v>
      </c>
      <c r="O573" s="2377" t="s">
        <v>22</v>
      </c>
      <c r="P573" s="842" t="s">
        <v>22</v>
      </c>
      <c r="Q573" s="2377" t="s">
        <v>1059</v>
      </c>
      <c r="R573" s="842" t="s">
        <v>22</v>
      </c>
      <c r="S573" s="2377"/>
      <c r="T573" s="842" t="s">
        <v>22</v>
      </c>
      <c r="U573" s="2377" t="s">
        <v>22</v>
      </c>
      <c r="V573" s="842" t="s">
        <v>22</v>
      </c>
      <c r="W573" s="2377" t="s">
        <v>22</v>
      </c>
      <c r="X573" s="842" t="s">
        <v>22</v>
      </c>
      <c r="Y573" s="2377" t="s">
        <v>22</v>
      </c>
      <c r="Z573" s="842" t="s">
        <v>22</v>
      </c>
      <c r="AA573" s="2942" t="s">
        <v>22</v>
      </c>
      <c r="AB573" s="2940" t="s">
        <v>22</v>
      </c>
      <c r="AC573" s="2377" t="s">
        <v>22</v>
      </c>
      <c r="AD573" s="842" t="s">
        <v>22</v>
      </c>
      <c r="AE573" s="2377" t="s">
        <v>22</v>
      </c>
      <c r="AF573" s="842" t="s">
        <v>22</v>
      </c>
      <c r="AG573" s="2942" t="s">
        <v>22</v>
      </c>
      <c r="AH573" s="2940" t="s">
        <v>22</v>
      </c>
      <c r="AI573" s="2377" t="s">
        <v>22</v>
      </c>
      <c r="AJ573" s="842" t="s">
        <v>22</v>
      </c>
      <c r="AK573" s="2377" t="s">
        <v>22</v>
      </c>
      <c r="AL573" s="842" t="s">
        <v>22</v>
      </c>
      <c r="AM573" s="1549"/>
      <c r="AN573" s="1659"/>
      <c r="AO573" s="1659"/>
      <c r="AP573" s="1659"/>
      <c r="AQ573" s="1659"/>
      <c r="AR573" s="1659"/>
      <c r="AS573" s="1659"/>
      <c r="AT573" s="1659"/>
      <c r="AU573" s="1659"/>
      <c r="AV573" s="1659"/>
      <c r="AW573" s="699"/>
      <c r="AX573" s="1659">
        <v>0</v>
      </c>
    </row>
    <row s="1874" customFormat="1" customHeight="1" ht="15">
      <c r="A574" s="1659"/>
      <c r="B574" s="2421"/>
      <c r="C574" s="2422"/>
      <c r="D574" s="713" t="str">
        <f>B573&amp;".2"</f>
        <v>3.179.2</v>
      </c>
      <c r="E574" s="1691" t="s">
        <v>1040</v>
      </c>
      <c r="F574" s="2287" t="s">
        <v>390</v>
      </c>
      <c r="G574" s="1762" t="s">
        <v>22</v>
      </c>
      <c r="H574" s="842" t="s">
        <v>22</v>
      </c>
      <c r="I574" s="1762" t="s">
        <v>22</v>
      </c>
      <c r="J574" s="842" t="s">
        <v>22</v>
      </c>
      <c r="K574" s="1762" t="s">
        <v>22</v>
      </c>
      <c r="L574" s="842" t="s">
        <v>22</v>
      </c>
      <c r="M574" s="2943" t="s">
        <v>22</v>
      </c>
      <c r="N574" s="2940" t="s">
        <v>22</v>
      </c>
      <c r="O574" s="1762" t="s">
        <v>22</v>
      </c>
      <c r="P574" s="842" t="s">
        <v>22</v>
      </c>
      <c r="Q574" s="1762">
        <v>46141</v>
      </c>
      <c r="R574" s="842" t="s">
        <v>22</v>
      </c>
      <c r="S574" s="1762"/>
      <c r="T574" s="842" t="s">
        <v>22</v>
      </c>
      <c r="U574" s="1762" t="s">
        <v>22</v>
      </c>
      <c r="V574" s="842" t="s">
        <v>22</v>
      </c>
      <c r="W574" s="1762" t="s">
        <v>22</v>
      </c>
      <c r="X574" s="842" t="s">
        <v>22</v>
      </c>
      <c r="Y574" s="1762" t="s">
        <v>22</v>
      </c>
      <c r="Z574" s="842" t="s">
        <v>22</v>
      </c>
      <c r="AA574" s="2943" t="s">
        <v>22</v>
      </c>
      <c r="AB574" s="2940" t="s">
        <v>22</v>
      </c>
      <c r="AC574" s="1762" t="s">
        <v>22</v>
      </c>
      <c r="AD574" s="842" t="s">
        <v>22</v>
      </c>
      <c r="AE574" s="1762" t="s">
        <v>22</v>
      </c>
      <c r="AF574" s="842" t="s">
        <v>22</v>
      </c>
      <c r="AG574" s="2943" t="s">
        <v>22</v>
      </c>
      <c r="AH574" s="2940" t="s">
        <v>22</v>
      </c>
      <c r="AI574" s="1762" t="s">
        <v>22</v>
      </c>
      <c r="AJ574" s="842" t="s">
        <v>22</v>
      </c>
      <c r="AK574" s="1762" t="s">
        <v>22</v>
      </c>
      <c r="AL574" s="842" t="s">
        <v>22</v>
      </c>
      <c r="AM574" s="1549" t="s">
        <v>1041</v>
      </c>
      <c r="AN574" s="1659"/>
      <c r="AO574" s="1659"/>
      <c r="AP574" s="1659"/>
      <c r="AQ574" s="1659"/>
      <c r="AR574" s="1659"/>
      <c r="AS574" s="1659"/>
      <c r="AT574" s="1659"/>
      <c r="AU574" s="1659"/>
      <c r="AV574" s="1659"/>
      <c r="AW574" s="699"/>
      <c r="AX574" s="1659">
        <v>0</v>
      </c>
    </row>
    <row s="1874" customFormat="1" customHeight="1" ht="15">
      <c r="A575" s="1659"/>
      <c r="B575" s="2421"/>
      <c r="C575" s="2422"/>
      <c r="D575" s="713" t="str">
        <f>B573&amp;".3"</f>
        <v>3.179.3</v>
      </c>
      <c r="E575" s="1691" t="s">
        <v>1042</v>
      </c>
      <c r="F575" s="2287" t="s">
        <v>390</v>
      </c>
      <c r="G575" s="1762" t="s">
        <v>22</v>
      </c>
      <c r="H575" s="842" t="s">
        <v>22</v>
      </c>
      <c r="I575" s="1762" t="s">
        <v>22</v>
      </c>
      <c r="J575" s="842" t="s">
        <v>22</v>
      </c>
      <c r="K575" s="1762" t="s">
        <v>22</v>
      </c>
      <c r="L575" s="842" t="s">
        <v>22</v>
      </c>
      <c r="M575" s="2943" t="s">
        <v>22</v>
      </c>
      <c r="N575" s="2940" t="s">
        <v>22</v>
      </c>
      <c r="O575" s="1762" t="s">
        <v>22</v>
      </c>
      <c r="P575" s="842" t="s">
        <v>22</v>
      </c>
      <c r="Q575" s="1762" t="s">
        <v>22</v>
      </c>
      <c r="R575" s="842" t="s">
        <v>22</v>
      </c>
      <c r="S575" s="1762"/>
      <c r="T575" s="842" t="s">
        <v>22</v>
      </c>
      <c r="U575" s="1762" t="s">
        <v>22</v>
      </c>
      <c r="V575" s="842" t="s">
        <v>22</v>
      </c>
      <c r="W575" s="1762" t="s">
        <v>22</v>
      </c>
      <c r="X575" s="842" t="s">
        <v>22</v>
      </c>
      <c r="Y575" s="1762" t="s">
        <v>22</v>
      </c>
      <c r="Z575" s="842" t="s">
        <v>22</v>
      </c>
      <c r="AA575" s="2943" t="s">
        <v>22</v>
      </c>
      <c r="AB575" s="2940" t="s">
        <v>22</v>
      </c>
      <c r="AC575" s="1762" t="s">
        <v>22</v>
      </c>
      <c r="AD575" s="842" t="s">
        <v>22</v>
      </c>
      <c r="AE575" s="1762" t="s">
        <v>22</v>
      </c>
      <c r="AF575" s="842" t="s">
        <v>22</v>
      </c>
      <c r="AG575" s="2943" t="s">
        <v>22</v>
      </c>
      <c r="AH575" s="2940" t="s">
        <v>22</v>
      </c>
      <c r="AI575" s="1762" t="s">
        <v>22</v>
      </c>
      <c r="AJ575" s="842" t="s">
        <v>22</v>
      </c>
      <c r="AK575" s="1762" t="s">
        <v>22</v>
      </c>
      <c r="AL575" s="842" t="s">
        <v>22</v>
      </c>
      <c r="AM575" s="1549" t="s">
        <v>1043</v>
      </c>
      <c r="AN575" s="1659"/>
      <c r="AO575" s="1659"/>
      <c r="AP575" s="1659"/>
      <c r="AQ575" s="1659"/>
      <c r="AR575" s="1659"/>
      <c r="AS575" s="1659"/>
      <c r="AT575" s="1659"/>
      <c r="AU575" s="1659"/>
      <c r="AV575" s="1659"/>
      <c r="AW575" s="699"/>
      <c r="AX575" s="1659">
        <v>0</v>
      </c>
    </row>
    <row s="1874" customFormat="1" customHeight="1" ht="22.5">
      <c r="A576" s="1659"/>
      <c r="B576" s="2421" t="s">
        <v>1265</v>
      </c>
      <c r="C576" s="2422" t="s">
        <v>104</v>
      </c>
      <c r="D576" s="713" t="str">
        <f>B576&amp;".1"</f>
        <v>3.180.1</v>
      </c>
      <c r="E576" s="1691" t="s">
        <v>1039</v>
      </c>
      <c r="F576" s="2287" t="s">
        <v>390</v>
      </c>
      <c r="G576" s="2377" t="s">
        <v>22</v>
      </c>
      <c r="H576" s="842" t="s">
        <v>22</v>
      </c>
      <c r="I576" s="2377" t="s">
        <v>22</v>
      </c>
      <c r="J576" s="842" t="s">
        <v>22</v>
      </c>
      <c r="K576" s="2377" t="s">
        <v>22</v>
      </c>
      <c r="L576" s="842" t="s">
        <v>22</v>
      </c>
      <c r="M576" s="2942" t="s">
        <v>22</v>
      </c>
      <c r="N576" s="2940" t="s">
        <v>22</v>
      </c>
      <c r="O576" s="2377" t="s">
        <v>22</v>
      </c>
      <c r="P576" s="842" t="s">
        <v>22</v>
      </c>
      <c r="Q576" s="2377" t="s">
        <v>1059</v>
      </c>
      <c r="R576" s="842" t="s">
        <v>22</v>
      </c>
      <c r="S576" s="2377"/>
      <c r="T576" s="842" t="s">
        <v>22</v>
      </c>
      <c r="U576" s="2377" t="s">
        <v>22</v>
      </c>
      <c r="V576" s="842" t="s">
        <v>22</v>
      </c>
      <c r="W576" s="2377" t="s">
        <v>22</v>
      </c>
      <c r="X576" s="842" t="s">
        <v>22</v>
      </c>
      <c r="Y576" s="2377" t="s">
        <v>22</v>
      </c>
      <c r="Z576" s="842" t="s">
        <v>22</v>
      </c>
      <c r="AA576" s="2942" t="s">
        <v>22</v>
      </c>
      <c r="AB576" s="2940" t="s">
        <v>22</v>
      </c>
      <c r="AC576" s="2377" t="s">
        <v>22</v>
      </c>
      <c r="AD576" s="842" t="s">
        <v>22</v>
      </c>
      <c r="AE576" s="2377" t="s">
        <v>22</v>
      </c>
      <c r="AF576" s="842" t="s">
        <v>22</v>
      </c>
      <c r="AG576" s="2942" t="s">
        <v>22</v>
      </c>
      <c r="AH576" s="2940" t="s">
        <v>22</v>
      </c>
      <c r="AI576" s="2377" t="s">
        <v>22</v>
      </c>
      <c r="AJ576" s="842" t="s">
        <v>22</v>
      </c>
      <c r="AK576" s="2377" t="s">
        <v>22</v>
      </c>
      <c r="AL576" s="842" t="s">
        <v>22</v>
      </c>
      <c r="AM576" s="1549"/>
      <c r="AN576" s="1659"/>
      <c r="AO576" s="1659"/>
      <c r="AP576" s="1659"/>
      <c r="AQ576" s="1659"/>
      <c r="AR576" s="1659"/>
      <c r="AS576" s="1659"/>
      <c r="AT576" s="1659"/>
      <c r="AU576" s="1659"/>
      <c r="AV576" s="1659"/>
      <c r="AW576" s="699"/>
      <c r="AX576" s="1659">
        <v>0</v>
      </c>
    </row>
    <row s="1874" customFormat="1" customHeight="1" ht="15">
      <c r="A577" s="1659"/>
      <c r="B577" s="2421"/>
      <c r="C577" s="2422"/>
      <c r="D577" s="713" t="str">
        <f>B576&amp;".2"</f>
        <v>3.180.2</v>
      </c>
      <c r="E577" s="1691" t="s">
        <v>1040</v>
      </c>
      <c r="F577" s="2287" t="s">
        <v>390</v>
      </c>
      <c r="G577" s="1762" t="s">
        <v>22</v>
      </c>
      <c r="H577" s="842" t="s">
        <v>22</v>
      </c>
      <c r="I577" s="1762" t="s">
        <v>22</v>
      </c>
      <c r="J577" s="842" t="s">
        <v>22</v>
      </c>
      <c r="K577" s="1762" t="s">
        <v>22</v>
      </c>
      <c r="L577" s="842" t="s">
        <v>22</v>
      </c>
      <c r="M577" s="2943" t="s">
        <v>22</v>
      </c>
      <c r="N577" s="2940" t="s">
        <v>22</v>
      </c>
      <c r="O577" s="1762" t="s">
        <v>22</v>
      </c>
      <c r="P577" s="842" t="s">
        <v>22</v>
      </c>
      <c r="Q577" s="1762">
        <v>46141</v>
      </c>
      <c r="R577" s="842" t="s">
        <v>22</v>
      </c>
      <c r="S577" s="1762"/>
      <c r="T577" s="842" t="s">
        <v>22</v>
      </c>
      <c r="U577" s="1762" t="s">
        <v>22</v>
      </c>
      <c r="V577" s="842" t="s">
        <v>22</v>
      </c>
      <c r="W577" s="1762" t="s">
        <v>22</v>
      </c>
      <c r="X577" s="842" t="s">
        <v>22</v>
      </c>
      <c r="Y577" s="1762" t="s">
        <v>22</v>
      </c>
      <c r="Z577" s="842" t="s">
        <v>22</v>
      </c>
      <c r="AA577" s="2943" t="s">
        <v>22</v>
      </c>
      <c r="AB577" s="2940" t="s">
        <v>22</v>
      </c>
      <c r="AC577" s="1762" t="s">
        <v>22</v>
      </c>
      <c r="AD577" s="842" t="s">
        <v>22</v>
      </c>
      <c r="AE577" s="1762" t="s">
        <v>22</v>
      </c>
      <c r="AF577" s="842" t="s">
        <v>22</v>
      </c>
      <c r="AG577" s="2943" t="s">
        <v>22</v>
      </c>
      <c r="AH577" s="2940" t="s">
        <v>22</v>
      </c>
      <c r="AI577" s="1762" t="s">
        <v>22</v>
      </c>
      <c r="AJ577" s="842" t="s">
        <v>22</v>
      </c>
      <c r="AK577" s="1762" t="s">
        <v>22</v>
      </c>
      <c r="AL577" s="842" t="s">
        <v>22</v>
      </c>
      <c r="AM577" s="1549" t="s">
        <v>1041</v>
      </c>
      <c r="AN577" s="1659"/>
      <c r="AO577" s="1659"/>
      <c r="AP577" s="1659"/>
      <c r="AQ577" s="1659"/>
      <c r="AR577" s="1659"/>
      <c r="AS577" s="1659"/>
      <c r="AT577" s="1659"/>
      <c r="AU577" s="1659"/>
      <c r="AV577" s="1659"/>
      <c r="AW577" s="699"/>
      <c r="AX577" s="1659">
        <v>0</v>
      </c>
    </row>
    <row s="1874" customFormat="1" customHeight="1" ht="15">
      <c r="A578" s="1659"/>
      <c r="B578" s="2421"/>
      <c r="C578" s="2422"/>
      <c r="D578" s="713" t="str">
        <f>B576&amp;".3"</f>
        <v>3.180.3</v>
      </c>
      <c r="E578" s="1691" t="s">
        <v>1042</v>
      </c>
      <c r="F578" s="2287" t="s">
        <v>390</v>
      </c>
      <c r="G578" s="1762" t="s">
        <v>22</v>
      </c>
      <c r="H578" s="842" t="s">
        <v>22</v>
      </c>
      <c r="I578" s="1762" t="s">
        <v>22</v>
      </c>
      <c r="J578" s="842" t="s">
        <v>22</v>
      </c>
      <c r="K578" s="1762" t="s">
        <v>22</v>
      </c>
      <c r="L578" s="842" t="s">
        <v>22</v>
      </c>
      <c r="M578" s="2943" t="s">
        <v>22</v>
      </c>
      <c r="N578" s="2940" t="s">
        <v>22</v>
      </c>
      <c r="O578" s="1762" t="s">
        <v>22</v>
      </c>
      <c r="P578" s="842" t="s">
        <v>22</v>
      </c>
      <c r="Q578" s="1762" t="s">
        <v>22</v>
      </c>
      <c r="R578" s="842" t="s">
        <v>22</v>
      </c>
      <c r="S578" s="1762"/>
      <c r="T578" s="842" t="s">
        <v>22</v>
      </c>
      <c r="U578" s="1762" t="s">
        <v>22</v>
      </c>
      <c r="V578" s="842" t="s">
        <v>22</v>
      </c>
      <c r="W578" s="1762" t="s">
        <v>22</v>
      </c>
      <c r="X578" s="842" t="s">
        <v>22</v>
      </c>
      <c r="Y578" s="1762" t="s">
        <v>22</v>
      </c>
      <c r="Z578" s="842" t="s">
        <v>22</v>
      </c>
      <c r="AA578" s="2943" t="s">
        <v>22</v>
      </c>
      <c r="AB578" s="2940" t="s">
        <v>22</v>
      </c>
      <c r="AC578" s="1762" t="s">
        <v>22</v>
      </c>
      <c r="AD578" s="842" t="s">
        <v>22</v>
      </c>
      <c r="AE578" s="1762" t="s">
        <v>22</v>
      </c>
      <c r="AF578" s="842" t="s">
        <v>22</v>
      </c>
      <c r="AG578" s="2943" t="s">
        <v>22</v>
      </c>
      <c r="AH578" s="2940" t="s">
        <v>22</v>
      </c>
      <c r="AI578" s="1762" t="s">
        <v>22</v>
      </c>
      <c r="AJ578" s="842" t="s">
        <v>22</v>
      </c>
      <c r="AK578" s="1762" t="s">
        <v>22</v>
      </c>
      <c r="AL578" s="842" t="s">
        <v>22</v>
      </c>
      <c r="AM578" s="1549" t="s">
        <v>1043</v>
      </c>
      <c r="AN578" s="1659"/>
      <c r="AO578" s="1659"/>
      <c r="AP578" s="1659"/>
      <c r="AQ578" s="1659"/>
      <c r="AR578" s="1659"/>
      <c r="AS578" s="1659"/>
      <c r="AT578" s="1659"/>
      <c r="AU578" s="1659"/>
      <c r="AV578" s="1659"/>
      <c r="AW578" s="699"/>
      <c r="AX578" s="1659">
        <v>0</v>
      </c>
    </row>
    <row s="1874" customFormat="1" customHeight="1" ht="22.5">
      <c r="A579" s="1659"/>
      <c r="B579" s="2421" t="s">
        <v>1266</v>
      </c>
      <c r="C579" s="2422" t="s">
        <v>104</v>
      </c>
      <c r="D579" s="713" t="str">
        <f>B579&amp;".1"</f>
        <v>3.181.1</v>
      </c>
      <c r="E579" s="1691" t="s">
        <v>1039</v>
      </c>
      <c r="F579" s="2287" t="s">
        <v>390</v>
      </c>
      <c r="G579" s="2377" t="s">
        <v>22</v>
      </c>
      <c r="H579" s="842" t="s">
        <v>22</v>
      </c>
      <c r="I579" s="2377" t="s">
        <v>22</v>
      </c>
      <c r="J579" s="842" t="s">
        <v>22</v>
      </c>
      <c r="K579" s="2377" t="s">
        <v>22</v>
      </c>
      <c r="L579" s="842" t="s">
        <v>22</v>
      </c>
      <c r="M579" s="2942" t="s">
        <v>22</v>
      </c>
      <c r="N579" s="2940" t="s">
        <v>22</v>
      </c>
      <c r="O579" s="2377" t="s">
        <v>22</v>
      </c>
      <c r="P579" s="842" t="s">
        <v>22</v>
      </c>
      <c r="Q579" s="2377" t="s">
        <v>1059</v>
      </c>
      <c r="R579" s="842" t="s">
        <v>22</v>
      </c>
      <c r="S579" s="2377"/>
      <c r="T579" s="842" t="s">
        <v>22</v>
      </c>
      <c r="U579" s="2377" t="s">
        <v>22</v>
      </c>
      <c r="V579" s="842" t="s">
        <v>22</v>
      </c>
      <c r="W579" s="2377" t="s">
        <v>22</v>
      </c>
      <c r="X579" s="842" t="s">
        <v>22</v>
      </c>
      <c r="Y579" s="2377" t="s">
        <v>22</v>
      </c>
      <c r="Z579" s="842" t="s">
        <v>22</v>
      </c>
      <c r="AA579" s="2942" t="s">
        <v>22</v>
      </c>
      <c r="AB579" s="2940" t="s">
        <v>22</v>
      </c>
      <c r="AC579" s="2377" t="s">
        <v>22</v>
      </c>
      <c r="AD579" s="842" t="s">
        <v>22</v>
      </c>
      <c r="AE579" s="2377" t="s">
        <v>22</v>
      </c>
      <c r="AF579" s="842" t="s">
        <v>22</v>
      </c>
      <c r="AG579" s="2942" t="s">
        <v>22</v>
      </c>
      <c r="AH579" s="2940" t="s">
        <v>22</v>
      </c>
      <c r="AI579" s="2377" t="s">
        <v>22</v>
      </c>
      <c r="AJ579" s="842" t="s">
        <v>22</v>
      </c>
      <c r="AK579" s="2377" t="s">
        <v>22</v>
      </c>
      <c r="AL579" s="842" t="s">
        <v>22</v>
      </c>
      <c r="AM579" s="1549"/>
      <c r="AN579" s="1659"/>
      <c r="AO579" s="1659"/>
      <c r="AP579" s="1659"/>
      <c r="AQ579" s="1659"/>
      <c r="AR579" s="1659"/>
      <c r="AS579" s="1659"/>
      <c r="AT579" s="1659"/>
      <c r="AU579" s="1659"/>
      <c r="AV579" s="1659"/>
      <c r="AW579" s="699"/>
      <c r="AX579" s="1659">
        <v>0</v>
      </c>
    </row>
    <row s="1874" customFormat="1" customHeight="1" ht="15">
      <c r="A580" s="1659"/>
      <c r="B580" s="2421"/>
      <c r="C580" s="2422"/>
      <c r="D580" s="713" t="str">
        <f>B579&amp;".2"</f>
        <v>3.181.2</v>
      </c>
      <c r="E580" s="1691" t="s">
        <v>1040</v>
      </c>
      <c r="F580" s="2287" t="s">
        <v>390</v>
      </c>
      <c r="G580" s="1762" t="s">
        <v>22</v>
      </c>
      <c r="H580" s="842" t="s">
        <v>22</v>
      </c>
      <c r="I580" s="1762" t="s">
        <v>22</v>
      </c>
      <c r="J580" s="842" t="s">
        <v>22</v>
      </c>
      <c r="K580" s="1762" t="s">
        <v>22</v>
      </c>
      <c r="L580" s="842" t="s">
        <v>22</v>
      </c>
      <c r="M580" s="2943" t="s">
        <v>22</v>
      </c>
      <c r="N580" s="2940" t="s">
        <v>22</v>
      </c>
      <c r="O580" s="1762" t="s">
        <v>22</v>
      </c>
      <c r="P580" s="842" t="s">
        <v>22</v>
      </c>
      <c r="Q580" s="1762">
        <v>46141</v>
      </c>
      <c r="R580" s="842" t="s">
        <v>22</v>
      </c>
      <c r="S580" s="1762"/>
      <c r="T580" s="842" t="s">
        <v>22</v>
      </c>
      <c r="U580" s="1762" t="s">
        <v>22</v>
      </c>
      <c r="V580" s="842" t="s">
        <v>22</v>
      </c>
      <c r="W580" s="1762" t="s">
        <v>22</v>
      </c>
      <c r="X580" s="842" t="s">
        <v>22</v>
      </c>
      <c r="Y580" s="1762" t="s">
        <v>22</v>
      </c>
      <c r="Z580" s="842" t="s">
        <v>22</v>
      </c>
      <c r="AA580" s="2943" t="s">
        <v>22</v>
      </c>
      <c r="AB580" s="2940" t="s">
        <v>22</v>
      </c>
      <c r="AC580" s="1762" t="s">
        <v>22</v>
      </c>
      <c r="AD580" s="842" t="s">
        <v>22</v>
      </c>
      <c r="AE580" s="1762" t="s">
        <v>22</v>
      </c>
      <c r="AF580" s="842" t="s">
        <v>22</v>
      </c>
      <c r="AG580" s="2943" t="s">
        <v>22</v>
      </c>
      <c r="AH580" s="2940" t="s">
        <v>22</v>
      </c>
      <c r="AI580" s="1762" t="s">
        <v>22</v>
      </c>
      <c r="AJ580" s="842" t="s">
        <v>22</v>
      </c>
      <c r="AK580" s="1762" t="s">
        <v>22</v>
      </c>
      <c r="AL580" s="842" t="s">
        <v>22</v>
      </c>
      <c r="AM580" s="1549" t="s">
        <v>1041</v>
      </c>
      <c r="AN580" s="1659"/>
      <c r="AO580" s="1659"/>
      <c r="AP580" s="1659"/>
      <c r="AQ580" s="1659"/>
      <c r="AR580" s="1659"/>
      <c r="AS580" s="1659"/>
      <c r="AT580" s="1659"/>
      <c r="AU580" s="1659"/>
      <c r="AV580" s="1659"/>
      <c r="AW580" s="699"/>
      <c r="AX580" s="1659">
        <v>0</v>
      </c>
    </row>
    <row s="1874" customFormat="1" customHeight="1" ht="15">
      <c r="A581" s="1659"/>
      <c r="B581" s="2421"/>
      <c r="C581" s="2422"/>
      <c r="D581" s="713" t="str">
        <f>B579&amp;".3"</f>
        <v>3.181.3</v>
      </c>
      <c r="E581" s="1691" t="s">
        <v>1042</v>
      </c>
      <c r="F581" s="2287" t="s">
        <v>390</v>
      </c>
      <c r="G581" s="1762" t="s">
        <v>22</v>
      </c>
      <c r="H581" s="842" t="s">
        <v>22</v>
      </c>
      <c r="I581" s="1762" t="s">
        <v>22</v>
      </c>
      <c r="J581" s="842" t="s">
        <v>22</v>
      </c>
      <c r="K581" s="1762" t="s">
        <v>22</v>
      </c>
      <c r="L581" s="842" t="s">
        <v>22</v>
      </c>
      <c r="M581" s="2943" t="s">
        <v>22</v>
      </c>
      <c r="N581" s="2940" t="s">
        <v>22</v>
      </c>
      <c r="O581" s="1762" t="s">
        <v>22</v>
      </c>
      <c r="P581" s="842" t="s">
        <v>22</v>
      </c>
      <c r="Q581" s="1762" t="s">
        <v>22</v>
      </c>
      <c r="R581" s="842" t="s">
        <v>22</v>
      </c>
      <c r="S581" s="1762"/>
      <c r="T581" s="842" t="s">
        <v>22</v>
      </c>
      <c r="U581" s="1762" t="s">
        <v>22</v>
      </c>
      <c r="V581" s="842" t="s">
        <v>22</v>
      </c>
      <c r="W581" s="1762" t="s">
        <v>22</v>
      </c>
      <c r="X581" s="842" t="s">
        <v>22</v>
      </c>
      <c r="Y581" s="1762" t="s">
        <v>22</v>
      </c>
      <c r="Z581" s="842" t="s">
        <v>22</v>
      </c>
      <c r="AA581" s="2943" t="s">
        <v>22</v>
      </c>
      <c r="AB581" s="2940" t="s">
        <v>22</v>
      </c>
      <c r="AC581" s="1762" t="s">
        <v>22</v>
      </c>
      <c r="AD581" s="842" t="s">
        <v>22</v>
      </c>
      <c r="AE581" s="1762" t="s">
        <v>22</v>
      </c>
      <c r="AF581" s="842" t="s">
        <v>22</v>
      </c>
      <c r="AG581" s="2943" t="s">
        <v>22</v>
      </c>
      <c r="AH581" s="2940" t="s">
        <v>22</v>
      </c>
      <c r="AI581" s="1762" t="s">
        <v>22</v>
      </c>
      <c r="AJ581" s="842" t="s">
        <v>22</v>
      </c>
      <c r="AK581" s="1762" t="s">
        <v>22</v>
      </c>
      <c r="AL581" s="842" t="s">
        <v>22</v>
      </c>
      <c r="AM581" s="1549" t="s">
        <v>1043</v>
      </c>
      <c r="AN581" s="1659"/>
      <c r="AO581" s="1659"/>
      <c r="AP581" s="1659"/>
      <c r="AQ581" s="1659"/>
      <c r="AR581" s="1659"/>
      <c r="AS581" s="1659"/>
      <c r="AT581" s="1659"/>
      <c r="AU581" s="1659"/>
      <c r="AV581" s="1659"/>
      <c r="AW581" s="699"/>
      <c r="AX581" s="1659">
        <v>0</v>
      </c>
    </row>
    <row s="1874" customFormat="1" customHeight="1" ht="22.5">
      <c r="A582" s="1659"/>
      <c r="B582" s="2421" t="s">
        <v>1267</v>
      </c>
      <c r="C582" s="2422" t="s">
        <v>104</v>
      </c>
      <c r="D582" s="713" t="str">
        <f>B582&amp;".1"</f>
        <v>3.182.1</v>
      </c>
      <c r="E582" s="1691" t="s">
        <v>1039</v>
      </c>
      <c r="F582" s="2287" t="s">
        <v>390</v>
      </c>
      <c r="G582" s="2377" t="s">
        <v>22</v>
      </c>
      <c r="H582" s="842" t="s">
        <v>22</v>
      </c>
      <c r="I582" s="2377" t="s">
        <v>22</v>
      </c>
      <c r="J582" s="842" t="s">
        <v>22</v>
      </c>
      <c r="K582" s="2377" t="s">
        <v>22</v>
      </c>
      <c r="L582" s="842" t="s">
        <v>22</v>
      </c>
      <c r="M582" s="2942" t="s">
        <v>22</v>
      </c>
      <c r="N582" s="2940" t="s">
        <v>22</v>
      </c>
      <c r="O582" s="2377" t="s">
        <v>22</v>
      </c>
      <c r="P582" s="842" t="s">
        <v>22</v>
      </c>
      <c r="Q582" s="2377" t="s">
        <v>1059</v>
      </c>
      <c r="R582" s="842" t="s">
        <v>22</v>
      </c>
      <c r="S582" s="2377"/>
      <c r="T582" s="842" t="s">
        <v>22</v>
      </c>
      <c r="U582" s="2377" t="s">
        <v>22</v>
      </c>
      <c r="V582" s="842" t="s">
        <v>22</v>
      </c>
      <c r="W582" s="2377" t="s">
        <v>22</v>
      </c>
      <c r="X582" s="842" t="s">
        <v>22</v>
      </c>
      <c r="Y582" s="2377" t="s">
        <v>22</v>
      </c>
      <c r="Z582" s="842" t="s">
        <v>22</v>
      </c>
      <c r="AA582" s="2942" t="s">
        <v>22</v>
      </c>
      <c r="AB582" s="2940" t="s">
        <v>22</v>
      </c>
      <c r="AC582" s="2377" t="s">
        <v>22</v>
      </c>
      <c r="AD582" s="842" t="s">
        <v>22</v>
      </c>
      <c r="AE582" s="2377" t="s">
        <v>22</v>
      </c>
      <c r="AF582" s="842" t="s">
        <v>22</v>
      </c>
      <c r="AG582" s="2942" t="s">
        <v>22</v>
      </c>
      <c r="AH582" s="2940" t="s">
        <v>22</v>
      </c>
      <c r="AI582" s="2377" t="s">
        <v>22</v>
      </c>
      <c r="AJ582" s="842" t="s">
        <v>22</v>
      </c>
      <c r="AK582" s="2377" t="s">
        <v>22</v>
      </c>
      <c r="AL582" s="842" t="s">
        <v>22</v>
      </c>
      <c r="AM582" s="1549"/>
      <c r="AN582" s="1659"/>
      <c r="AO582" s="1659"/>
      <c r="AP582" s="1659"/>
      <c r="AQ582" s="1659"/>
      <c r="AR582" s="1659"/>
      <c r="AS582" s="1659"/>
      <c r="AT582" s="1659"/>
      <c r="AU582" s="1659"/>
      <c r="AV582" s="1659"/>
      <c r="AW582" s="699"/>
      <c r="AX582" s="1659">
        <v>0</v>
      </c>
    </row>
    <row s="1874" customFormat="1" customHeight="1" ht="15">
      <c r="A583" s="1659"/>
      <c r="B583" s="2421"/>
      <c r="C583" s="2422"/>
      <c r="D583" s="713" t="str">
        <f>B582&amp;".2"</f>
        <v>3.182.2</v>
      </c>
      <c r="E583" s="1691" t="s">
        <v>1040</v>
      </c>
      <c r="F583" s="2287" t="s">
        <v>390</v>
      </c>
      <c r="G583" s="1762" t="s">
        <v>22</v>
      </c>
      <c r="H583" s="842" t="s">
        <v>22</v>
      </c>
      <c r="I583" s="1762" t="s">
        <v>22</v>
      </c>
      <c r="J583" s="842" t="s">
        <v>22</v>
      </c>
      <c r="K583" s="1762" t="s">
        <v>22</v>
      </c>
      <c r="L583" s="842" t="s">
        <v>22</v>
      </c>
      <c r="M583" s="2943" t="s">
        <v>22</v>
      </c>
      <c r="N583" s="2940" t="s">
        <v>22</v>
      </c>
      <c r="O583" s="1762" t="s">
        <v>22</v>
      </c>
      <c r="P583" s="842" t="s">
        <v>22</v>
      </c>
      <c r="Q583" s="1762">
        <v>46141</v>
      </c>
      <c r="R583" s="842" t="s">
        <v>22</v>
      </c>
      <c r="S583" s="1762"/>
      <c r="T583" s="842" t="s">
        <v>22</v>
      </c>
      <c r="U583" s="1762" t="s">
        <v>22</v>
      </c>
      <c r="V583" s="842" t="s">
        <v>22</v>
      </c>
      <c r="W583" s="1762" t="s">
        <v>22</v>
      </c>
      <c r="X583" s="842" t="s">
        <v>22</v>
      </c>
      <c r="Y583" s="1762" t="s">
        <v>22</v>
      </c>
      <c r="Z583" s="842" t="s">
        <v>22</v>
      </c>
      <c r="AA583" s="2943" t="s">
        <v>22</v>
      </c>
      <c r="AB583" s="2940" t="s">
        <v>22</v>
      </c>
      <c r="AC583" s="1762" t="s">
        <v>22</v>
      </c>
      <c r="AD583" s="842" t="s">
        <v>22</v>
      </c>
      <c r="AE583" s="1762" t="s">
        <v>22</v>
      </c>
      <c r="AF583" s="842" t="s">
        <v>22</v>
      </c>
      <c r="AG583" s="2943" t="s">
        <v>22</v>
      </c>
      <c r="AH583" s="2940" t="s">
        <v>22</v>
      </c>
      <c r="AI583" s="1762" t="s">
        <v>22</v>
      </c>
      <c r="AJ583" s="842" t="s">
        <v>22</v>
      </c>
      <c r="AK583" s="1762" t="s">
        <v>22</v>
      </c>
      <c r="AL583" s="842" t="s">
        <v>22</v>
      </c>
      <c r="AM583" s="1549" t="s">
        <v>1041</v>
      </c>
      <c r="AN583" s="1659"/>
      <c r="AO583" s="1659"/>
      <c r="AP583" s="1659"/>
      <c r="AQ583" s="1659"/>
      <c r="AR583" s="1659"/>
      <c r="AS583" s="1659"/>
      <c r="AT583" s="1659"/>
      <c r="AU583" s="1659"/>
      <c r="AV583" s="1659"/>
      <c r="AW583" s="699"/>
      <c r="AX583" s="1659">
        <v>0</v>
      </c>
    </row>
    <row s="1874" customFormat="1" customHeight="1" ht="15">
      <c r="A584" s="1659"/>
      <c r="B584" s="2421"/>
      <c r="C584" s="2422"/>
      <c r="D584" s="713" t="str">
        <f>B582&amp;".3"</f>
        <v>3.182.3</v>
      </c>
      <c r="E584" s="1691" t="s">
        <v>1042</v>
      </c>
      <c r="F584" s="2287" t="s">
        <v>390</v>
      </c>
      <c r="G584" s="1762" t="s">
        <v>22</v>
      </c>
      <c r="H584" s="842" t="s">
        <v>22</v>
      </c>
      <c r="I584" s="1762" t="s">
        <v>22</v>
      </c>
      <c r="J584" s="842" t="s">
        <v>22</v>
      </c>
      <c r="K584" s="1762" t="s">
        <v>22</v>
      </c>
      <c r="L584" s="842" t="s">
        <v>22</v>
      </c>
      <c r="M584" s="2943" t="s">
        <v>22</v>
      </c>
      <c r="N584" s="2940" t="s">
        <v>22</v>
      </c>
      <c r="O584" s="1762" t="s">
        <v>22</v>
      </c>
      <c r="P584" s="842" t="s">
        <v>22</v>
      </c>
      <c r="Q584" s="1762" t="s">
        <v>22</v>
      </c>
      <c r="R584" s="842" t="s">
        <v>22</v>
      </c>
      <c r="S584" s="1762"/>
      <c r="T584" s="842" t="s">
        <v>22</v>
      </c>
      <c r="U584" s="1762" t="s">
        <v>22</v>
      </c>
      <c r="V584" s="842" t="s">
        <v>22</v>
      </c>
      <c r="W584" s="1762" t="s">
        <v>22</v>
      </c>
      <c r="X584" s="842" t="s">
        <v>22</v>
      </c>
      <c r="Y584" s="1762" t="s">
        <v>22</v>
      </c>
      <c r="Z584" s="842" t="s">
        <v>22</v>
      </c>
      <c r="AA584" s="2943" t="s">
        <v>22</v>
      </c>
      <c r="AB584" s="2940" t="s">
        <v>22</v>
      </c>
      <c r="AC584" s="1762" t="s">
        <v>22</v>
      </c>
      <c r="AD584" s="842" t="s">
        <v>22</v>
      </c>
      <c r="AE584" s="1762" t="s">
        <v>22</v>
      </c>
      <c r="AF584" s="842" t="s">
        <v>22</v>
      </c>
      <c r="AG584" s="2943" t="s">
        <v>22</v>
      </c>
      <c r="AH584" s="2940" t="s">
        <v>22</v>
      </c>
      <c r="AI584" s="1762" t="s">
        <v>22</v>
      </c>
      <c r="AJ584" s="842" t="s">
        <v>22</v>
      </c>
      <c r="AK584" s="1762" t="s">
        <v>22</v>
      </c>
      <c r="AL584" s="842" t="s">
        <v>22</v>
      </c>
      <c r="AM584" s="1549" t="s">
        <v>1043</v>
      </c>
      <c r="AN584" s="1659"/>
      <c r="AO584" s="1659"/>
      <c r="AP584" s="1659"/>
      <c r="AQ584" s="1659"/>
      <c r="AR584" s="1659"/>
      <c r="AS584" s="1659"/>
      <c r="AT584" s="1659"/>
      <c r="AU584" s="1659"/>
      <c r="AV584" s="1659"/>
      <c r="AW584" s="699"/>
      <c r="AX584" s="1659">
        <v>0</v>
      </c>
    </row>
    <row s="1874" customFormat="1" customHeight="1" ht="22.5">
      <c r="A585" s="1659"/>
      <c r="B585" s="2421" t="s">
        <v>1268</v>
      </c>
      <c r="C585" s="2422" t="s">
        <v>104</v>
      </c>
      <c r="D585" s="713" t="str">
        <f>B585&amp;".1"</f>
        <v>3.183.1</v>
      </c>
      <c r="E585" s="1691" t="s">
        <v>1039</v>
      </c>
      <c r="F585" s="2287" t="s">
        <v>390</v>
      </c>
      <c r="G585" s="2377" t="s">
        <v>22</v>
      </c>
      <c r="H585" s="842" t="s">
        <v>22</v>
      </c>
      <c r="I585" s="2377" t="s">
        <v>22</v>
      </c>
      <c r="J585" s="842" t="s">
        <v>22</v>
      </c>
      <c r="K585" s="2377" t="s">
        <v>22</v>
      </c>
      <c r="L585" s="842" t="s">
        <v>22</v>
      </c>
      <c r="M585" s="2942" t="s">
        <v>22</v>
      </c>
      <c r="N585" s="2940" t="s">
        <v>22</v>
      </c>
      <c r="O585" s="2377" t="s">
        <v>22</v>
      </c>
      <c r="P585" s="842" t="s">
        <v>22</v>
      </c>
      <c r="Q585" s="2377" t="s">
        <v>1059</v>
      </c>
      <c r="R585" s="842" t="s">
        <v>22</v>
      </c>
      <c r="S585" s="2377"/>
      <c r="T585" s="842" t="s">
        <v>22</v>
      </c>
      <c r="U585" s="2377" t="s">
        <v>22</v>
      </c>
      <c r="V585" s="842" t="s">
        <v>22</v>
      </c>
      <c r="W585" s="2377" t="s">
        <v>22</v>
      </c>
      <c r="X585" s="842" t="s">
        <v>22</v>
      </c>
      <c r="Y585" s="2377" t="s">
        <v>22</v>
      </c>
      <c r="Z585" s="842" t="s">
        <v>22</v>
      </c>
      <c r="AA585" s="2942" t="s">
        <v>22</v>
      </c>
      <c r="AB585" s="2940" t="s">
        <v>22</v>
      </c>
      <c r="AC585" s="2377" t="s">
        <v>22</v>
      </c>
      <c r="AD585" s="842" t="s">
        <v>22</v>
      </c>
      <c r="AE585" s="2377" t="s">
        <v>22</v>
      </c>
      <c r="AF585" s="842" t="s">
        <v>22</v>
      </c>
      <c r="AG585" s="2942" t="s">
        <v>22</v>
      </c>
      <c r="AH585" s="2940" t="s">
        <v>22</v>
      </c>
      <c r="AI585" s="2377" t="s">
        <v>22</v>
      </c>
      <c r="AJ585" s="842" t="s">
        <v>22</v>
      </c>
      <c r="AK585" s="2377" t="s">
        <v>22</v>
      </c>
      <c r="AL585" s="842" t="s">
        <v>22</v>
      </c>
      <c r="AM585" s="1549"/>
      <c r="AN585" s="1659"/>
      <c r="AO585" s="1659"/>
      <c r="AP585" s="1659"/>
      <c r="AQ585" s="1659"/>
      <c r="AR585" s="1659"/>
      <c r="AS585" s="1659"/>
      <c r="AT585" s="1659"/>
      <c r="AU585" s="1659"/>
      <c r="AV585" s="1659"/>
      <c r="AW585" s="699"/>
      <c r="AX585" s="1659">
        <v>0</v>
      </c>
    </row>
    <row s="1874" customFormat="1" customHeight="1" ht="15">
      <c r="A586" s="1659"/>
      <c r="B586" s="2421"/>
      <c r="C586" s="2422"/>
      <c r="D586" s="713" t="str">
        <f>B585&amp;".2"</f>
        <v>3.183.2</v>
      </c>
      <c r="E586" s="1691" t="s">
        <v>1040</v>
      </c>
      <c r="F586" s="2287" t="s">
        <v>390</v>
      </c>
      <c r="G586" s="1762" t="s">
        <v>22</v>
      </c>
      <c r="H586" s="842" t="s">
        <v>22</v>
      </c>
      <c r="I586" s="1762" t="s">
        <v>22</v>
      </c>
      <c r="J586" s="842" t="s">
        <v>22</v>
      </c>
      <c r="K586" s="1762" t="s">
        <v>22</v>
      </c>
      <c r="L586" s="842" t="s">
        <v>22</v>
      </c>
      <c r="M586" s="2943" t="s">
        <v>22</v>
      </c>
      <c r="N586" s="2940" t="s">
        <v>22</v>
      </c>
      <c r="O586" s="1762" t="s">
        <v>22</v>
      </c>
      <c r="P586" s="842" t="s">
        <v>22</v>
      </c>
      <c r="Q586" s="1762">
        <v>46141</v>
      </c>
      <c r="R586" s="842" t="s">
        <v>22</v>
      </c>
      <c r="S586" s="1762"/>
      <c r="T586" s="842" t="s">
        <v>22</v>
      </c>
      <c r="U586" s="1762" t="s">
        <v>22</v>
      </c>
      <c r="V586" s="842" t="s">
        <v>22</v>
      </c>
      <c r="W586" s="1762" t="s">
        <v>22</v>
      </c>
      <c r="X586" s="842" t="s">
        <v>22</v>
      </c>
      <c r="Y586" s="1762" t="s">
        <v>22</v>
      </c>
      <c r="Z586" s="842" t="s">
        <v>22</v>
      </c>
      <c r="AA586" s="2943" t="s">
        <v>22</v>
      </c>
      <c r="AB586" s="2940" t="s">
        <v>22</v>
      </c>
      <c r="AC586" s="1762" t="s">
        <v>22</v>
      </c>
      <c r="AD586" s="842" t="s">
        <v>22</v>
      </c>
      <c r="AE586" s="1762" t="s">
        <v>22</v>
      </c>
      <c r="AF586" s="842" t="s">
        <v>22</v>
      </c>
      <c r="AG586" s="2943" t="s">
        <v>22</v>
      </c>
      <c r="AH586" s="2940" t="s">
        <v>22</v>
      </c>
      <c r="AI586" s="1762" t="s">
        <v>22</v>
      </c>
      <c r="AJ586" s="842" t="s">
        <v>22</v>
      </c>
      <c r="AK586" s="1762" t="s">
        <v>22</v>
      </c>
      <c r="AL586" s="842" t="s">
        <v>22</v>
      </c>
      <c r="AM586" s="1549" t="s">
        <v>1041</v>
      </c>
      <c r="AN586" s="1659"/>
      <c r="AO586" s="1659"/>
      <c r="AP586" s="1659"/>
      <c r="AQ586" s="1659"/>
      <c r="AR586" s="1659"/>
      <c r="AS586" s="1659"/>
      <c r="AT586" s="1659"/>
      <c r="AU586" s="1659"/>
      <c r="AV586" s="1659"/>
      <c r="AW586" s="699"/>
      <c r="AX586" s="1659">
        <v>0</v>
      </c>
    </row>
    <row s="1874" customFormat="1" customHeight="1" ht="15">
      <c r="A587" s="1659"/>
      <c r="B587" s="2421"/>
      <c r="C587" s="2422"/>
      <c r="D587" s="713" t="str">
        <f>B585&amp;".3"</f>
        <v>3.183.3</v>
      </c>
      <c r="E587" s="1691" t="s">
        <v>1042</v>
      </c>
      <c r="F587" s="2287" t="s">
        <v>390</v>
      </c>
      <c r="G587" s="1762" t="s">
        <v>22</v>
      </c>
      <c r="H587" s="842" t="s">
        <v>22</v>
      </c>
      <c r="I587" s="1762" t="s">
        <v>22</v>
      </c>
      <c r="J587" s="842" t="s">
        <v>22</v>
      </c>
      <c r="K587" s="1762" t="s">
        <v>22</v>
      </c>
      <c r="L587" s="842" t="s">
        <v>22</v>
      </c>
      <c r="M587" s="2943" t="s">
        <v>22</v>
      </c>
      <c r="N587" s="2940" t="s">
        <v>22</v>
      </c>
      <c r="O587" s="1762" t="s">
        <v>22</v>
      </c>
      <c r="P587" s="842" t="s">
        <v>22</v>
      </c>
      <c r="Q587" s="1762" t="s">
        <v>22</v>
      </c>
      <c r="R587" s="842" t="s">
        <v>22</v>
      </c>
      <c r="S587" s="1762"/>
      <c r="T587" s="842" t="s">
        <v>22</v>
      </c>
      <c r="U587" s="1762" t="s">
        <v>22</v>
      </c>
      <c r="V587" s="842" t="s">
        <v>22</v>
      </c>
      <c r="W587" s="1762" t="s">
        <v>22</v>
      </c>
      <c r="X587" s="842" t="s">
        <v>22</v>
      </c>
      <c r="Y587" s="1762" t="s">
        <v>22</v>
      </c>
      <c r="Z587" s="842" t="s">
        <v>22</v>
      </c>
      <c r="AA587" s="2943" t="s">
        <v>22</v>
      </c>
      <c r="AB587" s="2940" t="s">
        <v>22</v>
      </c>
      <c r="AC587" s="1762" t="s">
        <v>22</v>
      </c>
      <c r="AD587" s="842" t="s">
        <v>22</v>
      </c>
      <c r="AE587" s="1762" t="s">
        <v>22</v>
      </c>
      <c r="AF587" s="842" t="s">
        <v>22</v>
      </c>
      <c r="AG587" s="2943" t="s">
        <v>22</v>
      </c>
      <c r="AH587" s="2940" t="s">
        <v>22</v>
      </c>
      <c r="AI587" s="1762" t="s">
        <v>22</v>
      </c>
      <c r="AJ587" s="842" t="s">
        <v>22</v>
      </c>
      <c r="AK587" s="1762" t="s">
        <v>22</v>
      </c>
      <c r="AL587" s="842" t="s">
        <v>22</v>
      </c>
      <c r="AM587" s="1549" t="s">
        <v>1043</v>
      </c>
      <c r="AN587" s="1659"/>
      <c r="AO587" s="1659"/>
      <c r="AP587" s="1659"/>
      <c r="AQ587" s="1659"/>
      <c r="AR587" s="1659"/>
      <c r="AS587" s="1659"/>
      <c r="AT587" s="1659"/>
      <c r="AU587" s="1659"/>
      <c r="AV587" s="1659"/>
      <c r="AW587" s="699"/>
      <c r="AX587" s="1659">
        <v>0</v>
      </c>
    </row>
    <row s="1874" customFormat="1" customHeight="1" ht="22.5">
      <c r="A588" s="1659"/>
      <c r="B588" s="2421" t="s">
        <v>1269</v>
      </c>
      <c r="C588" s="2422" t="s">
        <v>104</v>
      </c>
      <c r="D588" s="713" t="str">
        <f>B588&amp;".1"</f>
        <v>3.184.1</v>
      </c>
      <c r="E588" s="1691" t="s">
        <v>1039</v>
      </c>
      <c r="F588" s="2287" t="s">
        <v>390</v>
      </c>
      <c r="G588" s="2377" t="s">
        <v>22</v>
      </c>
      <c r="H588" s="842" t="s">
        <v>22</v>
      </c>
      <c r="I588" s="2377" t="s">
        <v>22</v>
      </c>
      <c r="J588" s="842" t="s">
        <v>22</v>
      </c>
      <c r="K588" s="2377" t="s">
        <v>22</v>
      </c>
      <c r="L588" s="842" t="s">
        <v>22</v>
      </c>
      <c r="M588" s="2942" t="s">
        <v>22</v>
      </c>
      <c r="N588" s="2940" t="s">
        <v>22</v>
      </c>
      <c r="O588" s="2377" t="s">
        <v>22</v>
      </c>
      <c r="P588" s="842" t="s">
        <v>22</v>
      </c>
      <c r="Q588" s="2377" t="s">
        <v>1059</v>
      </c>
      <c r="R588" s="842" t="s">
        <v>22</v>
      </c>
      <c r="S588" s="2377"/>
      <c r="T588" s="842" t="s">
        <v>22</v>
      </c>
      <c r="U588" s="2377" t="s">
        <v>22</v>
      </c>
      <c r="V588" s="842" t="s">
        <v>22</v>
      </c>
      <c r="W588" s="2377" t="s">
        <v>22</v>
      </c>
      <c r="X588" s="842" t="s">
        <v>22</v>
      </c>
      <c r="Y588" s="2377" t="s">
        <v>22</v>
      </c>
      <c r="Z588" s="842" t="s">
        <v>22</v>
      </c>
      <c r="AA588" s="2942" t="s">
        <v>22</v>
      </c>
      <c r="AB588" s="2940" t="s">
        <v>22</v>
      </c>
      <c r="AC588" s="2377" t="s">
        <v>22</v>
      </c>
      <c r="AD588" s="842" t="s">
        <v>22</v>
      </c>
      <c r="AE588" s="2377" t="s">
        <v>22</v>
      </c>
      <c r="AF588" s="842" t="s">
        <v>22</v>
      </c>
      <c r="AG588" s="2942" t="s">
        <v>22</v>
      </c>
      <c r="AH588" s="2940" t="s">
        <v>22</v>
      </c>
      <c r="AI588" s="2377" t="s">
        <v>22</v>
      </c>
      <c r="AJ588" s="842" t="s">
        <v>22</v>
      </c>
      <c r="AK588" s="2377" t="s">
        <v>22</v>
      </c>
      <c r="AL588" s="842" t="s">
        <v>22</v>
      </c>
      <c r="AM588" s="1549"/>
      <c r="AN588" s="1659"/>
      <c r="AO588" s="1659"/>
      <c r="AP588" s="1659"/>
      <c r="AQ588" s="1659"/>
      <c r="AR588" s="1659"/>
      <c r="AS588" s="1659"/>
      <c r="AT588" s="1659"/>
      <c r="AU588" s="1659"/>
      <c r="AV588" s="1659"/>
      <c r="AW588" s="699"/>
      <c r="AX588" s="1659">
        <v>0</v>
      </c>
    </row>
    <row s="1874" customFormat="1" customHeight="1" ht="15">
      <c r="A589" s="1659"/>
      <c r="B589" s="2421"/>
      <c r="C589" s="2422"/>
      <c r="D589" s="713" t="str">
        <f>B588&amp;".2"</f>
        <v>3.184.2</v>
      </c>
      <c r="E589" s="1691" t="s">
        <v>1040</v>
      </c>
      <c r="F589" s="2287" t="s">
        <v>390</v>
      </c>
      <c r="G589" s="1762" t="s">
        <v>22</v>
      </c>
      <c r="H589" s="842" t="s">
        <v>22</v>
      </c>
      <c r="I589" s="1762" t="s">
        <v>22</v>
      </c>
      <c r="J589" s="842" t="s">
        <v>22</v>
      </c>
      <c r="K589" s="1762" t="s">
        <v>22</v>
      </c>
      <c r="L589" s="842" t="s">
        <v>22</v>
      </c>
      <c r="M589" s="2943" t="s">
        <v>22</v>
      </c>
      <c r="N589" s="2940" t="s">
        <v>22</v>
      </c>
      <c r="O589" s="1762" t="s">
        <v>22</v>
      </c>
      <c r="P589" s="842" t="s">
        <v>22</v>
      </c>
      <c r="Q589" s="1762">
        <v>46141</v>
      </c>
      <c r="R589" s="842" t="s">
        <v>22</v>
      </c>
      <c r="S589" s="1762"/>
      <c r="T589" s="842" t="s">
        <v>22</v>
      </c>
      <c r="U589" s="1762" t="s">
        <v>22</v>
      </c>
      <c r="V589" s="842" t="s">
        <v>22</v>
      </c>
      <c r="W589" s="1762" t="s">
        <v>22</v>
      </c>
      <c r="X589" s="842" t="s">
        <v>22</v>
      </c>
      <c r="Y589" s="1762" t="s">
        <v>22</v>
      </c>
      <c r="Z589" s="842" t="s">
        <v>22</v>
      </c>
      <c r="AA589" s="2943" t="s">
        <v>22</v>
      </c>
      <c r="AB589" s="2940" t="s">
        <v>22</v>
      </c>
      <c r="AC589" s="1762" t="s">
        <v>22</v>
      </c>
      <c r="AD589" s="842" t="s">
        <v>22</v>
      </c>
      <c r="AE589" s="1762" t="s">
        <v>22</v>
      </c>
      <c r="AF589" s="842" t="s">
        <v>22</v>
      </c>
      <c r="AG589" s="2943" t="s">
        <v>22</v>
      </c>
      <c r="AH589" s="2940" t="s">
        <v>22</v>
      </c>
      <c r="AI589" s="1762" t="s">
        <v>22</v>
      </c>
      <c r="AJ589" s="842" t="s">
        <v>22</v>
      </c>
      <c r="AK589" s="1762" t="s">
        <v>22</v>
      </c>
      <c r="AL589" s="842" t="s">
        <v>22</v>
      </c>
      <c r="AM589" s="1549" t="s">
        <v>1041</v>
      </c>
      <c r="AN589" s="1659"/>
      <c r="AO589" s="1659"/>
      <c r="AP589" s="1659"/>
      <c r="AQ589" s="1659"/>
      <c r="AR589" s="1659"/>
      <c r="AS589" s="1659"/>
      <c r="AT589" s="1659"/>
      <c r="AU589" s="1659"/>
      <c r="AV589" s="1659"/>
      <c r="AW589" s="699"/>
      <c r="AX589" s="1659">
        <v>0</v>
      </c>
    </row>
    <row s="1874" customFormat="1" customHeight="1" ht="15">
      <c r="A590" s="1659"/>
      <c r="B590" s="2421"/>
      <c r="C590" s="2422"/>
      <c r="D590" s="713" t="str">
        <f>B588&amp;".3"</f>
        <v>3.184.3</v>
      </c>
      <c r="E590" s="1691" t="s">
        <v>1042</v>
      </c>
      <c r="F590" s="2287" t="s">
        <v>390</v>
      </c>
      <c r="G590" s="1762" t="s">
        <v>22</v>
      </c>
      <c r="H590" s="842" t="s">
        <v>22</v>
      </c>
      <c r="I590" s="1762" t="s">
        <v>22</v>
      </c>
      <c r="J590" s="842" t="s">
        <v>22</v>
      </c>
      <c r="K590" s="1762" t="s">
        <v>22</v>
      </c>
      <c r="L590" s="842" t="s">
        <v>22</v>
      </c>
      <c r="M590" s="2943" t="s">
        <v>22</v>
      </c>
      <c r="N590" s="2940" t="s">
        <v>22</v>
      </c>
      <c r="O590" s="1762" t="s">
        <v>22</v>
      </c>
      <c r="P590" s="842" t="s">
        <v>22</v>
      </c>
      <c r="Q590" s="1762" t="s">
        <v>22</v>
      </c>
      <c r="R590" s="842" t="s">
        <v>22</v>
      </c>
      <c r="S590" s="1762"/>
      <c r="T590" s="842" t="s">
        <v>22</v>
      </c>
      <c r="U590" s="1762" t="s">
        <v>22</v>
      </c>
      <c r="V590" s="842" t="s">
        <v>22</v>
      </c>
      <c r="W590" s="1762" t="s">
        <v>22</v>
      </c>
      <c r="X590" s="842" t="s">
        <v>22</v>
      </c>
      <c r="Y590" s="1762" t="s">
        <v>22</v>
      </c>
      <c r="Z590" s="842" t="s">
        <v>22</v>
      </c>
      <c r="AA590" s="2943" t="s">
        <v>22</v>
      </c>
      <c r="AB590" s="2940" t="s">
        <v>22</v>
      </c>
      <c r="AC590" s="1762" t="s">
        <v>22</v>
      </c>
      <c r="AD590" s="842" t="s">
        <v>22</v>
      </c>
      <c r="AE590" s="1762" t="s">
        <v>22</v>
      </c>
      <c r="AF590" s="842" t="s">
        <v>22</v>
      </c>
      <c r="AG590" s="2943" t="s">
        <v>22</v>
      </c>
      <c r="AH590" s="2940" t="s">
        <v>22</v>
      </c>
      <c r="AI590" s="1762" t="s">
        <v>22</v>
      </c>
      <c r="AJ590" s="842" t="s">
        <v>22</v>
      </c>
      <c r="AK590" s="1762" t="s">
        <v>22</v>
      </c>
      <c r="AL590" s="842" t="s">
        <v>22</v>
      </c>
      <c r="AM590" s="1549" t="s">
        <v>1043</v>
      </c>
      <c r="AN590" s="1659"/>
      <c r="AO590" s="1659"/>
      <c r="AP590" s="1659"/>
      <c r="AQ590" s="1659"/>
      <c r="AR590" s="1659"/>
      <c r="AS590" s="1659"/>
      <c r="AT590" s="1659"/>
      <c r="AU590" s="1659"/>
      <c r="AV590" s="1659"/>
      <c r="AW590" s="699"/>
      <c r="AX590" s="1659">
        <v>0</v>
      </c>
    </row>
    <row s="1874" customFormat="1" customHeight="1" ht="22.5">
      <c r="A591" s="1659"/>
      <c r="B591" s="2421" t="s">
        <v>1270</v>
      </c>
      <c r="C591" s="2422" t="s">
        <v>104</v>
      </c>
      <c r="D591" s="713" t="str">
        <f>B591&amp;".1"</f>
        <v>3.185.1</v>
      </c>
      <c r="E591" s="1691" t="s">
        <v>1039</v>
      </c>
      <c r="F591" s="2287" t="s">
        <v>390</v>
      </c>
      <c r="G591" s="2377" t="s">
        <v>22</v>
      </c>
      <c r="H591" s="842" t="s">
        <v>22</v>
      </c>
      <c r="I591" s="2377" t="s">
        <v>22</v>
      </c>
      <c r="J591" s="842" t="s">
        <v>22</v>
      </c>
      <c r="K591" s="2377" t="s">
        <v>22</v>
      </c>
      <c r="L591" s="842" t="s">
        <v>22</v>
      </c>
      <c r="M591" s="2942" t="s">
        <v>22</v>
      </c>
      <c r="N591" s="2940" t="s">
        <v>22</v>
      </c>
      <c r="O591" s="2377" t="s">
        <v>22</v>
      </c>
      <c r="P591" s="842" t="s">
        <v>22</v>
      </c>
      <c r="Q591" s="2377" t="s">
        <v>1059</v>
      </c>
      <c r="R591" s="842" t="s">
        <v>22</v>
      </c>
      <c r="S591" s="2377"/>
      <c r="T591" s="842" t="s">
        <v>22</v>
      </c>
      <c r="U591" s="2377" t="s">
        <v>22</v>
      </c>
      <c r="V591" s="842" t="s">
        <v>22</v>
      </c>
      <c r="W591" s="2377" t="s">
        <v>22</v>
      </c>
      <c r="X591" s="842" t="s">
        <v>22</v>
      </c>
      <c r="Y591" s="2377" t="s">
        <v>22</v>
      </c>
      <c r="Z591" s="842" t="s">
        <v>22</v>
      </c>
      <c r="AA591" s="2942" t="s">
        <v>22</v>
      </c>
      <c r="AB591" s="2940" t="s">
        <v>22</v>
      </c>
      <c r="AC591" s="2377" t="s">
        <v>22</v>
      </c>
      <c r="AD591" s="842" t="s">
        <v>22</v>
      </c>
      <c r="AE591" s="2377" t="s">
        <v>22</v>
      </c>
      <c r="AF591" s="842" t="s">
        <v>22</v>
      </c>
      <c r="AG591" s="2942" t="s">
        <v>22</v>
      </c>
      <c r="AH591" s="2940" t="s">
        <v>22</v>
      </c>
      <c r="AI591" s="2377" t="s">
        <v>22</v>
      </c>
      <c r="AJ591" s="842" t="s">
        <v>22</v>
      </c>
      <c r="AK591" s="2377" t="s">
        <v>22</v>
      </c>
      <c r="AL591" s="842" t="s">
        <v>22</v>
      </c>
      <c r="AM591" s="1549"/>
      <c r="AN591" s="1659"/>
      <c r="AO591" s="1659"/>
      <c r="AP591" s="1659"/>
      <c r="AQ591" s="1659"/>
      <c r="AR591" s="1659"/>
      <c r="AS591" s="1659"/>
      <c r="AT591" s="1659"/>
      <c r="AU591" s="1659"/>
      <c r="AV591" s="1659"/>
      <c r="AW591" s="699"/>
      <c r="AX591" s="1659">
        <v>0</v>
      </c>
    </row>
    <row s="1874" customFormat="1" customHeight="1" ht="15">
      <c r="A592" s="1659"/>
      <c r="B592" s="2421"/>
      <c r="C592" s="2422"/>
      <c r="D592" s="713" t="str">
        <f>B591&amp;".2"</f>
        <v>3.185.2</v>
      </c>
      <c r="E592" s="1691" t="s">
        <v>1040</v>
      </c>
      <c r="F592" s="2287" t="s">
        <v>390</v>
      </c>
      <c r="G592" s="1762" t="s">
        <v>22</v>
      </c>
      <c r="H592" s="842" t="s">
        <v>22</v>
      </c>
      <c r="I592" s="1762" t="s">
        <v>22</v>
      </c>
      <c r="J592" s="842" t="s">
        <v>22</v>
      </c>
      <c r="K592" s="1762" t="s">
        <v>22</v>
      </c>
      <c r="L592" s="842" t="s">
        <v>22</v>
      </c>
      <c r="M592" s="2943" t="s">
        <v>22</v>
      </c>
      <c r="N592" s="2940" t="s">
        <v>22</v>
      </c>
      <c r="O592" s="1762" t="s">
        <v>22</v>
      </c>
      <c r="P592" s="842" t="s">
        <v>22</v>
      </c>
      <c r="Q592" s="1762">
        <v>46142</v>
      </c>
      <c r="R592" s="842" t="s">
        <v>22</v>
      </c>
      <c r="S592" s="1762"/>
      <c r="T592" s="842" t="s">
        <v>22</v>
      </c>
      <c r="U592" s="1762" t="s">
        <v>22</v>
      </c>
      <c r="V592" s="842" t="s">
        <v>22</v>
      </c>
      <c r="W592" s="1762" t="s">
        <v>22</v>
      </c>
      <c r="X592" s="842" t="s">
        <v>22</v>
      </c>
      <c r="Y592" s="1762" t="s">
        <v>22</v>
      </c>
      <c r="Z592" s="842" t="s">
        <v>22</v>
      </c>
      <c r="AA592" s="2943" t="s">
        <v>22</v>
      </c>
      <c r="AB592" s="2940" t="s">
        <v>22</v>
      </c>
      <c r="AC592" s="1762" t="s">
        <v>22</v>
      </c>
      <c r="AD592" s="842" t="s">
        <v>22</v>
      </c>
      <c r="AE592" s="1762" t="s">
        <v>22</v>
      </c>
      <c r="AF592" s="842" t="s">
        <v>22</v>
      </c>
      <c r="AG592" s="2943" t="s">
        <v>22</v>
      </c>
      <c r="AH592" s="2940" t="s">
        <v>22</v>
      </c>
      <c r="AI592" s="1762" t="s">
        <v>22</v>
      </c>
      <c r="AJ592" s="842" t="s">
        <v>22</v>
      </c>
      <c r="AK592" s="1762" t="s">
        <v>22</v>
      </c>
      <c r="AL592" s="842" t="s">
        <v>22</v>
      </c>
      <c r="AM592" s="1549" t="s">
        <v>1041</v>
      </c>
      <c r="AN592" s="1659"/>
      <c r="AO592" s="1659"/>
      <c r="AP592" s="1659"/>
      <c r="AQ592" s="1659"/>
      <c r="AR592" s="1659"/>
      <c r="AS592" s="1659"/>
      <c r="AT592" s="1659"/>
      <c r="AU592" s="1659"/>
      <c r="AV592" s="1659"/>
      <c r="AW592" s="699"/>
      <c r="AX592" s="1659">
        <v>0</v>
      </c>
    </row>
    <row s="1874" customFormat="1" customHeight="1" ht="15">
      <c r="A593" s="1659"/>
      <c r="B593" s="2421"/>
      <c r="C593" s="2422"/>
      <c r="D593" s="713" t="str">
        <f>B591&amp;".3"</f>
        <v>3.185.3</v>
      </c>
      <c r="E593" s="1691" t="s">
        <v>1042</v>
      </c>
      <c r="F593" s="2287" t="s">
        <v>390</v>
      </c>
      <c r="G593" s="1762" t="s">
        <v>22</v>
      </c>
      <c r="H593" s="842" t="s">
        <v>22</v>
      </c>
      <c r="I593" s="1762" t="s">
        <v>22</v>
      </c>
      <c r="J593" s="842" t="s">
        <v>22</v>
      </c>
      <c r="K593" s="1762" t="s">
        <v>22</v>
      </c>
      <c r="L593" s="842" t="s">
        <v>22</v>
      </c>
      <c r="M593" s="2943" t="s">
        <v>22</v>
      </c>
      <c r="N593" s="2940" t="s">
        <v>22</v>
      </c>
      <c r="O593" s="1762" t="s">
        <v>22</v>
      </c>
      <c r="P593" s="842" t="s">
        <v>22</v>
      </c>
      <c r="Q593" s="1762" t="s">
        <v>22</v>
      </c>
      <c r="R593" s="842" t="s">
        <v>22</v>
      </c>
      <c r="S593" s="1762"/>
      <c r="T593" s="842" t="s">
        <v>22</v>
      </c>
      <c r="U593" s="1762" t="s">
        <v>22</v>
      </c>
      <c r="V593" s="842" t="s">
        <v>22</v>
      </c>
      <c r="W593" s="1762" t="s">
        <v>22</v>
      </c>
      <c r="X593" s="842" t="s">
        <v>22</v>
      </c>
      <c r="Y593" s="1762" t="s">
        <v>22</v>
      </c>
      <c r="Z593" s="842" t="s">
        <v>22</v>
      </c>
      <c r="AA593" s="2943" t="s">
        <v>22</v>
      </c>
      <c r="AB593" s="2940" t="s">
        <v>22</v>
      </c>
      <c r="AC593" s="1762" t="s">
        <v>22</v>
      </c>
      <c r="AD593" s="842" t="s">
        <v>22</v>
      </c>
      <c r="AE593" s="1762" t="s">
        <v>22</v>
      </c>
      <c r="AF593" s="842" t="s">
        <v>22</v>
      </c>
      <c r="AG593" s="2943" t="s">
        <v>22</v>
      </c>
      <c r="AH593" s="2940" t="s">
        <v>22</v>
      </c>
      <c r="AI593" s="1762" t="s">
        <v>22</v>
      </c>
      <c r="AJ593" s="842" t="s">
        <v>22</v>
      </c>
      <c r="AK593" s="1762" t="s">
        <v>22</v>
      </c>
      <c r="AL593" s="842" t="s">
        <v>22</v>
      </c>
      <c r="AM593" s="1549" t="s">
        <v>1043</v>
      </c>
      <c r="AN593" s="1659"/>
      <c r="AO593" s="1659"/>
      <c r="AP593" s="1659"/>
      <c r="AQ593" s="1659"/>
      <c r="AR593" s="1659"/>
      <c r="AS593" s="1659"/>
      <c r="AT593" s="1659"/>
      <c r="AU593" s="1659"/>
      <c r="AV593" s="1659"/>
      <c r="AW593" s="699"/>
      <c r="AX593" s="1659">
        <v>0</v>
      </c>
    </row>
    <row s="1874" customFormat="1" customHeight="1" ht="22.5">
      <c r="A594" s="1659"/>
      <c r="B594" s="2421" t="s">
        <v>1271</v>
      </c>
      <c r="C594" s="2422" t="s">
        <v>104</v>
      </c>
      <c r="D594" s="713" t="str">
        <f>B594&amp;".1"</f>
        <v>3.186.1</v>
      </c>
      <c r="E594" s="1691" t="s">
        <v>1039</v>
      </c>
      <c r="F594" s="2287" t="s">
        <v>390</v>
      </c>
      <c r="G594" s="2377" t="s">
        <v>22</v>
      </c>
      <c r="H594" s="842" t="s">
        <v>22</v>
      </c>
      <c r="I594" s="2377" t="s">
        <v>22</v>
      </c>
      <c r="J594" s="842" t="s">
        <v>22</v>
      </c>
      <c r="K594" s="2377" t="s">
        <v>22</v>
      </c>
      <c r="L594" s="842" t="s">
        <v>22</v>
      </c>
      <c r="M594" s="2942" t="s">
        <v>22</v>
      </c>
      <c r="N594" s="2940" t="s">
        <v>22</v>
      </c>
      <c r="O594" s="2377" t="s">
        <v>22</v>
      </c>
      <c r="P594" s="842" t="s">
        <v>22</v>
      </c>
      <c r="Q594" s="2377" t="s">
        <v>1059</v>
      </c>
      <c r="R594" s="842" t="s">
        <v>22</v>
      </c>
      <c r="S594" s="2377"/>
      <c r="T594" s="842" t="s">
        <v>22</v>
      </c>
      <c r="U594" s="2377" t="s">
        <v>22</v>
      </c>
      <c r="V594" s="842" t="s">
        <v>22</v>
      </c>
      <c r="W594" s="2377" t="s">
        <v>22</v>
      </c>
      <c r="X594" s="842" t="s">
        <v>22</v>
      </c>
      <c r="Y594" s="2377" t="s">
        <v>22</v>
      </c>
      <c r="Z594" s="842" t="s">
        <v>22</v>
      </c>
      <c r="AA594" s="2942" t="s">
        <v>22</v>
      </c>
      <c r="AB594" s="2940" t="s">
        <v>22</v>
      </c>
      <c r="AC594" s="2377" t="s">
        <v>22</v>
      </c>
      <c r="AD594" s="842" t="s">
        <v>22</v>
      </c>
      <c r="AE594" s="2377" t="s">
        <v>22</v>
      </c>
      <c r="AF594" s="842" t="s">
        <v>22</v>
      </c>
      <c r="AG594" s="2942" t="s">
        <v>22</v>
      </c>
      <c r="AH594" s="2940" t="s">
        <v>22</v>
      </c>
      <c r="AI594" s="2377" t="s">
        <v>22</v>
      </c>
      <c r="AJ594" s="842" t="s">
        <v>22</v>
      </c>
      <c r="AK594" s="2377" t="s">
        <v>22</v>
      </c>
      <c r="AL594" s="842" t="s">
        <v>22</v>
      </c>
      <c r="AM594" s="1549"/>
      <c r="AN594" s="1659"/>
      <c r="AO594" s="1659"/>
      <c r="AP594" s="1659"/>
      <c r="AQ594" s="1659"/>
      <c r="AR594" s="1659"/>
      <c r="AS594" s="1659"/>
      <c r="AT594" s="1659"/>
      <c r="AU594" s="1659"/>
      <c r="AV594" s="1659"/>
      <c r="AW594" s="699"/>
      <c r="AX594" s="1659">
        <v>0</v>
      </c>
    </row>
    <row s="1874" customFormat="1" customHeight="1" ht="15">
      <c r="A595" s="1659"/>
      <c r="B595" s="2421"/>
      <c r="C595" s="2422"/>
      <c r="D595" s="713" t="str">
        <f>B594&amp;".2"</f>
        <v>3.186.2</v>
      </c>
      <c r="E595" s="1691" t="s">
        <v>1040</v>
      </c>
      <c r="F595" s="2287" t="s">
        <v>390</v>
      </c>
      <c r="G595" s="1762" t="s">
        <v>22</v>
      </c>
      <c r="H595" s="842" t="s">
        <v>22</v>
      </c>
      <c r="I595" s="1762" t="s">
        <v>22</v>
      </c>
      <c r="J595" s="842" t="s">
        <v>22</v>
      </c>
      <c r="K595" s="1762" t="s">
        <v>22</v>
      </c>
      <c r="L595" s="842" t="s">
        <v>22</v>
      </c>
      <c r="M595" s="2943" t="s">
        <v>22</v>
      </c>
      <c r="N595" s="2940" t="s">
        <v>22</v>
      </c>
      <c r="O595" s="1762" t="s">
        <v>22</v>
      </c>
      <c r="P595" s="842" t="s">
        <v>22</v>
      </c>
      <c r="Q595" s="1762">
        <v>46142</v>
      </c>
      <c r="R595" s="842" t="s">
        <v>22</v>
      </c>
      <c r="S595" s="1762"/>
      <c r="T595" s="842" t="s">
        <v>22</v>
      </c>
      <c r="U595" s="1762" t="s">
        <v>22</v>
      </c>
      <c r="V595" s="842" t="s">
        <v>22</v>
      </c>
      <c r="W595" s="1762" t="s">
        <v>22</v>
      </c>
      <c r="X595" s="842" t="s">
        <v>22</v>
      </c>
      <c r="Y595" s="1762" t="s">
        <v>22</v>
      </c>
      <c r="Z595" s="842" t="s">
        <v>22</v>
      </c>
      <c r="AA595" s="2943" t="s">
        <v>22</v>
      </c>
      <c r="AB595" s="2940" t="s">
        <v>22</v>
      </c>
      <c r="AC595" s="1762" t="s">
        <v>22</v>
      </c>
      <c r="AD595" s="842" t="s">
        <v>22</v>
      </c>
      <c r="AE595" s="1762" t="s">
        <v>22</v>
      </c>
      <c r="AF595" s="842" t="s">
        <v>22</v>
      </c>
      <c r="AG595" s="2943" t="s">
        <v>22</v>
      </c>
      <c r="AH595" s="2940" t="s">
        <v>22</v>
      </c>
      <c r="AI595" s="1762" t="s">
        <v>22</v>
      </c>
      <c r="AJ595" s="842" t="s">
        <v>22</v>
      </c>
      <c r="AK595" s="1762" t="s">
        <v>22</v>
      </c>
      <c r="AL595" s="842" t="s">
        <v>22</v>
      </c>
      <c r="AM595" s="1549" t="s">
        <v>1041</v>
      </c>
      <c r="AN595" s="1659"/>
      <c r="AO595" s="1659"/>
      <c r="AP595" s="1659"/>
      <c r="AQ595" s="1659"/>
      <c r="AR595" s="1659"/>
      <c r="AS595" s="1659"/>
      <c r="AT595" s="1659"/>
      <c r="AU595" s="1659"/>
      <c r="AV595" s="1659"/>
      <c r="AW595" s="699"/>
      <c r="AX595" s="1659">
        <v>0</v>
      </c>
    </row>
    <row s="1874" customFormat="1" customHeight="1" ht="15">
      <c r="A596" s="1659"/>
      <c r="B596" s="2421"/>
      <c r="C596" s="2422"/>
      <c r="D596" s="713" t="str">
        <f>B594&amp;".3"</f>
        <v>3.186.3</v>
      </c>
      <c r="E596" s="1691" t="s">
        <v>1042</v>
      </c>
      <c r="F596" s="2287" t="s">
        <v>390</v>
      </c>
      <c r="G596" s="1762" t="s">
        <v>22</v>
      </c>
      <c r="H596" s="842" t="s">
        <v>22</v>
      </c>
      <c r="I596" s="1762" t="s">
        <v>22</v>
      </c>
      <c r="J596" s="842" t="s">
        <v>22</v>
      </c>
      <c r="K596" s="1762" t="s">
        <v>22</v>
      </c>
      <c r="L596" s="842" t="s">
        <v>22</v>
      </c>
      <c r="M596" s="2943" t="s">
        <v>22</v>
      </c>
      <c r="N596" s="2940" t="s">
        <v>22</v>
      </c>
      <c r="O596" s="1762" t="s">
        <v>22</v>
      </c>
      <c r="P596" s="842" t="s">
        <v>22</v>
      </c>
      <c r="Q596" s="1762" t="s">
        <v>22</v>
      </c>
      <c r="R596" s="842" t="s">
        <v>22</v>
      </c>
      <c r="S596" s="1762"/>
      <c r="T596" s="842" t="s">
        <v>22</v>
      </c>
      <c r="U596" s="1762" t="s">
        <v>22</v>
      </c>
      <c r="V596" s="842" t="s">
        <v>22</v>
      </c>
      <c r="W596" s="1762" t="s">
        <v>22</v>
      </c>
      <c r="X596" s="842" t="s">
        <v>22</v>
      </c>
      <c r="Y596" s="1762" t="s">
        <v>22</v>
      </c>
      <c r="Z596" s="842" t="s">
        <v>22</v>
      </c>
      <c r="AA596" s="2943" t="s">
        <v>22</v>
      </c>
      <c r="AB596" s="2940" t="s">
        <v>22</v>
      </c>
      <c r="AC596" s="1762" t="s">
        <v>22</v>
      </c>
      <c r="AD596" s="842" t="s">
        <v>22</v>
      </c>
      <c r="AE596" s="1762" t="s">
        <v>22</v>
      </c>
      <c r="AF596" s="842" t="s">
        <v>22</v>
      </c>
      <c r="AG596" s="2943" t="s">
        <v>22</v>
      </c>
      <c r="AH596" s="2940" t="s">
        <v>22</v>
      </c>
      <c r="AI596" s="1762" t="s">
        <v>22</v>
      </c>
      <c r="AJ596" s="842" t="s">
        <v>22</v>
      </c>
      <c r="AK596" s="1762" t="s">
        <v>22</v>
      </c>
      <c r="AL596" s="842" t="s">
        <v>22</v>
      </c>
      <c r="AM596" s="1549" t="s">
        <v>1043</v>
      </c>
      <c r="AN596" s="1659"/>
      <c r="AO596" s="1659"/>
      <c r="AP596" s="1659"/>
      <c r="AQ596" s="1659"/>
      <c r="AR596" s="1659"/>
      <c r="AS596" s="1659"/>
      <c r="AT596" s="1659"/>
      <c r="AU596" s="1659"/>
      <c r="AV596" s="1659"/>
      <c r="AW596" s="699"/>
      <c r="AX596" s="1659">
        <v>0</v>
      </c>
    </row>
    <row s="1874" customFormat="1" customHeight="1" ht="22.5">
      <c r="A597" s="1659"/>
      <c r="B597" s="2421" t="s">
        <v>1272</v>
      </c>
      <c r="C597" s="2422" t="s">
        <v>104</v>
      </c>
      <c r="D597" s="713" t="str">
        <f>B597&amp;".1"</f>
        <v>3.187.1</v>
      </c>
      <c r="E597" s="1691" t="s">
        <v>1039</v>
      </c>
      <c r="F597" s="2287" t="s">
        <v>390</v>
      </c>
      <c r="G597" s="2377" t="s">
        <v>22</v>
      </c>
      <c r="H597" s="842" t="s">
        <v>22</v>
      </c>
      <c r="I597" s="2377" t="s">
        <v>22</v>
      </c>
      <c r="J597" s="842" t="s">
        <v>22</v>
      </c>
      <c r="K597" s="2377" t="s">
        <v>22</v>
      </c>
      <c r="L597" s="842" t="s">
        <v>22</v>
      </c>
      <c r="M597" s="2942" t="s">
        <v>22</v>
      </c>
      <c r="N597" s="2940" t="s">
        <v>22</v>
      </c>
      <c r="O597" s="2377" t="s">
        <v>22</v>
      </c>
      <c r="P597" s="842" t="s">
        <v>22</v>
      </c>
      <c r="Q597" s="2377" t="s">
        <v>1059</v>
      </c>
      <c r="R597" s="842" t="s">
        <v>22</v>
      </c>
      <c r="S597" s="2377"/>
      <c r="T597" s="842" t="s">
        <v>22</v>
      </c>
      <c r="U597" s="2377" t="s">
        <v>22</v>
      </c>
      <c r="V597" s="842" t="s">
        <v>22</v>
      </c>
      <c r="W597" s="2377" t="s">
        <v>22</v>
      </c>
      <c r="X597" s="842" t="s">
        <v>22</v>
      </c>
      <c r="Y597" s="2377" t="s">
        <v>22</v>
      </c>
      <c r="Z597" s="842" t="s">
        <v>22</v>
      </c>
      <c r="AA597" s="2942" t="s">
        <v>22</v>
      </c>
      <c r="AB597" s="2940" t="s">
        <v>22</v>
      </c>
      <c r="AC597" s="2377" t="s">
        <v>22</v>
      </c>
      <c r="AD597" s="842" t="s">
        <v>22</v>
      </c>
      <c r="AE597" s="2377" t="s">
        <v>22</v>
      </c>
      <c r="AF597" s="842" t="s">
        <v>22</v>
      </c>
      <c r="AG597" s="2942" t="s">
        <v>22</v>
      </c>
      <c r="AH597" s="2940" t="s">
        <v>22</v>
      </c>
      <c r="AI597" s="2377" t="s">
        <v>22</v>
      </c>
      <c r="AJ597" s="842" t="s">
        <v>22</v>
      </c>
      <c r="AK597" s="2377" t="s">
        <v>22</v>
      </c>
      <c r="AL597" s="842" t="s">
        <v>22</v>
      </c>
      <c r="AM597" s="1549"/>
      <c r="AN597" s="1659"/>
      <c r="AO597" s="1659"/>
      <c r="AP597" s="1659"/>
      <c r="AQ597" s="1659"/>
      <c r="AR597" s="1659"/>
      <c r="AS597" s="1659"/>
      <c r="AT597" s="1659"/>
      <c r="AU597" s="1659"/>
      <c r="AV597" s="1659"/>
      <c r="AW597" s="699"/>
      <c r="AX597" s="1659">
        <v>0</v>
      </c>
    </row>
    <row s="1874" customFormat="1" customHeight="1" ht="15">
      <c r="A598" s="1659"/>
      <c r="B598" s="2421"/>
      <c r="C598" s="2422"/>
      <c r="D598" s="713" t="str">
        <f>B597&amp;".2"</f>
        <v>3.187.2</v>
      </c>
      <c r="E598" s="1691" t="s">
        <v>1040</v>
      </c>
      <c r="F598" s="2287" t="s">
        <v>390</v>
      </c>
      <c r="G598" s="1762" t="s">
        <v>22</v>
      </c>
      <c r="H598" s="842" t="s">
        <v>22</v>
      </c>
      <c r="I598" s="1762" t="s">
        <v>22</v>
      </c>
      <c r="J598" s="842" t="s">
        <v>22</v>
      </c>
      <c r="K598" s="1762" t="s">
        <v>22</v>
      </c>
      <c r="L598" s="842" t="s">
        <v>22</v>
      </c>
      <c r="M598" s="2943" t="s">
        <v>22</v>
      </c>
      <c r="N598" s="2940" t="s">
        <v>22</v>
      </c>
      <c r="O598" s="1762" t="s">
        <v>22</v>
      </c>
      <c r="P598" s="842" t="s">
        <v>22</v>
      </c>
      <c r="Q598" s="1762">
        <v>46142</v>
      </c>
      <c r="R598" s="842" t="s">
        <v>22</v>
      </c>
      <c r="S598" s="1762"/>
      <c r="T598" s="842" t="s">
        <v>22</v>
      </c>
      <c r="U598" s="1762" t="s">
        <v>22</v>
      </c>
      <c r="V598" s="842" t="s">
        <v>22</v>
      </c>
      <c r="W598" s="1762" t="s">
        <v>22</v>
      </c>
      <c r="X598" s="842" t="s">
        <v>22</v>
      </c>
      <c r="Y598" s="1762" t="s">
        <v>22</v>
      </c>
      <c r="Z598" s="842" t="s">
        <v>22</v>
      </c>
      <c r="AA598" s="2943" t="s">
        <v>22</v>
      </c>
      <c r="AB598" s="2940" t="s">
        <v>22</v>
      </c>
      <c r="AC598" s="1762" t="s">
        <v>22</v>
      </c>
      <c r="AD598" s="842" t="s">
        <v>22</v>
      </c>
      <c r="AE598" s="1762" t="s">
        <v>22</v>
      </c>
      <c r="AF598" s="842" t="s">
        <v>22</v>
      </c>
      <c r="AG598" s="2943" t="s">
        <v>22</v>
      </c>
      <c r="AH598" s="2940" t="s">
        <v>22</v>
      </c>
      <c r="AI598" s="1762" t="s">
        <v>22</v>
      </c>
      <c r="AJ598" s="842" t="s">
        <v>22</v>
      </c>
      <c r="AK598" s="1762" t="s">
        <v>22</v>
      </c>
      <c r="AL598" s="842" t="s">
        <v>22</v>
      </c>
      <c r="AM598" s="1549" t="s">
        <v>1041</v>
      </c>
      <c r="AN598" s="1659"/>
      <c r="AO598" s="1659"/>
      <c r="AP598" s="1659"/>
      <c r="AQ598" s="1659"/>
      <c r="AR598" s="1659"/>
      <c r="AS598" s="1659"/>
      <c r="AT598" s="1659"/>
      <c r="AU598" s="1659"/>
      <c r="AV598" s="1659"/>
      <c r="AW598" s="699"/>
      <c r="AX598" s="1659">
        <v>0</v>
      </c>
    </row>
    <row s="1874" customFormat="1" customHeight="1" ht="15">
      <c r="A599" s="1659"/>
      <c r="B599" s="2421"/>
      <c r="C599" s="2422"/>
      <c r="D599" s="713" t="str">
        <f>B597&amp;".3"</f>
        <v>3.187.3</v>
      </c>
      <c r="E599" s="1691" t="s">
        <v>1042</v>
      </c>
      <c r="F599" s="2287" t="s">
        <v>390</v>
      </c>
      <c r="G599" s="1762" t="s">
        <v>22</v>
      </c>
      <c r="H599" s="842" t="s">
        <v>22</v>
      </c>
      <c r="I599" s="1762" t="s">
        <v>22</v>
      </c>
      <c r="J599" s="842" t="s">
        <v>22</v>
      </c>
      <c r="K599" s="1762" t="s">
        <v>22</v>
      </c>
      <c r="L599" s="842" t="s">
        <v>22</v>
      </c>
      <c r="M599" s="2943" t="s">
        <v>22</v>
      </c>
      <c r="N599" s="2940" t="s">
        <v>22</v>
      </c>
      <c r="O599" s="1762" t="s">
        <v>22</v>
      </c>
      <c r="P599" s="842" t="s">
        <v>22</v>
      </c>
      <c r="Q599" s="1762" t="s">
        <v>22</v>
      </c>
      <c r="R599" s="842" t="s">
        <v>22</v>
      </c>
      <c r="S599" s="1762"/>
      <c r="T599" s="842" t="s">
        <v>22</v>
      </c>
      <c r="U599" s="1762" t="s">
        <v>22</v>
      </c>
      <c r="V599" s="842" t="s">
        <v>22</v>
      </c>
      <c r="W599" s="1762" t="s">
        <v>22</v>
      </c>
      <c r="X599" s="842" t="s">
        <v>22</v>
      </c>
      <c r="Y599" s="1762" t="s">
        <v>22</v>
      </c>
      <c r="Z599" s="842" t="s">
        <v>22</v>
      </c>
      <c r="AA599" s="2943" t="s">
        <v>22</v>
      </c>
      <c r="AB599" s="2940" t="s">
        <v>22</v>
      </c>
      <c r="AC599" s="1762" t="s">
        <v>22</v>
      </c>
      <c r="AD599" s="842" t="s">
        <v>22</v>
      </c>
      <c r="AE599" s="1762" t="s">
        <v>22</v>
      </c>
      <c r="AF599" s="842" t="s">
        <v>22</v>
      </c>
      <c r="AG599" s="2943" t="s">
        <v>22</v>
      </c>
      <c r="AH599" s="2940" t="s">
        <v>22</v>
      </c>
      <c r="AI599" s="1762" t="s">
        <v>22</v>
      </c>
      <c r="AJ599" s="842" t="s">
        <v>22</v>
      </c>
      <c r="AK599" s="1762" t="s">
        <v>22</v>
      </c>
      <c r="AL599" s="842" t="s">
        <v>22</v>
      </c>
      <c r="AM599" s="1549" t="s">
        <v>1043</v>
      </c>
      <c r="AN599" s="1659"/>
      <c r="AO599" s="1659"/>
      <c r="AP599" s="1659"/>
      <c r="AQ599" s="1659"/>
      <c r="AR599" s="1659"/>
      <c r="AS599" s="1659"/>
      <c r="AT599" s="1659"/>
      <c r="AU599" s="1659"/>
      <c r="AV599" s="1659"/>
      <c r="AW599" s="699"/>
      <c r="AX599" s="1659">
        <v>0</v>
      </c>
    </row>
    <row s="1874" customFormat="1" customHeight="1" ht="22.5">
      <c r="A600" s="1659"/>
      <c r="B600" s="2421" t="s">
        <v>1273</v>
      </c>
      <c r="C600" s="2422" t="s">
        <v>104</v>
      </c>
      <c r="D600" s="713" t="str">
        <f>B600&amp;".1"</f>
        <v>3.188.1</v>
      </c>
      <c r="E600" s="1691" t="s">
        <v>1039</v>
      </c>
      <c r="F600" s="2287" t="s">
        <v>390</v>
      </c>
      <c r="G600" s="2377" t="s">
        <v>22</v>
      </c>
      <c r="H600" s="842" t="s">
        <v>22</v>
      </c>
      <c r="I600" s="2377" t="s">
        <v>22</v>
      </c>
      <c r="J600" s="842" t="s">
        <v>22</v>
      </c>
      <c r="K600" s="2377" t="s">
        <v>22</v>
      </c>
      <c r="L600" s="842" t="s">
        <v>22</v>
      </c>
      <c r="M600" s="2942" t="s">
        <v>22</v>
      </c>
      <c r="N600" s="2940" t="s">
        <v>22</v>
      </c>
      <c r="O600" s="2377" t="s">
        <v>22</v>
      </c>
      <c r="P600" s="842" t="s">
        <v>22</v>
      </c>
      <c r="Q600" s="2377" t="s">
        <v>1059</v>
      </c>
      <c r="R600" s="842" t="s">
        <v>22</v>
      </c>
      <c r="S600" s="2377"/>
      <c r="T600" s="842" t="s">
        <v>22</v>
      </c>
      <c r="U600" s="2377" t="s">
        <v>22</v>
      </c>
      <c r="V600" s="842" t="s">
        <v>22</v>
      </c>
      <c r="W600" s="2377" t="s">
        <v>22</v>
      </c>
      <c r="X600" s="842" t="s">
        <v>22</v>
      </c>
      <c r="Y600" s="2377" t="s">
        <v>22</v>
      </c>
      <c r="Z600" s="842" t="s">
        <v>22</v>
      </c>
      <c r="AA600" s="2942" t="s">
        <v>22</v>
      </c>
      <c r="AB600" s="2940" t="s">
        <v>22</v>
      </c>
      <c r="AC600" s="2377" t="s">
        <v>22</v>
      </c>
      <c r="AD600" s="842" t="s">
        <v>22</v>
      </c>
      <c r="AE600" s="2377" t="s">
        <v>22</v>
      </c>
      <c r="AF600" s="842" t="s">
        <v>22</v>
      </c>
      <c r="AG600" s="2942" t="s">
        <v>22</v>
      </c>
      <c r="AH600" s="2940" t="s">
        <v>22</v>
      </c>
      <c r="AI600" s="2377" t="s">
        <v>22</v>
      </c>
      <c r="AJ600" s="842" t="s">
        <v>22</v>
      </c>
      <c r="AK600" s="2377" t="s">
        <v>22</v>
      </c>
      <c r="AL600" s="842" t="s">
        <v>22</v>
      </c>
      <c r="AM600" s="1549"/>
      <c r="AN600" s="1659"/>
      <c r="AO600" s="1659"/>
      <c r="AP600" s="1659"/>
      <c r="AQ600" s="1659"/>
      <c r="AR600" s="1659"/>
      <c r="AS600" s="1659"/>
      <c r="AT600" s="1659"/>
      <c r="AU600" s="1659"/>
      <c r="AV600" s="1659"/>
      <c r="AW600" s="699"/>
      <c r="AX600" s="1659">
        <v>0</v>
      </c>
    </row>
    <row s="1874" customFormat="1" customHeight="1" ht="15">
      <c r="A601" s="1659"/>
      <c r="B601" s="2421"/>
      <c r="C601" s="2422"/>
      <c r="D601" s="713" t="str">
        <f>B600&amp;".2"</f>
        <v>3.188.2</v>
      </c>
      <c r="E601" s="1691" t="s">
        <v>1040</v>
      </c>
      <c r="F601" s="2287" t="s">
        <v>390</v>
      </c>
      <c r="G601" s="1762" t="s">
        <v>22</v>
      </c>
      <c r="H601" s="842" t="s">
        <v>22</v>
      </c>
      <c r="I601" s="1762" t="s">
        <v>22</v>
      </c>
      <c r="J601" s="842" t="s">
        <v>22</v>
      </c>
      <c r="K601" s="1762" t="s">
        <v>22</v>
      </c>
      <c r="L601" s="842" t="s">
        <v>22</v>
      </c>
      <c r="M601" s="2943" t="s">
        <v>22</v>
      </c>
      <c r="N601" s="2940" t="s">
        <v>22</v>
      </c>
      <c r="O601" s="1762" t="s">
        <v>22</v>
      </c>
      <c r="P601" s="842" t="s">
        <v>22</v>
      </c>
      <c r="Q601" s="1762">
        <v>46142</v>
      </c>
      <c r="R601" s="842" t="s">
        <v>22</v>
      </c>
      <c r="S601" s="1762"/>
      <c r="T601" s="842" t="s">
        <v>22</v>
      </c>
      <c r="U601" s="1762" t="s">
        <v>22</v>
      </c>
      <c r="V601" s="842" t="s">
        <v>22</v>
      </c>
      <c r="W601" s="1762" t="s">
        <v>22</v>
      </c>
      <c r="X601" s="842" t="s">
        <v>22</v>
      </c>
      <c r="Y601" s="1762" t="s">
        <v>22</v>
      </c>
      <c r="Z601" s="842" t="s">
        <v>22</v>
      </c>
      <c r="AA601" s="2943" t="s">
        <v>22</v>
      </c>
      <c r="AB601" s="2940" t="s">
        <v>22</v>
      </c>
      <c r="AC601" s="1762" t="s">
        <v>22</v>
      </c>
      <c r="AD601" s="842" t="s">
        <v>22</v>
      </c>
      <c r="AE601" s="1762" t="s">
        <v>22</v>
      </c>
      <c r="AF601" s="842" t="s">
        <v>22</v>
      </c>
      <c r="AG601" s="2943" t="s">
        <v>22</v>
      </c>
      <c r="AH601" s="2940" t="s">
        <v>22</v>
      </c>
      <c r="AI601" s="1762" t="s">
        <v>22</v>
      </c>
      <c r="AJ601" s="842" t="s">
        <v>22</v>
      </c>
      <c r="AK601" s="1762" t="s">
        <v>22</v>
      </c>
      <c r="AL601" s="842" t="s">
        <v>22</v>
      </c>
      <c r="AM601" s="1549" t="s">
        <v>1041</v>
      </c>
      <c r="AN601" s="1659"/>
      <c r="AO601" s="1659"/>
      <c r="AP601" s="1659"/>
      <c r="AQ601" s="1659"/>
      <c r="AR601" s="1659"/>
      <c r="AS601" s="1659"/>
      <c r="AT601" s="1659"/>
      <c r="AU601" s="1659"/>
      <c r="AV601" s="1659"/>
      <c r="AW601" s="699"/>
      <c r="AX601" s="1659">
        <v>0</v>
      </c>
    </row>
    <row s="1874" customFormat="1" customHeight="1" ht="15">
      <c r="A602" s="1659"/>
      <c r="B602" s="2421"/>
      <c r="C602" s="2422"/>
      <c r="D602" s="713" t="str">
        <f>B600&amp;".3"</f>
        <v>3.188.3</v>
      </c>
      <c r="E602" s="1691" t="s">
        <v>1042</v>
      </c>
      <c r="F602" s="2287" t="s">
        <v>390</v>
      </c>
      <c r="G602" s="1762" t="s">
        <v>22</v>
      </c>
      <c r="H602" s="842" t="s">
        <v>22</v>
      </c>
      <c r="I602" s="1762" t="s">
        <v>22</v>
      </c>
      <c r="J602" s="842" t="s">
        <v>22</v>
      </c>
      <c r="K602" s="1762" t="s">
        <v>22</v>
      </c>
      <c r="L602" s="842" t="s">
        <v>22</v>
      </c>
      <c r="M602" s="2943" t="s">
        <v>22</v>
      </c>
      <c r="N602" s="2940" t="s">
        <v>22</v>
      </c>
      <c r="O602" s="1762" t="s">
        <v>22</v>
      </c>
      <c r="P602" s="842" t="s">
        <v>22</v>
      </c>
      <c r="Q602" s="1762" t="s">
        <v>22</v>
      </c>
      <c r="R602" s="842" t="s">
        <v>22</v>
      </c>
      <c r="S602" s="1762"/>
      <c r="T602" s="842" t="s">
        <v>22</v>
      </c>
      <c r="U602" s="1762" t="s">
        <v>22</v>
      </c>
      <c r="V602" s="842" t="s">
        <v>22</v>
      </c>
      <c r="W602" s="1762" t="s">
        <v>22</v>
      </c>
      <c r="X602" s="842" t="s">
        <v>22</v>
      </c>
      <c r="Y602" s="1762" t="s">
        <v>22</v>
      </c>
      <c r="Z602" s="842" t="s">
        <v>22</v>
      </c>
      <c r="AA602" s="2943" t="s">
        <v>22</v>
      </c>
      <c r="AB602" s="2940" t="s">
        <v>22</v>
      </c>
      <c r="AC602" s="1762" t="s">
        <v>22</v>
      </c>
      <c r="AD602" s="842" t="s">
        <v>22</v>
      </c>
      <c r="AE602" s="1762" t="s">
        <v>22</v>
      </c>
      <c r="AF602" s="842" t="s">
        <v>22</v>
      </c>
      <c r="AG602" s="2943" t="s">
        <v>22</v>
      </c>
      <c r="AH602" s="2940" t="s">
        <v>22</v>
      </c>
      <c r="AI602" s="1762" t="s">
        <v>22</v>
      </c>
      <c r="AJ602" s="842" t="s">
        <v>22</v>
      </c>
      <c r="AK602" s="1762" t="s">
        <v>22</v>
      </c>
      <c r="AL602" s="842" t="s">
        <v>22</v>
      </c>
      <c r="AM602" s="1549" t="s">
        <v>1043</v>
      </c>
      <c r="AN602" s="1659"/>
      <c r="AO602" s="1659"/>
      <c r="AP602" s="1659"/>
      <c r="AQ602" s="1659"/>
      <c r="AR602" s="1659"/>
      <c r="AS602" s="1659"/>
      <c r="AT602" s="1659"/>
      <c r="AU602" s="1659"/>
      <c r="AV602" s="1659"/>
      <c r="AW602" s="699"/>
      <c r="AX602" s="1659">
        <v>0</v>
      </c>
    </row>
    <row s="1874" customFormat="1" customHeight="1" ht="22.5">
      <c r="A603" s="1659"/>
      <c r="B603" s="2421" t="s">
        <v>1274</v>
      </c>
      <c r="C603" s="2422" t="s">
        <v>104</v>
      </c>
      <c r="D603" s="713" t="str">
        <f>B603&amp;".1"</f>
        <v>3.189.1</v>
      </c>
      <c r="E603" s="1691" t="s">
        <v>1039</v>
      </c>
      <c r="F603" s="2287" t="s">
        <v>390</v>
      </c>
      <c r="G603" s="2377" t="s">
        <v>22</v>
      </c>
      <c r="H603" s="842" t="s">
        <v>22</v>
      </c>
      <c r="I603" s="2377" t="s">
        <v>22</v>
      </c>
      <c r="J603" s="842" t="s">
        <v>22</v>
      </c>
      <c r="K603" s="2377" t="s">
        <v>22</v>
      </c>
      <c r="L603" s="842" t="s">
        <v>22</v>
      </c>
      <c r="M603" s="2942" t="s">
        <v>22</v>
      </c>
      <c r="N603" s="2940" t="s">
        <v>22</v>
      </c>
      <c r="O603" s="2377" t="s">
        <v>22</v>
      </c>
      <c r="P603" s="842" t="s">
        <v>22</v>
      </c>
      <c r="Q603" s="2377" t="s">
        <v>1059</v>
      </c>
      <c r="R603" s="842" t="s">
        <v>22</v>
      </c>
      <c r="S603" s="2377"/>
      <c r="T603" s="842" t="s">
        <v>22</v>
      </c>
      <c r="U603" s="2377" t="s">
        <v>22</v>
      </c>
      <c r="V603" s="842" t="s">
        <v>22</v>
      </c>
      <c r="W603" s="2377" t="s">
        <v>22</v>
      </c>
      <c r="X603" s="842" t="s">
        <v>22</v>
      </c>
      <c r="Y603" s="2377" t="s">
        <v>22</v>
      </c>
      <c r="Z603" s="842" t="s">
        <v>22</v>
      </c>
      <c r="AA603" s="2942" t="s">
        <v>22</v>
      </c>
      <c r="AB603" s="2940" t="s">
        <v>22</v>
      </c>
      <c r="AC603" s="2377" t="s">
        <v>22</v>
      </c>
      <c r="AD603" s="842" t="s">
        <v>22</v>
      </c>
      <c r="AE603" s="2377" t="s">
        <v>22</v>
      </c>
      <c r="AF603" s="842" t="s">
        <v>22</v>
      </c>
      <c r="AG603" s="2942" t="s">
        <v>22</v>
      </c>
      <c r="AH603" s="2940" t="s">
        <v>22</v>
      </c>
      <c r="AI603" s="2377" t="s">
        <v>22</v>
      </c>
      <c r="AJ603" s="842" t="s">
        <v>22</v>
      </c>
      <c r="AK603" s="2377" t="s">
        <v>22</v>
      </c>
      <c r="AL603" s="842" t="s">
        <v>22</v>
      </c>
      <c r="AM603" s="1549"/>
      <c r="AN603" s="1659"/>
      <c r="AO603" s="1659"/>
      <c r="AP603" s="1659"/>
      <c r="AQ603" s="1659"/>
      <c r="AR603" s="1659"/>
      <c r="AS603" s="1659"/>
      <c r="AT603" s="1659"/>
      <c r="AU603" s="1659"/>
      <c r="AV603" s="1659"/>
      <c r="AW603" s="699"/>
      <c r="AX603" s="1659">
        <v>0</v>
      </c>
    </row>
    <row s="1874" customFormat="1" customHeight="1" ht="15">
      <c r="A604" s="1659"/>
      <c r="B604" s="2421"/>
      <c r="C604" s="2422"/>
      <c r="D604" s="713" t="str">
        <f>B603&amp;".2"</f>
        <v>3.189.2</v>
      </c>
      <c r="E604" s="1691" t="s">
        <v>1040</v>
      </c>
      <c r="F604" s="2287" t="s">
        <v>390</v>
      </c>
      <c r="G604" s="1762" t="s">
        <v>22</v>
      </c>
      <c r="H604" s="842" t="s">
        <v>22</v>
      </c>
      <c r="I604" s="1762" t="s">
        <v>22</v>
      </c>
      <c r="J604" s="842" t="s">
        <v>22</v>
      </c>
      <c r="K604" s="1762" t="s">
        <v>22</v>
      </c>
      <c r="L604" s="842" t="s">
        <v>22</v>
      </c>
      <c r="M604" s="2943" t="s">
        <v>22</v>
      </c>
      <c r="N604" s="2940" t="s">
        <v>22</v>
      </c>
      <c r="O604" s="1762" t="s">
        <v>22</v>
      </c>
      <c r="P604" s="842" t="s">
        <v>22</v>
      </c>
      <c r="Q604" s="1762">
        <v>46142</v>
      </c>
      <c r="R604" s="842" t="s">
        <v>22</v>
      </c>
      <c r="S604" s="1762"/>
      <c r="T604" s="842" t="s">
        <v>22</v>
      </c>
      <c r="U604" s="1762" t="s">
        <v>22</v>
      </c>
      <c r="V604" s="842" t="s">
        <v>22</v>
      </c>
      <c r="W604" s="1762" t="s">
        <v>22</v>
      </c>
      <c r="X604" s="842" t="s">
        <v>22</v>
      </c>
      <c r="Y604" s="1762" t="s">
        <v>22</v>
      </c>
      <c r="Z604" s="842" t="s">
        <v>22</v>
      </c>
      <c r="AA604" s="2943" t="s">
        <v>22</v>
      </c>
      <c r="AB604" s="2940" t="s">
        <v>22</v>
      </c>
      <c r="AC604" s="1762" t="s">
        <v>22</v>
      </c>
      <c r="AD604" s="842" t="s">
        <v>22</v>
      </c>
      <c r="AE604" s="1762" t="s">
        <v>22</v>
      </c>
      <c r="AF604" s="842" t="s">
        <v>22</v>
      </c>
      <c r="AG604" s="2943" t="s">
        <v>22</v>
      </c>
      <c r="AH604" s="2940" t="s">
        <v>22</v>
      </c>
      <c r="AI604" s="1762" t="s">
        <v>22</v>
      </c>
      <c r="AJ604" s="842" t="s">
        <v>22</v>
      </c>
      <c r="AK604" s="1762" t="s">
        <v>22</v>
      </c>
      <c r="AL604" s="842" t="s">
        <v>22</v>
      </c>
      <c r="AM604" s="1549" t="s">
        <v>1041</v>
      </c>
      <c r="AN604" s="1659"/>
      <c r="AO604" s="1659"/>
      <c r="AP604" s="1659"/>
      <c r="AQ604" s="1659"/>
      <c r="AR604" s="1659"/>
      <c r="AS604" s="1659"/>
      <c r="AT604" s="1659"/>
      <c r="AU604" s="1659"/>
      <c r="AV604" s="1659"/>
      <c r="AW604" s="699"/>
      <c r="AX604" s="1659">
        <v>0</v>
      </c>
    </row>
    <row s="1874" customFormat="1" customHeight="1" ht="15">
      <c r="A605" s="1659"/>
      <c r="B605" s="2421"/>
      <c r="C605" s="2422"/>
      <c r="D605" s="713" t="str">
        <f>B603&amp;".3"</f>
        <v>3.189.3</v>
      </c>
      <c r="E605" s="1691" t="s">
        <v>1042</v>
      </c>
      <c r="F605" s="2287" t="s">
        <v>390</v>
      </c>
      <c r="G605" s="1762" t="s">
        <v>22</v>
      </c>
      <c r="H605" s="842" t="s">
        <v>22</v>
      </c>
      <c r="I605" s="1762" t="s">
        <v>22</v>
      </c>
      <c r="J605" s="842" t="s">
        <v>22</v>
      </c>
      <c r="K605" s="1762" t="s">
        <v>22</v>
      </c>
      <c r="L605" s="842" t="s">
        <v>22</v>
      </c>
      <c r="M605" s="2943" t="s">
        <v>22</v>
      </c>
      <c r="N605" s="2940" t="s">
        <v>22</v>
      </c>
      <c r="O605" s="1762" t="s">
        <v>22</v>
      </c>
      <c r="P605" s="842" t="s">
        <v>22</v>
      </c>
      <c r="Q605" s="1762" t="s">
        <v>22</v>
      </c>
      <c r="R605" s="842" t="s">
        <v>22</v>
      </c>
      <c r="S605" s="1762"/>
      <c r="T605" s="842" t="s">
        <v>22</v>
      </c>
      <c r="U605" s="1762" t="s">
        <v>22</v>
      </c>
      <c r="V605" s="842" t="s">
        <v>22</v>
      </c>
      <c r="W605" s="1762" t="s">
        <v>22</v>
      </c>
      <c r="X605" s="842" t="s">
        <v>22</v>
      </c>
      <c r="Y605" s="1762" t="s">
        <v>22</v>
      </c>
      <c r="Z605" s="842" t="s">
        <v>22</v>
      </c>
      <c r="AA605" s="2943" t="s">
        <v>22</v>
      </c>
      <c r="AB605" s="2940" t="s">
        <v>22</v>
      </c>
      <c r="AC605" s="1762" t="s">
        <v>22</v>
      </c>
      <c r="AD605" s="842" t="s">
        <v>22</v>
      </c>
      <c r="AE605" s="1762" t="s">
        <v>22</v>
      </c>
      <c r="AF605" s="842" t="s">
        <v>22</v>
      </c>
      <c r="AG605" s="2943" t="s">
        <v>22</v>
      </c>
      <c r="AH605" s="2940" t="s">
        <v>22</v>
      </c>
      <c r="AI605" s="1762" t="s">
        <v>22</v>
      </c>
      <c r="AJ605" s="842" t="s">
        <v>22</v>
      </c>
      <c r="AK605" s="1762" t="s">
        <v>22</v>
      </c>
      <c r="AL605" s="842" t="s">
        <v>22</v>
      </c>
      <c r="AM605" s="1549" t="s">
        <v>1043</v>
      </c>
      <c r="AN605" s="1659"/>
      <c r="AO605" s="1659"/>
      <c r="AP605" s="1659"/>
      <c r="AQ605" s="1659"/>
      <c r="AR605" s="1659"/>
      <c r="AS605" s="1659"/>
      <c r="AT605" s="1659"/>
      <c r="AU605" s="1659"/>
      <c r="AV605" s="1659"/>
      <c r="AW605" s="699"/>
      <c r="AX605" s="1659">
        <v>0</v>
      </c>
    </row>
    <row s="1874" customFormat="1" customHeight="1" ht="22.5">
      <c r="A606" s="1659"/>
      <c r="B606" s="2421" t="s">
        <v>1275</v>
      </c>
      <c r="C606" s="2422" t="s">
        <v>104</v>
      </c>
      <c r="D606" s="713" t="str">
        <f>B606&amp;".1"</f>
        <v>3.190.1</v>
      </c>
      <c r="E606" s="1691" t="s">
        <v>1039</v>
      </c>
      <c r="F606" s="2287" t="s">
        <v>390</v>
      </c>
      <c r="G606" s="2377" t="s">
        <v>22</v>
      </c>
      <c r="H606" s="842" t="s">
        <v>22</v>
      </c>
      <c r="I606" s="2377" t="s">
        <v>22</v>
      </c>
      <c r="J606" s="842" t="s">
        <v>22</v>
      </c>
      <c r="K606" s="2377" t="s">
        <v>22</v>
      </c>
      <c r="L606" s="842" t="s">
        <v>22</v>
      </c>
      <c r="M606" s="2942" t="s">
        <v>22</v>
      </c>
      <c r="N606" s="2940" t="s">
        <v>22</v>
      </c>
      <c r="O606" s="2377" t="s">
        <v>22</v>
      </c>
      <c r="P606" s="842" t="s">
        <v>22</v>
      </c>
      <c r="Q606" s="2377" t="s">
        <v>1059</v>
      </c>
      <c r="R606" s="842" t="s">
        <v>22</v>
      </c>
      <c r="S606" s="2377"/>
      <c r="T606" s="842" t="s">
        <v>22</v>
      </c>
      <c r="U606" s="2377" t="s">
        <v>22</v>
      </c>
      <c r="V606" s="842" t="s">
        <v>22</v>
      </c>
      <c r="W606" s="2377" t="s">
        <v>22</v>
      </c>
      <c r="X606" s="842" t="s">
        <v>22</v>
      </c>
      <c r="Y606" s="2377" t="s">
        <v>22</v>
      </c>
      <c r="Z606" s="842" t="s">
        <v>22</v>
      </c>
      <c r="AA606" s="2942" t="s">
        <v>22</v>
      </c>
      <c r="AB606" s="2940" t="s">
        <v>22</v>
      </c>
      <c r="AC606" s="2377" t="s">
        <v>22</v>
      </c>
      <c r="AD606" s="842" t="s">
        <v>22</v>
      </c>
      <c r="AE606" s="2377" t="s">
        <v>22</v>
      </c>
      <c r="AF606" s="842" t="s">
        <v>22</v>
      </c>
      <c r="AG606" s="2942" t="s">
        <v>22</v>
      </c>
      <c r="AH606" s="2940" t="s">
        <v>22</v>
      </c>
      <c r="AI606" s="2377" t="s">
        <v>22</v>
      </c>
      <c r="AJ606" s="842" t="s">
        <v>22</v>
      </c>
      <c r="AK606" s="2377" t="s">
        <v>22</v>
      </c>
      <c r="AL606" s="842" t="s">
        <v>22</v>
      </c>
      <c r="AM606" s="1549"/>
      <c r="AN606" s="1659"/>
      <c r="AO606" s="1659"/>
      <c r="AP606" s="1659"/>
      <c r="AQ606" s="1659"/>
      <c r="AR606" s="1659"/>
      <c r="AS606" s="1659"/>
      <c r="AT606" s="1659"/>
      <c r="AU606" s="1659"/>
      <c r="AV606" s="1659"/>
      <c r="AW606" s="699"/>
      <c r="AX606" s="1659">
        <v>0</v>
      </c>
    </row>
    <row s="1874" customFormat="1" customHeight="1" ht="15">
      <c r="A607" s="1659"/>
      <c r="B607" s="2421"/>
      <c r="C607" s="2422"/>
      <c r="D607" s="713" t="str">
        <f>B606&amp;".2"</f>
        <v>3.190.2</v>
      </c>
      <c r="E607" s="1691" t="s">
        <v>1040</v>
      </c>
      <c r="F607" s="2287" t="s">
        <v>390</v>
      </c>
      <c r="G607" s="1762" t="s">
        <v>22</v>
      </c>
      <c r="H607" s="842" t="s">
        <v>22</v>
      </c>
      <c r="I607" s="1762" t="s">
        <v>22</v>
      </c>
      <c r="J607" s="842" t="s">
        <v>22</v>
      </c>
      <c r="K607" s="1762" t="s">
        <v>22</v>
      </c>
      <c r="L607" s="842" t="s">
        <v>22</v>
      </c>
      <c r="M607" s="2943" t="s">
        <v>22</v>
      </c>
      <c r="N607" s="2940" t="s">
        <v>22</v>
      </c>
      <c r="O607" s="1762" t="s">
        <v>22</v>
      </c>
      <c r="P607" s="842" t="s">
        <v>22</v>
      </c>
      <c r="Q607" s="1762">
        <v>46142</v>
      </c>
      <c r="R607" s="842" t="s">
        <v>22</v>
      </c>
      <c r="S607" s="1762"/>
      <c r="T607" s="842" t="s">
        <v>22</v>
      </c>
      <c r="U607" s="1762" t="s">
        <v>22</v>
      </c>
      <c r="V607" s="842" t="s">
        <v>22</v>
      </c>
      <c r="W607" s="1762" t="s">
        <v>22</v>
      </c>
      <c r="X607" s="842" t="s">
        <v>22</v>
      </c>
      <c r="Y607" s="1762" t="s">
        <v>22</v>
      </c>
      <c r="Z607" s="842" t="s">
        <v>22</v>
      </c>
      <c r="AA607" s="2943" t="s">
        <v>22</v>
      </c>
      <c r="AB607" s="2940" t="s">
        <v>22</v>
      </c>
      <c r="AC607" s="1762" t="s">
        <v>22</v>
      </c>
      <c r="AD607" s="842" t="s">
        <v>22</v>
      </c>
      <c r="AE607" s="1762" t="s">
        <v>22</v>
      </c>
      <c r="AF607" s="842" t="s">
        <v>22</v>
      </c>
      <c r="AG607" s="2943" t="s">
        <v>22</v>
      </c>
      <c r="AH607" s="2940" t="s">
        <v>22</v>
      </c>
      <c r="AI607" s="1762" t="s">
        <v>22</v>
      </c>
      <c r="AJ607" s="842" t="s">
        <v>22</v>
      </c>
      <c r="AK607" s="1762" t="s">
        <v>22</v>
      </c>
      <c r="AL607" s="842" t="s">
        <v>22</v>
      </c>
      <c r="AM607" s="1549" t="s">
        <v>1041</v>
      </c>
      <c r="AN607" s="1659"/>
      <c r="AO607" s="1659"/>
      <c r="AP607" s="1659"/>
      <c r="AQ607" s="1659"/>
      <c r="AR607" s="1659"/>
      <c r="AS607" s="1659"/>
      <c r="AT607" s="1659"/>
      <c r="AU607" s="1659"/>
      <c r="AV607" s="1659"/>
      <c r="AW607" s="699"/>
      <c r="AX607" s="1659">
        <v>0</v>
      </c>
    </row>
    <row s="1874" customFormat="1" customHeight="1" ht="15">
      <c r="A608" s="1659"/>
      <c r="B608" s="2421"/>
      <c r="C608" s="2422"/>
      <c r="D608" s="713" t="str">
        <f>B606&amp;".3"</f>
        <v>3.190.3</v>
      </c>
      <c r="E608" s="1691" t="s">
        <v>1042</v>
      </c>
      <c r="F608" s="2287" t="s">
        <v>390</v>
      </c>
      <c r="G608" s="1762" t="s">
        <v>22</v>
      </c>
      <c r="H608" s="842" t="s">
        <v>22</v>
      </c>
      <c r="I608" s="1762" t="s">
        <v>22</v>
      </c>
      <c r="J608" s="842" t="s">
        <v>22</v>
      </c>
      <c r="K608" s="1762" t="s">
        <v>22</v>
      </c>
      <c r="L608" s="842" t="s">
        <v>22</v>
      </c>
      <c r="M608" s="2943" t="s">
        <v>22</v>
      </c>
      <c r="N608" s="2940" t="s">
        <v>22</v>
      </c>
      <c r="O608" s="1762" t="s">
        <v>22</v>
      </c>
      <c r="P608" s="842" t="s">
        <v>22</v>
      </c>
      <c r="Q608" s="1762" t="s">
        <v>22</v>
      </c>
      <c r="R608" s="842" t="s">
        <v>22</v>
      </c>
      <c r="S608" s="1762"/>
      <c r="T608" s="842" t="s">
        <v>22</v>
      </c>
      <c r="U608" s="1762" t="s">
        <v>22</v>
      </c>
      <c r="V608" s="842" t="s">
        <v>22</v>
      </c>
      <c r="W608" s="1762" t="s">
        <v>22</v>
      </c>
      <c r="X608" s="842" t="s">
        <v>22</v>
      </c>
      <c r="Y608" s="1762" t="s">
        <v>22</v>
      </c>
      <c r="Z608" s="842" t="s">
        <v>22</v>
      </c>
      <c r="AA608" s="2943" t="s">
        <v>22</v>
      </c>
      <c r="AB608" s="2940" t="s">
        <v>22</v>
      </c>
      <c r="AC608" s="1762" t="s">
        <v>22</v>
      </c>
      <c r="AD608" s="842" t="s">
        <v>22</v>
      </c>
      <c r="AE608" s="1762" t="s">
        <v>22</v>
      </c>
      <c r="AF608" s="842" t="s">
        <v>22</v>
      </c>
      <c r="AG608" s="2943" t="s">
        <v>22</v>
      </c>
      <c r="AH608" s="2940" t="s">
        <v>22</v>
      </c>
      <c r="AI608" s="1762" t="s">
        <v>22</v>
      </c>
      <c r="AJ608" s="842" t="s">
        <v>22</v>
      </c>
      <c r="AK608" s="1762" t="s">
        <v>22</v>
      </c>
      <c r="AL608" s="842" t="s">
        <v>22</v>
      </c>
      <c r="AM608" s="1549" t="s">
        <v>1043</v>
      </c>
      <c r="AN608" s="1659"/>
      <c r="AO608" s="1659"/>
      <c r="AP608" s="1659"/>
      <c r="AQ608" s="1659"/>
      <c r="AR608" s="1659"/>
      <c r="AS608" s="1659"/>
      <c r="AT608" s="1659"/>
      <c r="AU608" s="1659"/>
      <c r="AV608" s="1659"/>
      <c r="AW608" s="699"/>
      <c r="AX608" s="1659">
        <v>0</v>
      </c>
    </row>
    <row s="1874" customFormat="1" customHeight="1" ht="22.5">
      <c r="A609" s="1659"/>
      <c r="B609" s="2421" t="s">
        <v>1276</v>
      </c>
      <c r="C609" s="2422" t="s">
        <v>104</v>
      </c>
      <c r="D609" s="713" t="str">
        <f>B609&amp;".1"</f>
        <v>3.191.1</v>
      </c>
      <c r="E609" s="1691" t="s">
        <v>1039</v>
      </c>
      <c r="F609" s="2287" t="s">
        <v>390</v>
      </c>
      <c r="G609" s="2377" t="s">
        <v>22</v>
      </c>
      <c r="H609" s="842" t="s">
        <v>22</v>
      </c>
      <c r="I609" s="2377" t="s">
        <v>22</v>
      </c>
      <c r="J609" s="842" t="s">
        <v>22</v>
      </c>
      <c r="K609" s="2377" t="s">
        <v>22</v>
      </c>
      <c r="L609" s="842" t="s">
        <v>22</v>
      </c>
      <c r="M609" s="2942" t="s">
        <v>22</v>
      </c>
      <c r="N609" s="2940" t="s">
        <v>22</v>
      </c>
      <c r="O609" s="2377" t="s">
        <v>22</v>
      </c>
      <c r="P609" s="842" t="s">
        <v>22</v>
      </c>
      <c r="Q609" s="2377" t="s">
        <v>1059</v>
      </c>
      <c r="R609" s="842" t="s">
        <v>22</v>
      </c>
      <c r="S609" s="2377"/>
      <c r="T609" s="842" t="s">
        <v>22</v>
      </c>
      <c r="U609" s="2377" t="s">
        <v>22</v>
      </c>
      <c r="V609" s="842" t="s">
        <v>22</v>
      </c>
      <c r="W609" s="2377" t="s">
        <v>22</v>
      </c>
      <c r="X609" s="842" t="s">
        <v>22</v>
      </c>
      <c r="Y609" s="2377" t="s">
        <v>22</v>
      </c>
      <c r="Z609" s="842" t="s">
        <v>22</v>
      </c>
      <c r="AA609" s="2942" t="s">
        <v>22</v>
      </c>
      <c r="AB609" s="2940" t="s">
        <v>22</v>
      </c>
      <c r="AC609" s="2377" t="s">
        <v>22</v>
      </c>
      <c r="AD609" s="842" t="s">
        <v>22</v>
      </c>
      <c r="AE609" s="2377" t="s">
        <v>22</v>
      </c>
      <c r="AF609" s="842" t="s">
        <v>22</v>
      </c>
      <c r="AG609" s="2942" t="s">
        <v>22</v>
      </c>
      <c r="AH609" s="2940" t="s">
        <v>22</v>
      </c>
      <c r="AI609" s="2377" t="s">
        <v>22</v>
      </c>
      <c r="AJ609" s="842" t="s">
        <v>22</v>
      </c>
      <c r="AK609" s="2377" t="s">
        <v>22</v>
      </c>
      <c r="AL609" s="842" t="s">
        <v>22</v>
      </c>
      <c r="AM609" s="1549"/>
      <c r="AN609" s="1659"/>
      <c r="AO609" s="1659"/>
      <c r="AP609" s="1659"/>
      <c r="AQ609" s="1659"/>
      <c r="AR609" s="1659"/>
      <c r="AS609" s="1659"/>
      <c r="AT609" s="1659"/>
      <c r="AU609" s="1659"/>
      <c r="AV609" s="1659"/>
      <c r="AW609" s="699"/>
      <c r="AX609" s="1659">
        <v>0</v>
      </c>
    </row>
    <row s="1874" customFormat="1" customHeight="1" ht="15">
      <c r="A610" s="1659"/>
      <c r="B610" s="2421"/>
      <c r="C610" s="2422"/>
      <c r="D610" s="713" t="str">
        <f>B609&amp;".2"</f>
        <v>3.191.2</v>
      </c>
      <c r="E610" s="1691" t="s">
        <v>1040</v>
      </c>
      <c r="F610" s="2287" t="s">
        <v>390</v>
      </c>
      <c r="G610" s="1762" t="s">
        <v>22</v>
      </c>
      <c r="H610" s="842" t="s">
        <v>22</v>
      </c>
      <c r="I610" s="1762" t="s">
        <v>22</v>
      </c>
      <c r="J610" s="842" t="s">
        <v>22</v>
      </c>
      <c r="K610" s="1762" t="s">
        <v>22</v>
      </c>
      <c r="L610" s="842" t="s">
        <v>22</v>
      </c>
      <c r="M610" s="2943" t="s">
        <v>22</v>
      </c>
      <c r="N610" s="2940" t="s">
        <v>22</v>
      </c>
      <c r="O610" s="1762" t="s">
        <v>22</v>
      </c>
      <c r="P610" s="842" t="s">
        <v>22</v>
      </c>
      <c r="Q610" s="1762">
        <v>46142</v>
      </c>
      <c r="R610" s="842" t="s">
        <v>22</v>
      </c>
      <c r="S610" s="1762"/>
      <c r="T610" s="842" t="s">
        <v>22</v>
      </c>
      <c r="U610" s="1762" t="s">
        <v>22</v>
      </c>
      <c r="V610" s="842" t="s">
        <v>22</v>
      </c>
      <c r="W610" s="1762" t="s">
        <v>22</v>
      </c>
      <c r="X610" s="842" t="s">
        <v>22</v>
      </c>
      <c r="Y610" s="1762" t="s">
        <v>22</v>
      </c>
      <c r="Z610" s="842" t="s">
        <v>22</v>
      </c>
      <c r="AA610" s="2943" t="s">
        <v>22</v>
      </c>
      <c r="AB610" s="2940" t="s">
        <v>22</v>
      </c>
      <c r="AC610" s="1762" t="s">
        <v>22</v>
      </c>
      <c r="AD610" s="842" t="s">
        <v>22</v>
      </c>
      <c r="AE610" s="1762" t="s">
        <v>22</v>
      </c>
      <c r="AF610" s="842" t="s">
        <v>22</v>
      </c>
      <c r="AG610" s="2943" t="s">
        <v>22</v>
      </c>
      <c r="AH610" s="2940" t="s">
        <v>22</v>
      </c>
      <c r="AI610" s="1762" t="s">
        <v>22</v>
      </c>
      <c r="AJ610" s="842" t="s">
        <v>22</v>
      </c>
      <c r="AK610" s="1762" t="s">
        <v>22</v>
      </c>
      <c r="AL610" s="842" t="s">
        <v>22</v>
      </c>
      <c r="AM610" s="1549" t="s">
        <v>1041</v>
      </c>
      <c r="AN610" s="1659"/>
      <c r="AO610" s="1659"/>
      <c r="AP610" s="1659"/>
      <c r="AQ610" s="1659"/>
      <c r="AR610" s="1659"/>
      <c r="AS610" s="1659"/>
      <c r="AT610" s="1659"/>
      <c r="AU610" s="1659"/>
      <c r="AV610" s="1659"/>
      <c r="AW610" s="699"/>
      <c r="AX610" s="1659">
        <v>0</v>
      </c>
    </row>
    <row s="1874" customFormat="1" customHeight="1" ht="15">
      <c r="A611" s="1659"/>
      <c r="B611" s="2421"/>
      <c r="C611" s="2422"/>
      <c r="D611" s="713" t="str">
        <f>B609&amp;".3"</f>
        <v>3.191.3</v>
      </c>
      <c r="E611" s="1691" t="s">
        <v>1042</v>
      </c>
      <c r="F611" s="2287" t="s">
        <v>390</v>
      </c>
      <c r="G611" s="1762" t="s">
        <v>22</v>
      </c>
      <c r="H611" s="842" t="s">
        <v>22</v>
      </c>
      <c r="I611" s="1762" t="s">
        <v>22</v>
      </c>
      <c r="J611" s="842" t="s">
        <v>22</v>
      </c>
      <c r="K611" s="1762" t="s">
        <v>22</v>
      </c>
      <c r="L611" s="842" t="s">
        <v>22</v>
      </c>
      <c r="M611" s="2943" t="s">
        <v>22</v>
      </c>
      <c r="N611" s="2940" t="s">
        <v>22</v>
      </c>
      <c r="O611" s="1762" t="s">
        <v>22</v>
      </c>
      <c r="P611" s="842" t="s">
        <v>22</v>
      </c>
      <c r="Q611" s="1762" t="s">
        <v>22</v>
      </c>
      <c r="R611" s="842" t="s">
        <v>22</v>
      </c>
      <c r="S611" s="1762"/>
      <c r="T611" s="842" t="s">
        <v>22</v>
      </c>
      <c r="U611" s="1762" t="s">
        <v>22</v>
      </c>
      <c r="V611" s="842" t="s">
        <v>22</v>
      </c>
      <c r="W611" s="1762" t="s">
        <v>22</v>
      </c>
      <c r="X611" s="842" t="s">
        <v>22</v>
      </c>
      <c r="Y611" s="1762" t="s">
        <v>22</v>
      </c>
      <c r="Z611" s="842" t="s">
        <v>22</v>
      </c>
      <c r="AA611" s="2943" t="s">
        <v>22</v>
      </c>
      <c r="AB611" s="2940" t="s">
        <v>22</v>
      </c>
      <c r="AC611" s="1762" t="s">
        <v>22</v>
      </c>
      <c r="AD611" s="842" t="s">
        <v>22</v>
      </c>
      <c r="AE611" s="1762" t="s">
        <v>22</v>
      </c>
      <c r="AF611" s="842" t="s">
        <v>22</v>
      </c>
      <c r="AG611" s="2943" t="s">
        <v>22</v>
      </c>
      <c r="AH611" s="2940" t="s">
        <v>22</v>
      </c>
      <c r="AI611" s="1762" t="s">
        <v>22</v>
      </c>
      <c r="AJ611" s="842" t="s">
        <v>22</v>
      </c>
      <c r="AK611" s="1762" t="s">
        <v>22</v>
      </c>
      <c r="AL611" s="842" t="s">
        <v>22</v>
      </c>
      <c r="AM611" s="1549" t="s">
        <v>1043</v>
      </c>
      <c r="AN611" s="1659"/>
      <c r="AO611" s="1659"/>
      <c r="AP611" s="1659"/>
      <c r="AQ611" s="1659"/>
      <c r="AR611" s="1659"/>
      <c r="AS611" s="1659"/>
      <c r="AT611" s="1659"/>
      <c r="AU611" s="1659"/>
      <c r="AV611" s="1659"/>
      <c r="AW611" s="699"/>
      <c r="AX611" s="1659">
        <v>0</v>
      </c>
    </row>
    <row s="1874" customFormat="1" customHeight="1" ht="22.5">
      <c r="A612" s="1659"/>
      <c r="B612" s="2421" t="s">
        <v>1277</v>
      </c>
      <c r="C612" s="2422" t="s">
        <v>104</v>
      </c>
      <c r="D612" s="713" t="str">
        <f>B612&amp;".1"</f>
        <v>3.192.1</v>
      </c>
      <c r="E612" s="1691" t="s">
        <v>1039</v>
      </c>
      <c r="F612" s="2287" t="s">
        <v>390</v>
      </c>
      <c r="G612" s="2377" t="s">
        <v>22</v>
      </c>
      <c r="H612" s="842" t="s">
        <v>22</v>
      </c>
      <c r="I612" s="2377" t="s">
        <v>22</v>
      </c>
      <c r="J612" s="842" t="s">
        <v>22</v>
      </c>
      <c r="K612" s="2377" t="s">
        <v>22</v>
      </c>
      <c r="L612" s="842" t="s">
        <v>22</v>
      </c>
      <c r="M612" s="2942" t="s">
        <v>22</v>
      </c>
      <c r="N612" s="2940" t="s">
        <v>22</v>
      </c>
      <c r="O612" s="2377" t="s">
        <v>22</v>
      </c>
      <c r="P612" s="842" t="s">
        <v>22</v>
      </c>
      <c r="Q612" s="2377" t="s">
        <v>1059</v>
      </c>
      <c r="R612" s="842" t="s">
        <v>22</v>
      </c>
      <c r="S612" s="2377"/>
      <c r="T612" s="842" t="s">
        <v>22</v>
      </c>
      <c r="U612" s="2377" t="s">
        <v>22</v>
      </c>
      <c r="V612" s="842" t="s">
        <v>22</v>
      </c>
      <c r="W612" s="2377" t="s">
        <v>22</v>
      </c>
      <c r="X612" s="842" t="s">
        <v>22</v>
      </c>
      <c r="Y612" s="2377" t="s">
        <v>22</v>
      </c>
      <c r="Z612" s="842" t="s">
        <v>22</v>
      </c>
      <c r="AA612" s="2942" t="s">
        <v>22</v>
      </c>
      <c r="AB612" s="2940" t="s">
        <v>22</v>
      </c>
      <c r="AC612" s="2377" t="s">
        <v>22</v>
      </c>
      <c r="AD612" s="842" t="s">
        <v>22</v>
      </c>
      <c r="AE612" s="2377" t="s">
        <v>22</v>
      </c>
      <c r="AF612" s="842" t="s">
        <v>22</v>
      </c>
      <c r="AG612" s="2942" t="s">
        <v>22</v>
      </c>
      <c r="AH612" s="2940" t="s">
        <v>22</v>
      </c>
      <c r="AI612" s="2377" t="s">
        <v>22</v>
      </c>
      <c r="AJ612" s="842" t="s">
        <v>22</v>
      </c>
      <c r="AK612" s="2377" t="s">
        <v>22</v>
      </c>
      <c r="AL612" s="842" t="s">
        <v>22</v>
      </c>
      <c r="AM612" s="1549"/>
      <c r="AN612" s="1659"/>
      <c r="AO612" s="1659"/>
      <c r="AP612" s="1659"/>
      <c r="AQ612" s="1659"/>
      <c r="AR612" s="1659"/>
      <c r="AS612" s="1659"/>
      <c r="AT612" s="1659"/>
      <c r="AU612" s="1659"/>
      <c r="AV612" s="1659"/>
      <c r="AW612" s="699"/>
      <c r="AX612" s="1659">
        <v>0</v>
      </c>
    </row>
    <row s="1874" customFormat="1" customHeight="1" ht="15">
      <c r="A613" s="1659"/>
      <c r="B613" s="2421"/>
      <c r="C613" s="2422"/>
      <c r="D613" s="713" t="str">
        <f>B612&amp;".2"</f>
        <v>3.192.2</v>
      </c>
      <c r="E613" s="1691" t="s">
        <v>1040</v>
      </c>
      <c r="F613" s="2287" t="s">
        <v>390</v>
      </c>
      <c r="G613" s="1762" t="s">
        <v>22</v>
      </c>
      <c r="H613" s="842" t="s">
        <v>22</v>
      </c>
      <c r="I613" s="1762" t="s">
        <v>22</v>
      </c>
      <c r="J613" s="842" t="s">
        <v>22</v>
      </c>
      <c r="K613" s="1762" t="s">
        <v>22</v>
      </c>
      <c r="L613" s="842" t="s">
        <v>22</v>
      </c>
      <c r="M613" s="2943" t="s">
        <v>22</v>
      </c>
      <c r="N613" s="2940" t="s">
        <v>22</v>
      </c>
      <c r="O613" s="1762" t="s">
        <v>22</v>
      </c>
      <c r="P613" s="842" t="s">
        <v>22</v>
      </c>
      <c r="Q613" s="1762">
        <v>46142</v>
      </c>
      <c r="R613" s="842" t="s">
        <v>22</v>
      </c>
      <c r="S613" s="1762"/>
      <c r="T613" s="842" t="s">
        <v>22</v>
      </c>
      <c r="U613" s="1762" t="s">
        <v>22</v>
      </c>
      <c r="V613" s="842" t="s">
        <v>22</v>
      </c>
      <c r="W613" s="1762" t="s">
        <v>22</v>
      </c>
      <c r="X613" s="842" t="s">
        <v>22</v>
      </c>
      <c r="Y613" s="1762" t="s">
        <v>22</v>
      </c>
      <c r="Z613" s="842" t="s">
        <v>22</v>
      </c>
      <c r="AA613" s="2943" t="s">
        <v>22</v>
      </c>
      <c r="AB613" s="2940" t="s">
        <v>22</v>
      </c>
      <c r="AC613" s="1762" t="s">
        <v>22</v>
      </c>
      <c r="AD613" s="842" t="s">
        <v>22</v>
      </c>
      <c r="AE613" s="1762" t="s">
        <v>22</v>
      </c>
      <c r="AF613" s="842" t="s">
        <v>22</v>
      </c>
      <c r="AG613" s="2943" t="s">
        <v>22</v>
      </c>
      <c r="AH613" s="2940" t="s">
        <v>22</v>
      </c>
      <c r="AI613" s="1762" t="s">
        <v>22</v>
      </c>
      <c r="AJ613" s="842" t="s">
        <v>22</v>
      </c>
      <c r="AK613" s="1762" t="s">
        <v>22</v>
      </c>
      <c r="AL613" s="842" t="s">
        <v>22</v>
      </c>
      <c r="AM613" s="1549" t="s">
        <v>1041</v>
      </c>
      <c r="AN613" s="1659"/>
      <c r="AO613" s="1659"/>
      <c r="AP613" s="1659"/>
      <c r="AQ613" s="1659"/>
      <c r="AR613" s="1659"/>
      <c r="AS613" s="1659"/>
      <c r="AT613" s="1659"/>
      <c r="AU613" s="1659"/>
      <c r="AV613" s="1659"/>
      <c r="AW613" s="699"/>
      <c r="AX613" s="1659">
        <v>0</v>
      </c>
    </row>
    <row s="1874" customFormat="1" customHeight="1" ht="15">
      <c r="A614" s="1659"/>
      <c r="B614" s="2421"/>
      <c r="C614" s="2422"/>
      <c r="D614" s="713" t="str">
        <f>B612&amp;".3"</f>
        <v>3.192.3</v>
      </c>
      <c r="E614" s="1691" t="s">
        <v>1042</v>
      </c>
      <c r="F614" s="2287" t="s">
        <v>390</v>
      </c>
      <c r="G614" s="1762" t="s">
        <v>22</v>
      </c>
      <c r="H614" s="842" t="s">
        <v>22</v>
      </c>
      <c r="I614" s="1762" t="s">
        <v>22</v>
      </c>
      <c r="J614" s="842" t="s">
        <v>22</v>
      </c>
      <c r="K614" s="1762" t="s">
        <v>22</v>
      </c>
      <c r="L614" s="842" t="s">
        <v>22</v>
      </c>
      <c r="M614" s="2943" t="s">
        <v>22</v>
      </c>
      <c r="N614" s="2940" t="s">
        <v>22</v>
      </c>
      <c r="O614" s="1762" t="s">
        <v>22</v>
      </c>
      <c r="P614" s="842" t="s">
        <v>22</v>
      </c>
      <c r="Q614" s="1762" t="s">
        <v>22</v>
      </c>
      <c r="R614" s="842" t="s">
        <v>22</v>
      </c>
      <c r="S614" s="1762"/>
      <c r="T614" s="842" t="s">
        <v>22</v>
      </c>
      <c r="U614" s="1762" t="s">
        <v>22</v>
      </c>
      <c r="V614" s="842" t="s">
        <v>22</v>
      </c>
      <c r="W614" s="1762" t="s">
        <v>22</v>
      </c>
      <c r="X614" s="842" t="s">
        <v>22</v>
      </c>
      <c r="Y614" s="1762" t="s">
        <v>22</v>
      </c>
      <c r="Z614" s="842" t="s">
        <v>22</v>
      </c>
      <c r="AA614" s="2943" t="s">
        <v>22</v>
      </c>
      <c r="AB614" s="2940" t="s">
        <v>22</v>
      </c>
      <c r="AC614" s="1762" t="s">
        <v>22</v>
      </c>
      <c r="AD614" s="842" t="s">
        <v>22</v>
      </c>
      <c r="AE614" s="1762" t="s">
        <v>22</v>
      </c>
      <c r="AF614" s="842" t="s">
        <v>22</v>
      </c>
      <c r="AG614" s="2943" t="s">
        <v>22</v>
      </c>
      <c r="AH614" s="2940" t="s">
        <v>22</v>
      </c>
      <c r="AI614" s="1762" t="s">
        <v>22</v>
      </c>
      <c r="AJ614" s="842" t="s">
        <v>22</v>
      </c>
      <c r="AK614" s="1762" t="s">
        <v>22</v>
      </c>
      <c r="AL614" s="842" t="s">
        <v>22</v>
      </c>
      <c r="AM614" s="1549" t="s">
        <v>1043</v>
      </c>
      <c r="AN614" s="1659"/>
      <c r="AO614" s="1659"/>
      <c r="AP614" s="1659"/>
      <c r="AQ614" s="1659"/>
      <c r="AR614" s="1659"/>
      <c r="AS614" s="1659"/>
      <c r="AT614" s="1659"/>
      <c r="AU614" s="1659"/>
      <c r="AV614" s="1659"/>
      <c r="AW614" s="699"/>
      <c r="AX614" s="1659">
        <v>0</v>
      </c>
    </row>
    <row s="1874" customFormat="1" customHeight="1" ht="22.5">
      <c r="A615" s="1659"/>
      <c r="B615" s="2421" t="s">
        <v>1278</v>
      </c>
      <c r="C615" s="2422" t="s">
        <v>104</v>
      </c>
      <c r="D615" s="713" t="str">
        <f>B615&amp;".1"</f>
        <v>3.193.1</v>
      </c>
      <c r="E615" s="1691" t="s">
        <v>1039</v>
      </c>
      <c r="F615" s="2287" t="s">
        <v>390</v>
      </c>
      <c r="G615" s="2377" t="s">
        <v>22</v>
      </c>
      <c r="H615" s="842" t="s">
        <v>22</v>
      </c>
      <c r="I615" s="2377" t="s">
        <v>22</v>
      </c>
      <c r="J615" s="842" t="s">
        <v>22</v>
      </c>
      <c r="K615" s="2377" t="s">
        <v>22</v>
      </c>
      <c r="L615" s="842" t="s">
        <v>22</v>
      </c>
      <c r="M615" s="2942" t="s">
        <v>22</v>
      </c>
      <c r="N615" s="2940" t="s">
        <v>22</v>
      </c>
      <c r="O615" s="2377" t="s">
        <v>22</v>
      </c>
      <c r="P615" s="842" t="s">
        <v>22</v>
      </c>
      <c r="Q615" s="2377" t="s">
        <v>1059</v>
      </c>
      <c r="R615" s="842" t="s">
        <v>22</v>
      </c>
      <c r="S615" s="2377"/>
      <c r="T615" s="842" t="s">
        <v>22</v>
      </c>
      <c r="U615" s="2377" t="s">
        <v>22</v>
      </c>
      <c r="V615" s="842" t="s">
        <v>22</v>
      </c>
      <c r="W615" s="2377" t="s">
        <v>22</v>
      </c>
      <c r="X615" s="842" t="s">
        <v>22</v>
      </c>
      <c r="Y615" s="2377" t="s">
        <v>22</v>
      </c>
      <c r="Z615" s="842" t="s">
        <v>22</v>
      </c>
      <c r="AA615" s="2942" t="s">
        <v>22</v>
      </c>
      <c r="AB615" s="2940" t="s">
        <v>22</v>
      </c>
      <c r="AC615" s="2377" t="s">
        <v>22</v>
      </c>
      <c r="AD615" s="842" t="s">
        <v>22</v>
      </c>
      <c r="AE615" s="2377" t="s">
        <v>22</v>
      </c>
      <c r="AF615" s="842" t="s">
        <v>22</v>
      </c>
      <c r="AG615" s="2942" t="s">
        <v>22</v>
      </c>
      <c r="AH615" s="2940" t="s">
        <v>22</v>
      </c>
      <c r="AI615" s="2377" t="s">
        <v>22</v>
      </c>
      <c r="AJ615" s="842" t="s">
        <v>22</v>
      </c>
      <c r="AK615" s="2377" t="s">
        <v>22</v>
      </c>
      <c r="AL615" s="842" t="s">
        <v>22</v>
      </c>
      <c r="AM615" s="1549"/>
      <c r="AN615" s="1659"/>
      <c r="AO615" s="1659"/>
      <c r="AP615" s="1659"/>
      <c r="AQ615" s="1659"/>
      <c r="AR615" s="1659"/>
      <c r="AS615" s="1659"/>
      <c r="AT615" s="1659"/>
      <c r="AU615" s="1659"/>
      <c r="AV615" s="1659"/>
      <c r="AW615" s="699"/>
      <c r="AX615" s="1659">
        <v>0</v>
      </c>
    </row>
    <row s="1874" customFormat="1" customHeight="1" ht="15">
      <c r="A616" s="1659"/>
      <c r="B616" s="2421"/>
      <c r="C616" s="2422"/>
      <c r="D616" s="713" t="str">
        <f>B615&amp;".2"</f>
        <v>3.193.2</v>
      </c>
      <c r="E616" s="1691" t="s">
        <v>1040</v>
      </c>
      <c r="F616" s="2287" t="s">
        <v>390</v>
      </c>
      <c r="G616" s="1762" t="s">
        <v>22</v>
      </c>
      <c r="H616" s="842" t="s">
        <v>22</v>
      </c>
      <c r="I616" s="1762" t="s">
        <v>22</v>
      </c>
      <c r="J616" s="842" t="s">
        <v>22</v>
      </c>
      <c r="K616" s="1762" t="s">
        <v>22</v>
      </c>
      <c r="L616" s="842" t="s">
        <v>22</v>
      </c>
      <c r="M616" s="2943" t="s">
        <v>22</v>
      </c>
      <c r="N616" s="2940" t="s">
        <v>22</v>
      </c>
      <c r="O616" s="1762" t="s">
        <v>22</v>
      </c>
      <c r="P616" s="842" t="s">
        <v>22</v>
      </c>
      <c r="Q616" s="1762">
        <v>46142</v>
      </c>
      <c r="R616" s="842" t="s">
        <v>22</v>
      </c>
      <c r="S616" s="1762"/>
      <c r="T616" s="842" t="s">
        <v>22</v>
      </c>
      <c r="U616" s="1762" t="s">
        <v>22</v>
      </c>
      <c r="V616" s="842" t="s">
        <v>22</v>
      </c>
      <c r="W616" s="1762" t="s">
        <v>22</v>
      </c>
      <c r="X616" s="842" t="s">
        <v>22</v>
      </c>
      <c r="Y616" s="1762" t="s">
        <v>22</v>
      </c>
      <c r="Z616" s="842" t="s">
        <v>22</v>
      </c>
      <c r="AA616" s="2943" t="s">
        <v>22</v>
      </c>
      <c r="AB616" s="2940" t="s">
        <v>22</v>
      </c>
      <c r="AC616" s="1762" t="s">
        <v>22</v>
      </c>
      <c r="AD616" s="842" t="s">
        <v>22</v>
      </c>
      <c r="AE616" s="1762" t="s">
        <v>22</v>
      </c>
      <c r="AF616" s="842" t="s">
        <v>22</v>
      </c>
      <c r="AG616" s="2943" t="s">
        <v>22</v>
      </c>
      <c r="AH616" s="2940" t="s">
        <v>22</v>
      </c>
      <c r="AI616" s="1762" t="s">
        <v>22</v>
      </c>
      <c r="AJ616" s="842" t="s">
        <v>22</v>
      </c>
      <c r="AK616" s="1762" t="s">
        <v>22</v>
      </c>
      <c r="AL616" s="842" t="s">
        <v>22</v>
      </c>
      <c r="AM616" s="1549" t="s">
        <v>1041</v>
      </c>
      <c r="AN616" s="1659"/>
      <c r="AO616" s="1659"/>
      <c r="AP616" s="1659"/>
      <c r="AQ616" s="1659"/>
      <c r="AR616" s="1659"/>
      <c r="AS616" s="1659"/>
      <c r="AT616" s="1659"/>
      <c r="AU616" s="1659"/>
      <c r="AV616" s="1659"/>
      <c r="AW616" s="699"/>
      <c r="AX616" s="1659">
        <v>0</v>
      </c>
    </row>
    <row s="1874" customFormat="1" customHeight="1" ht="15">
      <c r="A617" s="1659"/>
      <c r="B617" s="2421"/>
      <c r="C617" s="2422"/>
      <c r="D617" s="713" t="str">
        <f>B615&amp;".3"</f>
        <v>3.193.3</v>
      </c>
      <c r="E617" s="1691" t="s">
        <v>1042</v>
      </c>
      <c r="F617" s="2287" t="s">
        <v>390</v>
      </c>
      <c r="G617" s="1762" t="s">
        <v>22</v>
      </c>
      <c r="H617" s="842" t="s">
        <v>22</v>
      </c>
      <c r="I617" s="1762" t="s">
        <v>22</v>
      </c>
      <c r="J617" s="842" t="s">
        <v>22</v>
      </c>
      <c r="K617" s="1762" t="s">
        <v>22</v>
      </c>
      <c r="L617" s="842" t="s">
        <v>22</v>
      </c>
      <c r="M617" s="2943" t="s">
        <v>22</v>
      </c>
      <c r="N617" s="2940" t="s">
        <v>22</v>
      </c>
      <c r="O617" s="1762" t="s">
        <v>22</v>
      </c>
      <c r="P617" s="842" t="s">
        <v>22</v>
      </c>
      <c r="Q617" s="1762" t="s">
        <v>22</v>
      </c>
      <c r="R617" s="842" t="s">
        <v>22</v>
      </c>
      <c r="S617" s="1762"/>
      <c r="T617" s="842" t="s">
        <v>22</v>
      </c>
      <c r="U617" s="1762" t="s">
        <v>22</v>
      </c>
      <c r="V617" s="842" t="s">
        <v>22</v>
      </c>
      <c r="W617" s="1762" t="s">
        <v>22</v>
      </c>
      <c r="X617" s="842" t="s">
        <v>22</v>
      </c>
      <c r="Y617" s="1762" t="s">
        <v>22</v>
      </c>
      <c r="Z617" s="842" t="s">
        <v>22</v>
      </c>
      <c r="AA617" s="2943" t="s">
        <v>22</v>
      </c>
      <c r="AB617" s="2940" t="s">
        <v>22</v>
      </c>
      <c r="AC617" s="1762" t="s">
        <v>22</v>
      </c>
      <c r="AD617" s="842" t="s">
        <v>22</v>
      </c>
      <c r="AE617" s="1762" t="s">
        <v>22</v>
      </c>
      <c r="AF617" s="842" t="s">
        <v>22</v>
      </c>
      <c r="AG617" s="2943" t="s">
        <v>22</v>
      </c>
      <c r="AH617" s="2940" t="s">
        <v>22</v>
      </c>
      <c r="AI617" s="1762" t="s">
        <v>22</v>
      </c>
      <c r="AJ617" s="842" t="s">
        <v>22</v>
      </c>
      <c r="AK617" s="1762" t="s">
        <v>22</v>
      </c>
      <c r="AL617" s="842" t="s">
        <v>22</v>
      </c>
      <c r="AM617" s="1549" t="s">
        <v>1043</v>
      </c>
      <c r="AN617" s="1659"/>
      <c r="AO617" s="1659"/>
      <c r="AP617" s="1659"/>
      <c r="AQ617" s="1659"/>
      <c r="AR617" s="1659"/>
      <c r="AS617" s="1659"/>
      <c r="AT617" s="1659"/>
      <c r="AU617" s="1659"/>
      <c r="AV617" s="1659"/>
      <c r="AW617" s="699"/>
      <c r="AX617" s="1659">
        <v>0</v>
      </c>
    </row>
    <row s="1874" customFormat="1" customHeight="1" ht="22.5">
      <c r="A618" s="1659"/>
      <c r="B618" s="2421" t="s">
        <v>1279</v>
      </c>
      <c r="C618" s="2422" t="s">
        <v>104</v>
      </c>
      <c r="D618" s="713" t="str">
        <f>B618&amp;".1"</f>
        <v>3.194.1</v>
      </c>
      <c r="E618" s="1691" t="s">
        <v>1039</v>
      </c>
      <c r="F618" s="2287" t="s">
        <v>390</v>
      </c>
      <c r="G618" s="2377" t="s">
        <v>22</v>
      </c>
      <c r="H618" s="842" t="s">
        <v>22</v>
      </c>
      <c r="I618" s="2377" t="s">
        <v>22</v>
      </c>
      <c r="J618" s="842" t="s">
        <v>22</v>
      </c>
      <c r="K618" s="2377" t="s">
        <v>22</v>
      </c>
      <c r="L618" s="842" t="s">
        <v>22</v>
      </c>
      <c r="M618" s="2942" t="s">
        <v>22</v>
      </c>
      <c r="N618" s="2940" t="s">
        <v>22</v>
      </c>
      <c r="O618" s="2377" t="s">
        <v>22</v>
      </c>
      <c r="P618" s="842" t="s">
        <v>22</v>
      </c>
      <c r="Q618" s="2377" t="s">
        <v>1059</v>
      </c>
      <c r="R618" s="842" t="s">
        <v>22</v>
      </c>
      <c r="S618" s="2377"/>
      <c r="T618" s="842" t="s">
        <v>22</v>
      </c>
      <c r="U618" s="2377" t="s">
        <v>22</v>
      </c>
      <c r="V618" s="842" t="s">
        <v>22</v>
      </c>
      <c r="W618" s="2377" t="s">
        <v>22</v>
      </c>
      <c r="X618" s="842" t="s">
        <v>22</v>
      </c>
      <c r="Y618" s="2377" t="s">
        <v>22</v>
      </c>
      <c r="Z618" s="842" t="s">
        <v>22</v>
      </c>
      <c r="AA618" s="2942" t="s">
        <v>22</v>
      </c>
      <c r="AB618" s="2940" t="s">
        <v>22</v>
      </c>
      <c r="AC618" s="2377" t="s">
        <v>22</v>
      </c>
      <c r="AD618" s="842" t="s">
        <v>22</v>
      </c>
      <c r="AE618" s="2377" t="s">
        <v>22</v>
      </c>
      <c r="AF618" s="842" t="s">
        <v>22</v>
      </c>
      <c r="AG618" s="2942" t="s">
        <v>22</v>
      </c>
      <c r="AH618" s="2940" t="s">
        <v>22</v>
      </c>
      <c r="AI618" s="2377" t="s">
        <v>22</v>
      </c>
      <c r="AJ618" s="842" t="s">
        <v>22</v>
      </c>
      <c r="AK618" s="2377" t="s">
        <v>22</v>
      </c>
      <c r="AL618" s="842" t="s">
        <v>22</v>
      </c>
      <c r="AM618" s="1549"/>
      <c r="AN618" s="1659"/>
      <c r="AO618" s="1659"/>
      <c r="AP618" s="1659"/>
      <c r="AQ618" s="1659"/>
      <c r="AR618" s="1659"/>
      <c r="AS618" s="1659"/>
      <c r="AT618" s="1659"/>
      <c r="AU618" s="1659"/>
      <c r="AV618" s="1659"/>
      <c r="AW618" s="699"/>
      <c r="AX618" s="1659">
        <v>0</v>
      </c>
    </row>
    <row s="1874" customFormat="1" customHeight="1" ht="15">
      <c r="A619" s="1659"/>
      <c r="B619" s="2421"/>
      <c r="C619" s="2422"/>
      <c r="D619" s="713" t="str">
        <f>B618&amp;".2"</f>
        <v>3.194.2</v>
      </c>
      <c r="E619" s="1691" t="s">
        <v>1040</v>
      </c>
      <c r="F619" s="2287" t="s">
        <v>390</v>
      </c>
      <c r="G619" s="1762" t="s">
        <v>22</v>
      </c>
      <c r="H619" s="842" t="s">
        <v>22</v>
      </c>
      <c r="I619" s="1762" t="s">
        <v>22</v>
      </c>
      <c r="J619" s="842" t="s">
        <v>22</v>
      </c>
      <c r="K619" s="1762" t="s">
        <v>22</v>
      </c>
      <c r="L619" s="842" t="s">
        <v>22</v>
      </c>
      <c r="M619" s="2943" t="s">
        <v>22</v>
      </c>
      <c r="N619" s="2940" t="s">
        <v>22</v>
      </c>
      <c r="O619" s="1762" t="s">
        <v>22</v>
      </c>
      <c r="P619" s="842" t="s">
        <v>22</v>
      </c>
      <c r="Q619" s="1762">
        <v>46142</v>
      </c>
      <c r="R619" s="842" t="s">
        <v>22</v>
      </c>
      <c r="S619" s="1762"/>
      <c r="T619" s="842" t="s">
        <v>22</v>
      </c>
      <c r="U619" s="1762" t="s">
        <v>22</v>
      </c>
      <c r="V619" s="842" t="s">
        <v>22</v>
      </c>
      <c r="W619" s="1762" t="s">
        <v>22</v>
      </c>
      <c r="X619" s="842" t="s">
        <v>22</v>
      </c>
      <c r="Y619" s="1762" t="s">
        <v>22</v>
      </c>
      <c r="Z619" s="842" t="s">
        <v>22</v>
      </c>
      <c r="AA619" s="2943" t="s">
        <v>22</v>
      </c>
      <c r="AB619" s="2940" t="s">
        <v>22</v>
      </c>
      <c r="AC619" s="1762" t="s">
        <v>22</v>
      </c>
      <c r="AD619" s="842" t="s">
        <v>22</v>
      </c>
      <c r="AE619" s="1762" t="s">
        <v>22</v>
      </c>
      <c r="AF619" s="842" t="s">
        <v>22</v>
      </c>
      <c r="AG619" s="2943" t="s">
        <v>22</v>
      </c>
      <c r="AH619" s="2940" t="s">
        <v>22</v>
      </c>
      <c r="AI619" s="1762" t="s">
        <v>22</v>
      </c>
      <c r="AJ619" s="842" t="s">
        <v>22</v>
      </c>
      <c r="AK619" s="1762" t="s">
        <v>22</v>
      </c>
      <c r="AL619" s="842" t="s">
        <v>22</v>
      </c>
      <c r="AM619" s="1549" t="s">
        <v>1041</v>
      </c>
      <c r="AN619" s="1659"/>
      <c r="AO619" s="1659"/>
      <c r="AP619" s="1659"/>
      <c r="AQ619" s="1659"/>
      <c r="AR619" s="1659"/>
      <c r="AS619" s="1659"/>
      <c r="AT619" s="1659"/>
      <c r="AU619" s="1659"/>
      <c r="AV619" s="1659"/>
      <c r="AW619" s="699"/>
      <c r="AX619" s="1659">
        <v>0</v>
      </c>
    </row>
    <row s="1874" customFormat="1" customHeight="1" ht="15">
      <c r="A620" s="1659"/>
      <c r="B620" s="2421"/>
      <c r="C620" s="2422"/>
      <c r="D620" s="713" t="str">
        <f>B618&amp;".3"</f>
        <v>3.194.3</v>
      </c>
      <c r="E620" s="1691" t="s">
        <v>1042</v>
      </c>
      <c r="F620" s="2287" t="s">
        <v>390</v>
      </c>
      <c r="G620" s="1762" t="s">
        <v>22</v>
      </c>
      <c r="H620" s="842" t="s">
        <v>22</v>
      </c>
      <c r="I620" s="1762" t="s">
        <v>22</v>
      </c>
      <c r="J620" s="842" t="s">
        <v>22</v>
      </c>
      <c r="K620" s="1762" t="s">
        <v>22</v>
      </c>
      <c r="L620" s="842" t="s">
        <v>22</v>
      </c>
      <c r="M620" s="2943" t="s">
        <v>22</v>
      </c>
      <c r="N620" s="2940" t="s">
        <v>22</v>
      </c>
      <c r="O620" s="1762" t="s">
        <v>22</v>
      </c>
      <c r="P620" s="842" t="s">
        <v>22</v>
      </c>
      <c r="Q620" s="1762" t="s">
        <v>22</v>
      </c>
      <c r="R620" s="842" t="s">
        <v>22</v>
      </c>
      <c r="S620" s="1762"/>
      <c r="T620" s="842" t="s">
        <v>22</v>
      </c>
      <c r="U620" s="1762" t="s">
        <v>22</v>
      </c>
      <c r="V620" s="842" t="s">
        <v>22</v>
      </c>
      <c r="W620" s="1762" t="s">
        <v>22</v>
      </c>
      <c r="X620" s="842" t="s">
        <v>22</v>
      </c>
      <c r="Y620" s="1762" t="s">
        <v>22</v>
      </c>
      <c r="Z620" s="842" t="s">
        <v>22</v>
      </c>
      <c r="AA620" s="2943" t="s">
        <v>22</v>
      </c>
      <c r="AB620" s="2940" t="s">
        <v>22</v>
      </c>
      <c r="AC620" s="1762" t="s">
        <v>22</v>
      </c>
      <c r="AD620" s="842" t="s">
        <v>22</v>
      </c>
      <c r="AE620" s="1762" t="s">
        <v>22</v>
      </c>
      <c r="AF620" s="842" t="s">
        <v>22</v>
      </c>
      <c r="AG620" s="2943" t="s">
        <v>22</v>
      </c>
      <c r="AH620" s="2940" t="s">
        <v>22</v>
      </c>
      <c r="AI620" s="1762" t="s">
        <v>22</v>
      </c>
      <c r="AJ620" s="842" t="s">
        <v>22</v>
      </c>
      <c r="AK620" s="1762" t="s">
        <v>22</v>
      </c>
      <c r="AL620" s="842" t="s">
        <v>22</v>
      </c>
      <c r="AM620" s="1549" t="s">
        <v>1043</v>
      </c>
      <c r="AN620" s="1659"/>
      <c r="AO620" s="1659"/>
      <c r="AP620" s="1659"/>
      <c r="AQ620" s="1659"/>
      <c r="AR620" s="1659"/>
      <c r="AS620" s="1659"/>
      <c r="AT620" s="1659"/>
      <c r="AU620" s="1659"/>
      <c r="AV620" s="1659"/>
      <c r="AW620" s="699"/>
      <c r="AX620" s="1659">
        <v>0</v>
      </c>
    </row>
    <row s="1874" customFormat="1" customHeight="1" ht="22.5">
      <c r="A621" s="1659"/>
      <c r="B621" s="2421" t="s">
        <v>1280</v>
      </c>
      <c r="C621" s="2422" t="s">
        <v>104</v>
      </c>
      <c r="D621" s="713" t="str">
        <f>B621&amp;".1"</f>
        <v>3.195.1</v>
      </c>
      <c r="E621" s="1691" t="s">
        <v>1039</v>
      </c>
      <c r="F621" s="2287" t="s">
        <v>390</v>
      </c>
      <c r="G621" s="2377" t="s">
        <v>22</v>
      </c>
      <c r="H621" s="842" t="s">
        <v>22</v>
      </c>
      <c r="I621" s="2377" t="s">
        <v>22</v>
      </c>
      <c r="J621" s="842" t="s">
        <v>22</v>
      </c>
      <c r="K621" s="2377" t="s">
        <v>22</v>
      </c>
      <c r="L621" s="842" t="s">
        <v>22</v>
      </c>
      <c r="M621" s="2942" t="s">
        <v>22</v>
      </c>
      <c r="N621" s="2940" t="s">
        <v>22</v>
      </c>
      <c r="O621" s="2377" t="s">
        <v>22</v>
      </c>
      <c r="P621" s="842" t="s">
        <v>22</v>
      </c>
      <c r="Q621" s="2377" t="s">
        <v>1059</v>
      </c>
      <c r="R621" s="842" t="s">
        <v>22</v>
      </c>
      <c r="S621" s="2377"/>
      <c r="T621" s="842" t="s">
        <v>22</v>
      </c>
      <c r="U621" s="2377" t="s">
        <v>22</v>
      </c>
      <c r="V621" s="842" t="s">
        <v>22</v>
      </c>
      <c r="W621" s="2377" t="s">
        <v>22</v>
      </c>
      <c r="X621" s="842" t="s">
        <v>22</v>
      </c>
      <c r="Y621" s="2377" t="s">
        <v>22</v>
      </c>
      <c r="Z621" s="842" t="s">
        <v>22</v>
      </c>
      <c r="AA621" s="2942" t="s">
        <v>22</v>
      </c>
      <c r="AB621" s="2940" t="s">
        <v>22</v>
      </c>
      <c r="AC621" s="2377" t="s">
        <v>22</v>
      </c>
      <c r="AD621" s="842" t="s">
        <v>22</v>
      </c>
      <c r="AE621" s="2377" t="s">
        <v>22</v>
      </c>
      <c r="AF621" s="842" t="s">
        <v>22</v>
      </c>
      <c r="AG621" s="2942" t="s">
        <v>22</v>
      </c>
      <c r="AH621" s="2940" t="s">
        <v>22</v>
      </c>
      <c r="AI621" s="2377" t="s">
        <v>22</v>
      </c>
      <c r="AJ621" s="842" t="s">
        <v>22</v>
      </c>
      <c r="AK621" s="2377" t="s">
        <v>22</v>
      </c>
      <c r="AL621" s="842" t="s">
        <v>22</v>
      </c>
      <c r="AM621" s="1549"/>
      <c r="AN621" s="1659"/>
      <c r="AO621" s="1659"/>
      <c r="AP621" s="1659"/>
      <c r="AQ621" s="1659"/>
      <c r="AR621" s="1659"/>
      <c r="AS621" s="1659"/>
      <c r="AT621" s="1659"/>
      <c r="AU621" s="1659"/>
      <c r="AV621" s="1659"/>
      <c r="AW621" s="699"/>
      <c r="AX621" s="1659">
        <v>0</v>
      </c>
    </row>
    <row s="1874" customFormat="1" customHeight="1" ht="15">
      <c r="A622" s="1659"/>
      <c r="B622" s="2421"/>
      <c r="C622" s="2422"/>
      <c r="D622" s="713" t="str">
        <f>B621&amp;".2"</f>
        <v>3.195.2</v>
      </c>
      <c r="E622" s="1691" t="s">
        <v>1040</v>
      </c>
      <c r="F622" s="2287" t="s">
        <v>390</v>
      </c>
      <c r="G622" s="1762" t="s">
        <v>22</v>
      </c>
      <c r="H622" s="842" t="s">
        <v>22</v>
      </c>
      <c r="I622" s="1762" t="s">
        <v>22</v>
      </c>
      <c r="J622" s="842" t="s">
        <v>22</v>
      </c>
      <c r="K622" s="1762" t="s">
        <v>22</v>
      </c>
      <c r="L622" s="842" t="s">
        <v>22</v>
      </c>
      <c r="M622" s="2943" t="s">
        <v>22</v>
      </c>
      <c r="N622" s="2940" t="s">
        <v>22</v>
      </c>
      <c r="O622" s="1762" t="s">
        <v>22</v>
      </c>
      <c r="P622" s="842" t="s">
        <v>22</v>
      </c>
      <c r="Q622" s="1762">
        <v>46142</v>
      </c>
      <c r="R622" s="842" t="s">
        <v>22</v>
      </c>
      <c r="S622" s="1762"/>
      <c r="T622" s="842" t="s">
        <v>22</v>
      </c>
      <c r="U622" s="1762" t="s">
        <v>22</v>
      </c>
      <c r="V622" s="842" t="s">
        <v>22</v>
      </c>
      <c r="W622" s="1762" t="s">
        <v>22</v>
      </c>
      <c r="X622" s="842" t="s">
        <v>22</v>
      </c>
      <c r="Y622" s="1762" t="s">
        <v>22</v>
      </c>
      <c r="Z622" s="842" t="s">
        <v>22</v>
      </c>
      <c r="AA622" s="2943" t="s">
        <v>22</v>
      </c>
      <c r="AB622" s="2940" t="s">
        <v>22</v>
      </c>
      <c r="AC622" s="1762" t="s">
        <v>22</v>
      </c>
      <c r="AD622" s="842" t="s">
        <v>22</v>
      </c>
      <c r="AE622" s="1762" t="s">
        <v>22</v>
      </c>
      <c r="AF622" s="842" t="s">
        <v>22</v>
      </c>
      <c r="AG622" s="2943" t="s">
        <v>22</v>
      </c>
      <c r="AH622" s="2940" t="s">
        <v>22</v>
      </c>
      <c r="AI622" s="1762" t="s">
        <v>22</v>
      </c>
      <c r="AJ622" s="842" t="s">
        <v>22</v>
      </c>
      <c r="AK622" s="1762" t="s">
        <v>22</v>
      </c>
      <c r="AL622" s="842" t="s">
        <v>22</v>
      </c>
      <c r="AM622" s="1549" t="s">
        <v>1041</v>
      </c>
      <c r="AN622" s="1659"/>
      <c r="AO622" s="1659"/>
      <c r="AP622" s="1659"/>
      <c r="AQ622" s="1659"/>
      <c r="AR622" s="1659"/>
      <c r="AS622" s="1659"/>
      <c r="AT622" s="1659"/>
      <c r="AU622" s="1659"/>
      <c r="AV622" s="1659"/>
      <c r="AW622" s="699"/>
      <c r="AX622" s="1659">
        <v>0</v>
      </c>
    </row>
    <row s="1874" customFormat="1" customHeight="1" ht="15">
      <c r="A623" s="1659"/>
      <c r="B623" s="2421"/>
      <c r="C623" s="2422"/>
      <c r="D623" s="713" t="str">
        <f>B621&amp;".3"</f>
        <v>3.195.3</v>
      </c>
      <c r="E623" s="1691" t="s">
        <v>1042</v>
      </c>
      <c r="F623" s="2287" t="s">
        <v>390</v>
      </c>
      <c r="G623" s="1762" t="s">
        <v>22</v>
      </c>
      <c r="H623" s="842" t="s">
        <v>22</v>
      </c>
      <c r="I623" s="1762" t="s">
        <v>22</v>
      </c>
      <c r="J623" s="842" t="s">
        <v>22</v>
      </c>
      <c r="K623" s="1762" t="s">
        <v>22</v>
      </c>
      <c r="L623" s="842" t="s">
        <v>22</v>
      </c>
      <c r="M623" s="2943" t="s">
        <v>22</v>
      </c>
      <c r="N623" s="2940" t="s">
        <v>22</v>
      </c>
      <c r="O623" s="1762" t="s">
        <v>22</v>
      </c>
      <c r="P623" s="842" t="s">
        <v>22</v>
      </c>
      <c r="Q623" s="1762" t="s">
        <v>22</v>
      </c>
      <c r="R623" s="842" t="s">
        <v>22</v>
      </c>
      <c r="S623" s="1762"/>
      <c r="T623" s="842" t="s">
        <v>22</v>
      </c>
      <c r="U623" s="1762" t="s">
        <v>22</v>
      </c>
      <c r="V623" s="842" t="s">
        <v>22</v>
      </c>
      <c r="W623" s="1762" t="s">
        <v>22</v>
      </c>
      <c r="X623" s="842" t="s">
        <v>22</v>
      </c>
      <c r="Y623" s="1762" t="s">
        <v>22</v>
      </c>
      <c r="Z623" s="842" t="s">
        <v>22</v>
      </c>
      <c r="AA623" s="2943" t="s">
        <v>22</v>
      </c>
      <c r="AB623" s="2940" t="s">
        <v>22</v>
      </c>
      <c r="AC623" s="1762" t="s">
        <v>22</v>
      </c>
      <c r="AD623" s="842" t="s">
        <v>22</v>
      </c>
      <c r="AE623" s="1762" t="s">
        <v>22</v>
      </c>
      <c r="AF623" s="842" t="s">
        <v>22</v>
      </c>
      <c r="AG623" s="2943" t="s">
        <v>22</v>
      </c>
      <c r="AH623" s="2940" t="s">
        <v>22</v>
      </c>
      <c r="AI623" s="1762" t="s">
        <v>22</v>
      </c>
      <c r="AJ623" s="842" t="s">
        <v>22</v>
      </c>
      <c r="AK623" s="1762" t="s">
        <v>22</v>
      </c>
      <c r="AL623" s="842" t="s">
        <v>22</v>
      </c>
      <c r="AM623" s="1549" t="s">
        <v>1043</v>
      </c>
      <c r="AN623" s="1659"/>
      <c r="AO623" s="1659"/>
      <c r="AP623" s="1659"/>
      <c r="AQ623" s="1659"/>
      <c r="AR623" s="1659"/>
      <c r="AS623" s="1659"/>
      <c r="AT623" s="1659"/>
      <c r="AU623" s="1659"/>
      <c r="AV623" s="1659"/>
      <c r="AW623" s="699"/>
      <c r="AX623" s="1659">
        <v>0</v>
      </c>
    </row>
    <row s="1874" customFormat="1" customHeight="1" ht="22.5">
      <c r="A624" s="1659"/>
      <c r="B624" s="2421" t="s">
        <v>1281</v>
      </c>
      <c r="C624" s="2422" t="s">
        <v>104</v>
      </c>
      <c r="D624" s="713" t="str">
        <f>B624&amp;".1"</f>
        <v>3.196.1</v>
      </c>
      <c r="E624" s="1691" t="s">
        <v>1039</v>
      </c>
      <c r="F624" s="2287" t="s">
        <v>390</v>
      </c>
      <c r="G624" s="2377" t="s">
        <v>22</v>
      </c>
      <c r="H624" s="842" t="s">
        <v>22</v>
      </c>
      <c r="I624" s="2377" t="s">
        <v>22</v>
      </c>
      <c r="J624" s="842" t="s">
        <v>22</v>
      </c>
      <c r="K624" s="2377" t="s">
        <v>22</v>
      </c>
      <c r="L624" s="842" t="s">
        <v>22</v>
      </c>
      <c r="M624" s="2942" t="s">
        <v>22</v>
      </c>
      <c r="N624" s="2940" t="s">
        <v>22</v>
      </c>
      <c r="O624" s="2377" t="s">
        <v>22</v>
      </c>
      <c r="P624" s="842" t="s">
        <v>22</v>
      </c>
      <c r="Q624" s="2377" t="s">
        <v>1059</v>
      </c>
      <c r="R624" s="842" t="s">
        <v>22</v>
      </c>
      <c r="S624" s="2377"/>
      <c r="T624" s="842" t="s">
        <v>22</v>
      </c>
      <c r="U624" s="2377" t="s">
        <v>22</v>
      </c>
      <c r="V624" s="842" t="s">
        <v>22</v>
      </c>
      <c r="W624" s="2377" t="s">
        <v>22</v>
      </c>
      <c r="X624" s="842" t="s">
        <v>22</v>
      </c>
      <c r="Y624" s="2377" t="s">
        <v>22</v>
      </c>
      <c r="Z624" s="842" t="s">
        <v>22</v>
      </c>
      <c r="AA624" s="2942" t="s">
        <v>22</v>
      </c>
      <c r="AB624" s="2940" t="s">
        <v>22</v>
      </c>
      <c r="AC624" s="2377" t="s">
        <v>22</v>
      </c>
      <c r="AD624" s="842" t="s">
        <v>22</v>
      </c>
      <c r="AE624" s="2377" t="s">
        <v>22</v>
      </c>
      <c r="AF624" s="842" t="s">
        <v>22</v>
      </c>
      <c r="AG624" s="2942" t="s">
        <v>22</v>
      </c>
      <c r="AH624" s="2940" t="s">
        <v>22</v>
      </c>
      <c r="AI624" s="2377" t="s">
        <v>22</v>
      </c>
      <c r="AJ624" s="842" t="s">
        <v>22</v>
      </c>
      <c r="AK624" s="2377" t="s">
        <v>22</v>
      </c>
      <c r="AL624" s="842" t="s">
        <v>22</v>
      </c>
      <c r="AM624" s="1549"/>
      <c r="AN624" s="1659"/>
      <c r="AO624" s="1659"/>
      <c r="AP624" s="1659"/>
      <c r="AQ624" s="1659"/>
      <c r="AR624" s="1659"/>
      <c r="AS624" s="1659"/>
      <c r="AT624" s="1659"/>
      <c r="AU624" s="1659"/>
      <c r="AV624" s="1659"/>
      <c r="AW624" s="699"/>
      <c r="AX624" s="1659">
        <v>0</v>
      </c>
    </row>
    <row s="1874" customFormat="1" customHeight="1" ht="15">
      <c r="A625" s="1659"/>
      <c r="B625" s="2421"/>
      <c r="C625" s="2422"/>
      <c r="D625" s="713" t="str">
        <f>B624&amp;".2"</f>
        <v>3.196.2</v>
      </c>
      <c r="E625" s="1691" t="s">
        <v>1040</v>
      </c>
      <c r="F625" s="2287" t="s">
        <v>390</v>
      </c>
      <c r="G625" s="1762" t="s">
        <v>22</v>
      </c>
      <c r="H625" s="842" t="s">
        <v>22</v>
      </c>
      <c r="I625" s="1762" t="s">
        <v>22</v>
      </c>
      <c r="J625" s="842" t="s">
        <v>22</v>
      </c>
      <c r="K625" s="1762" t="s">
        <v>22</v>
      </c>
      <c r="L625" s="842" t="s">
        <v>22</v>
      </c>
      <c r="M625" s="2943" t="s">
        <v>22</v>
      </c>
      <c r="N625" s="2940" t="s">
        <v>22</v>
      </c>
      <c r="O625" s="1762" t="s">
        <v>22</v>
      </c>
      <c r="P625" s="842" t="s">
        <v>22</v>
      </c>
      <c r="Q625" s="1762">
        <v>46142</v>
      </c>
      <c r="R625" s="842" t="s">
        <v>22</v>
      </c>
      <c r="S625" s="1762"/>
      <c r="T625" s="842" t="s">
        <v>22</v>
      </c>
      <c r="U625" s="1762" t="s">
        <v>22</v>
      </c>
      <c r="V625" s="842" t="s">
        <v>22</v>
      </c>
      <c r="W625" s="1762" t="s">
        <v>22</v>
      </c>
      <c r="X625" s="842" t="s">
        <v>22</v>
      </c>
      <c r="Y625" s="1762" t="s">
        <v>22</v>
      </c>
      <c r="Z625" s="842" t="s">
        <v>22</v>
      </c>
      <c r="AA625" s="2943" t="s">
        <v>22</v>
      </c>
      <c r="AB625" s="2940" t="s">
        <v>22</v>
      </c>
      <c r="AC625" s="1762" t="s">
        <v>22</v>
      </c>
      <c r="AD625" s="842" t="s">
        <v>22</v>
      </c>
      <c r="AE625" s="1762" t="s">
        <v>22</v>
      </c>
      <c r="AF625" s="842" t="s">
        <v>22</v>
      </c>
      <c r="AG625" s="2943" t="s">
        <v>22</v>
      </c>
      <c r="AH625" s="2940" t="s">
        <v>22</v>
      </c>
      <c r="AI625" s="1762" t="s">
        <v>22</v>
      </c>
      <c r="AJ625" s="842" t="s">
        <v>22</v>
      </c>
      <c r="AK625" s="1762" t="s">
        <v>22</v>
      </c>
      <c r="AL625" s="842" t="s">
        <v>22</v>
      </c>
      <c r="AM625" s="1549" t="s">
        <v>1041</v>
      </c>
      <c r="AN625" s="1659"/>
      <c r="AO625" s="1659"/>
      <c r="AP625" s="1659"/>
      <c r="AQ625" s="1659"/>
      <c r="AR625" s="1659"/>
      <c r="AS625" s="1659"/>
      <c r="AT625" s="1659"/>
      <c r="AU625" s="1659"/>
      <c r="AV625" s="1659"/>
      <c r="AW625" s="699"/>
      <c r="AX625" s="1659">
        <v>0</v>
      </c>
    </row>
    <row s="1874" customFormat="1" customHeight="1" ht="15">
      <c r="A626" s="1659"/>
      <c r="B626" s="2421"/>
      <c r="C626" s="2422"/>
      <c r="D626" s="713" t="str">
        <f>B624&amp;".3"</f>
        <v>3.196.3</v>
      </c>
      <c r="E626" s="1691" t="s">
        <v>1042</v>
      </c>
      <c r="F626" s="2287" t="s">
        <v>390</v>
      </c>
      <c r="G626" s="1762" t="s">
        <v>22</v>
      </c>
      <c r="H626" s="842" t="s">
        <v>22</v>
      </c>
      <c r="I626" s="1762" t="s">
        <v>22</v>
      </c>
      <c r="J626" s="842" t="s">
        <v>22</v>
      </c>
      <c r="K626" s="1762" t="s">
        <v>22</v>
      </c>
      <c r="L626" s="842" t="s">
        <v>22</v>
      </c>
      <c r="M626" s="2943" t="s">
        <v>22</v>
      </c>
      <c r="N626" s="2940" t="s">
        <v>22</v>
      </c>
      <c r="O626" s="1762" t="s">
        <v>22</v>
      </c>
      <c r="P626" s="842" t="s">
        <v>22</v>
      </c>
      <c r="Q626" s="1762" t="s">
        <v>22</v>
      </c>
      <c r="R626" s="842" t="s">
        <v>22</v>
      </c>
      <c r="S626" s="1762"/>
      <c r="T626" s="842" t="s">
        <v>22</v>
      </c>
      <c r="U626" s="1762" t="s">
        <v>22</v>
      </c>
      <c r="V626" s="842" t="s">
        <v>22</v>
      </c>
      <c r="W626" s="1762" t="s">
        <v>22</v>
      </c>
      <c r="X626" s="842" t="s">
        <v>22</v>
      </c>
      <c r="Y626" s="1762" t="s">
        <v>22</v>
      </c>
      <c r="Z626" s="842" t="s">
        <v>22</v>
      </c>
      <c r="AA626" s="2943" t="s">
        <v>22</v>
      </c>
      <c r="AB626" s="2940" t="s">
        <v>22</v>
      </c>
      <c r="AC626" s="1762" t="s">
        <v>22</v>
      </c>
      <c r="AD626" s="842" t="s">
        <v>22</v>
      </c>
      <c r="AE626" s="1762" t="s">
        <v>22</v>
      </c>
      <c r="AF626" s="842" t="s">
        <v>22</v>
      </c>
      <c r="AG626" s="2943" t="s">
        <v>22</v>
      </c>
      <c r="AH626" s="2940" t="s">
        <v>22</v>
      </c>
      <c r="AI626" s="1762" t="s">
        <v>22</v>
      </c>
      <c r="AJ626" s="842" t="s">
        <v>22</v>
      </c>
      <c r="AK626" s="1762" t="s">
        <v>22</v>
      </c>
      <c r="AL626" s="842" t="s">
        <v>22</v>
      </c>
      <c r="AM626" s="1549" t="s">
        <v>1043</v>
      </c>
      <c r="AN626" s="1659"/>
      <c r="AO626" s="1659"/>
      <c r="AP626" s="1659"/>
      <c r="AQ626" s="1659"/>
      <c r="AR626" s="1659"/>
      <c r="AS626" s="1659"/>
      <c r="AT626" s="1659"/>
      <c r="AU626" s="1659"/>
      <c r="AV626" s="1659"/>
      <c r="AW626" s="699"/>
      <c r="AX626" s="1659">
        <v>0</v>
      </c>
    </row>
    <row s="1874" customFormat="1" customHeight="1" ht="22.5">
      <c r="A627" s="1659"/>
      <c r="B627" s="2421" t="s">
        <v>1282</v>
      </c>
      <c r="C627" s="2422" t="s">
        <v>104</v>
      </c>
      <c r="D627" s="713" t="str">
        <f>B627&amp;".1"</f>
        <v>3.197.1</v>
      </c>
      <c r="E627" s="1691" t="s">
        <v>1039</v>
      </c>
      <c r="F627" s="2287" t="s">
        <v>390</v>
      </c>
      <c r="G627" s="2377" t="s">
        <v>22</v>
      </c>
      <c r="H627" s="842" t="s">
        <v>22</v>
      </c>
      <c r="I627" s="2377" t="s">
        <v>22</v>
      </c>
      <c r="J627" s="842" t="s">
        <v>22</v>
      </c>
      <c r="K627" s="2377" t="s">
        <v>22</v>
      </c>
      <c r="L627" s="842" t="s">
        <v>22</v>
      </c>
      <c r="M627" s="2942" t="s">
        <v>22</v>
      </c>
      <c r="N627" s="2940" t="s">
        <v>22</v>
      </c>
      <c r="O627" s="2377" t="s">
        <v>22</v>
      </c>
      <c r="P627" s="842" t="s">
        <v>22</v>
      </c>
      <c r="Q627" s="2377" t="s">
        <v>1059</v>
      </c>
      <c r="R627" s="842" t="s">
        <v>22</v>
      </c>
      <c r="S627" s="2377"/>
      <c r="T627" s="842" t="s">
        <v>22</v>
      </c>
      <c r="U627" s="2377" t="s">
        <v>22</v>
      </c>
      <c r="V627" s="842" t="s">
        <v>22</v>
      </c>
      <c r="W627" s="2377" t="s">
        <v>22</v>
      </c>
      <c r="X627" s="842" t="s">
        <v>22</v>
      </c>
      <c r="Y627" s="2377" t="s">
        <v>22</v>
      </c>
      <c r="Z627" s="842" t="s">
        <v>22</v>
      </c>
      <c r="AA627" s="2942" t="s">
        <v>22</v>
      </c>
      <c r="AB627" s="2940" t="s">
        <v>22</v>
      </c>
      <c r="AC627" s="2377" t="s">
        <v>22</v>
      </c>
      <c r="AD627" s="842" t="s">
        <v>22</v>
      </c>
      <c r="AE627" s="2377" t="s">
        <v>22</v>
      </c>
      <c r="AF627" s="842" t="s">
        <v>22</v>
      </c>
      <c r="AG627" s="2942" t="s">
        <v>22</v>
      </c>
      <c r="AH627" s="2940" t="s">
        <v>22</v>
      </c>
      <c r="AI627" s="2377" t="s">
        <v>22</v>
      </c>
      <c r="AJ627" s="842" t="s">
        <v>22</v>
      </c>
      <c r="AK627" s="2377" t="s">
        <v>22</v>
      </c>
      <c r="AL627" s="842" t="s">
        <v>22</v>
      </c>
      <c r="AM627" s="1549"/>
      <c r="AN627" s="1659"/>
      <c r="AO627" s="1659"/>
      <c r="AP627" s="1659"/>
      <c r="AQ627" s="1659"/>
      <c r="AR627" s="1659"/>
      <c r="AS627" s="1659"/>
      <c r="AT627" s="1659"/>
      <c r="AU627" s="1659"/>
      <c r="AV627" s="1659"/>
      <c r="AW627" s="699"/>
      <c r="AX627" s="1659">
        <v>0</v>
      </c>
    </row>
    <row s="1874" customFormat="1" customHeight="1" ht="15">
      <c r="A628" s="1659"/>
      <c r="B628" s="2421"/>
      <c r="C628" s="2422"/>
      <c r="D628" s="713" t="str">
        <f>B627&amp;".2"</f>
        <v>3.197.2</v>
      </c>
      <c r="E628" s="1691" t="s">
        <v>1040</v>
      </c>
      <c r="F628" s="2287" t="s">
        <v>390</v>
      </c>
      <c r="G628" s="1762" t="s">
        <v>22</v>
      </c>
      <c r="H628" s="842" t="s">
        <v>22</v>
      </c>
      <c r="I628" s="1762" t="s">
        <v>22</v>
      </c>
      <c r="J628" s="842" t="s">
        <v>22</v>
      </c>
      <c r="K628" s="1762" t="s">
        <v>22</v>
      </c>
      <c r="L628" s="842" t="s">
        <v>22</v>
      </c>
      <c r="M628" s="2943" t="s">
        <v>22</v>
      </c>
      <c r="N628" s="2940" t="s">
        <v>22</v>
      </c>
      <c r="O628" s="1762" t="s">
        <v>22</v>
      </c>
      <c r="P628" s="842" t="s">
        <v>22</v>
      </c>
      <c r="Q628" s="1762">
        <v>46142</v>
      </c>
      <c r="R628" s="842" t="s">
        <v>22</v>
      </c>
      <c r="S628" s="1762"/>
      <c r="T628" s="842" t="s">
        <v>22</v>
      </c>
      <c r="U628" s="1762" t="s">
        <v>22</v>
      </c>
      <c r="V628" s="842" t="s">
        <v>22</v>
      </c>
      <c r="W628" s="1762" t="s">
        <v>22</v>
      </c>
      <c r="X628" s="842" t="s">
        <v>22</v>
      </c>
      <c r="Y628" s="1762" t="s">
        <v>22</v>
      </c>
      <c r="Z628" s="842" t="s">
        <v>22</v>
      </c>
      <c r="AA628" s="2943" t="s">
        <v>22</v>
      </c>
      <c r="AB628" s="2940" t="s">
        <v>22</v>
      </c>
      <c r="AC628" s="1762" t="s">
        <v>22</v>
      </c>
      <c r="AD628" s="842" t="s">
        <v>22</v>
      </c>
      <c r="AE628" s="1762" t="s">
        <v>22</v>
      </c>
      <c r="AF628" s="842" t="s">
        <v>22</v>
      </c>
      <c r="AG628" s="2943" t="s">
        <v>22</v>
      </c>
      <c r="AH628" s="2940" t="s">
        <v>22</v>
      </c>
      <c r="AI628" s="1762" t="s">
        <v>22</v>
      </c>
      <c r="AJ628" s="842" t="s">
        <v>22</v>
      </c>
      <c r="AK628" s="1762" t="s">
        <v>22</v>
      </c>
      <c r="AL628" s="842" t="s">
        <v>22</v>
      </c>
      <c r="AM628" s="1549" t="s">
        <v>1041</v>
      </c>
      <c r="AN628" s="1659"/>
      <c r="AO628" s="1659"/>
      <c r="AP628" s="1659"/>
      <c r="AQ628" s="1659"/>
      <c r="AR628" s="1659"/>
      <c r="AS628" s="1659"/>
      <c r="AT628" s="1659"/>
      <c r="AU628" s="1659"/>
      <c r="AV628" s="1659"/>
      <c r="AW628" s="699"/>
      <c r="AX628" s="1659">
        <v>0</v>
      </c>
    </row>
    <row s="1874" customFormat="1" customHeight="1" ht="15">
      <c r="A629" s="1659"/>
      <c r="B629" s="2421"/>
      <c r="C629" s="2422"/>
      <c r="D629" s="713" t="str">
        <f>B627&amp;".3"</f>
        <v>3.197.3</v>
      </c>
      <c r="E629" s="1691" t="s">
        <v>1042</v>
      </c>
      <c r="F629" s="2287" t="s">
        <v>390</v>
      </c>
      <c r="G629" s="1762" t="s">
        <v>22</v>
      </c>
      <c r="H629" s="842" t="s">
        <v>22</v>
      </c>
      <c r="I629" s="1762" t="s">
        <v>22</v>
      </c>
      <c r="J629" s="842" t="s">
        <v>22</v>
      </c>
      <c r="K629" s="1762" t="s">
        <v>22</v>
      </c>
      <c r="L629" s="842" t="s">
        <v>22</v>
      </c>
      <c r="M629" s="2943" t="s">
        <v>22</v>
      </c>
      <c r="N629" s="2940" t="s">
        <v>22</v>
      </c>
      <c r="O629" s="1762" t="s">
        <v>22</v>
      </c>
      <c r="P629" s="842" t="s">
        <v>22</v>
      </c>
      <c r="Q629" s="1762" t="s">
        <v>22</v>
      </c>
      <c r="R629" s="842" t="s">
        <v>22</v>
      </c>
      <c r="S629" s="1762"/>
      <c r="T629" s="842" t="s">
        <v>22</v>
      </c>
      <c r="U629" s="1762" t="s">
        <v>22</v>
      </c>
      <c r="V629" s="842" t="s">
        <v>22</v>
      </c>
      <c r="W629" s="1762" t="s">
        <v>22</v>
      </c>
      <c r="X629" s="842" t="s">
        <v>22</v>
      </c>
      <c r="Y629" s="1762" t="s">
        <v>22</v>
      </c>
      <c r="Z629" s="842" t="s">
        <v>22</v>
      </c>
      <c r="AA629" s="2943" t="s">
        <v>22</v>
      </c>
      <c r="AB629" s="2940" t="s">
        <v>22</v>
      </c>
      <c r="AC629" s="1762" t="s">
        <v>22</v>
      </c>
      <c r="AD629" s="842" t="s">
        <v>22</v>
      </c>
      <c r="AE629" s="1762" t="s">
        <v>22</v>
      </c>
      <c r="AF629" s="842" t="s">
        <v>22</v>
      </c>
      <c r="AG629" s="2943" t="s">
        <v>22</v>
      </c>
      <c r="AH629" s="2940" t="s">
        <v>22</v>
      </c>
      <c r="AI629" s="1762" t="s">
        <v>22</v>
      </c>
      <c r="AJ629" s="842" t="s">
        <v>22</v>
      </c>
      <c r="AK629" s="1762" t="s">
        <v>22</v>
      </c>
      <c r="AL629" s="842" t="s">
        <v>22</v>
      </c>
      <c r="AM629" s="1549" t="s">
        <v>1043</v>
      </c>
      <c r="AN629" s="1659"/>
      <c r="AO629" s="1659"/>
      <c r="AP629" s="1659"/>
      <c r="AQ629" s="1659"/>
      <c r="AR629" s="1659"/>
      <c r="AS629" s="1659"/>
      <c r="AT629" s="1659"/>
      <c r="AU629" s="1659"/>
      <c r="AV629" s="1659"/>
      <c r="AW629" s="699"/>
      <c r="AX629" s="1659">
        <v>0</v>
      </c>
    </row>
    <row s="1874" customFormat="1" customHeight="1" ht="22.5">
      <c r="A630" s="1659"/>
      <c r="B630" s="2421" t="s">
        <v>1283</v>
      </c>
      <c r="C630" s="2422" t="s">
        <v>104</v>
      </c>
      <c r="D630" s="713" t="str">
        <f>B630&amp;".1"</f>
        <v>3.198.1</v>
      </c>
      <c r="E630" s="1691" t="s">
        <v>1039</v>
      </c>
      <c r="F630" s="2287" t="s">
        <v>390</v>
      </c>
      <c r="G630" s="2377" t="s">
        <v>22</v>
      </c>
      <c r="H630" s="842" t="s">
        <v>22</v>
      </c>
      <c r="I630" s="2377" t="s">
        <v>22</v>
      </c>
      <c r="J630" s="842" t="s">
        <v>22</v>
      </c>
      <c r="K630" s="2377" t="s">
        <v>22</v>
      </c>
      <c r="L630" s="842" t="s">
        <v>22</v>
      </c>
      <c r="M630" s="2942" t="s">
        <v>22</v>
      </c>
      <c r="N630" s="2940" t="s">
        <v>22</v>
      </c>
      <c r="O630" s="2377" t="s">
        <v>22</v>
      </c>
      <c r="P630" s="842" t="s">
        <v>22</v>
      </c>
      <c r="Q630" s="2377" t="s">
        <v>1059</v>
      </c>
      <c r="R630" s="842" t="s">
        <v>22</v>
      </c>
      <c r="S630" s="2377"/>
      <c r="T630" s="842" t="s">
        <v>22</v>
      </c>
      <c r="U630" s="2377" t="s">
        <v>22</v>
      </c>
      <c r="V630" s="842" t="s">
        <v>22</v>
      </c>
      <c r="W630" s="2377" t="s">
        <v>22</v>
      </c>
      <c r="X630" s="842" t="s">
        <v>22</v>
      </c>
      <c r="Y630" s="2377" t="s">
        <v>22</v>
      </c>
      <c r="Z630" s="842" t="s">
        <v>22</v>
      </c>
      <c r="AA630" s="2942" t="s">
        <v>22</v>
      </c>
      <c r="AB630" s="2940" t="s">
        <v>22</v>
      </c>
      <c r="AC630" s="2377" t="s">
        <v>22</v>
      </c>
      <c r="AD630" s="842" t="s">
        <v>22</v>
      </c>
      <c r="AE630" s="2377" t="s">
        <v>22</v>
      </c>
      <c r="AF630" s="842" t="s">
        <v>22</v>
      </c>
      <c r="AG630" s="2942" t="s">
        <v>22</v>
      </c>
      <c r="AH630" s="2940" t="s">
        <v>22</v>
      </c>
      <c r="AI630" s="2377" t="s">
        <v>22</v>
      </c>
      <c r="AJ630" s="842" t="s">
        <v>22</v>
      </c>
      <c r="AK630" s="2377" t="s">
        <v>22</v>
      </c>
      <c r="AL630" s="842" t="s">
        <v>22</v>
      </c>
      <c r="AM630" s="1549"/>
      <c r="AN630" s="1659"/>
      <c r="AO630" s="1659"/>
      <c r="AP630" s="1659"/>
      <c r="AQ630" s="1659"/>
      <c r="AR630" s="1659"/>
      <c r="AS630" s="1659"/>
      <c r="AT630" s="1659"/>
      <c r="AU630" s="1659"/>
      <c r="AV630" s="1659"/>
      <c r="AW630" s="699"/>
      <c r="AX630" s="1659">
        <v>0</v>
      </c>
    </row>
    <row s="1874" customFormat="1" customHeight="1" ht="15">
      <c r="A631" s="1659"/>
      <c r="B631" s="2421"/>
      <c r="C631" s="2422"/>
      <c r="D631" s="713" t="str">
        <f>B630&amp;".2"</f>
        <v>3.198.2</v>
      </c>
      <c r="E631" s="1691" t="s">
        <v>1040</v>
      </c>
      <c r="F631" s="2287" t="s">
        <v>390</v>
      </c>
      <c r="G631" s="1762" t="s">
        <v>22</v>
      </c>
      <c r="H631" s="842" t="s">
        <v>22</v>
      </c>
      <c r="I631" s="1762" t="s">
        <v>22</v>
      </c>
      <c r="J631" s="842" t="s">
        <v>22</v>
      </c>
      <c r="K631" s="1762" t="s">
        <v>22</v>
      </c>
      <c r="L631" s="842" t="s">
        <v>22</v>
      </c>
      <c r="M631" s="2943" t="s">
        <v>22</v>
      </c>
      <c r="N631" s="2940" t="s">
        <v>22</v>
      </c>
      <c r="O631" s="1762" t="s">
        <v>22</v>
      </c>
      <c r="P631" s="842" t="s">
        <v>22</v>
      </c>
      <c r="Q631" s="1762">
        <v>46142</v>
      </c>
      <c r="R631" s="842" t="s">
        <v>22</v>
      </c>
      <c r="S631" s="1762"/>
      <c r="T631" s="842" t="s">
        <v>22</v>
      </c>
      <c r="U631" s="1762" t="s">
        <v>22</v>
      </c>
      <c r="V631" s="842" t="s">
        <v>22</v>
      </c>
      <c r="W631" s="1762" t="s">
        <v>22</v>
      </c>
      <c r="X631" s="842" t="s">
        <v>22</v>
      </c>
      <c r="Y631" s="1762" t="s">
        <v>22</v>
      </c>
      <c r="Z631" s="842" t="s">
        <v>22</v>
      </c>
      <c r="AA631" s="2943" t="s">
        <v>22</v>
      </c>
      <c r="AB631" s="2940" t="s">
        <v>22</v>
      </c>
      <c r="AC631" s="1762" t="s">
        <v>22</v>
      </c>
      <c r="AD631" s="842" t="s">
        <v>22</v>
      </c>
      <c r="AE631" s="1762" t="s">
        <v>22</v>
      </c>
      <c r="AF631" s="842" t="s">
        <v>22</v>
      </c>
      <c r="AG631" s="2943" t="s">
        <v>22</v>
      </c>
      <c r="AH631" s="2940" t="s">
        <v>22</v>
      </c>
      <c r="AI631" s="1762" t="s">
        <v>22</v>
      </c>
      <c r="AJ631" s="842" t="s">
        <v>22</v>
      </c>
      <c r="AK631" s="1762" t="s">
        <v>22</v>
      </c>
      <c r="AL631" s="842" t="s">
        <v>22</v>
      </c>
      <c r="AM631" s="1549" t="s">
        <v>1041</v>
      </c>
      <c r="AN631" s="1659"/>
      <c r="AO631" s="1659"/>
      <c r="AP631" s="1659"/>
      <c r="AQ631" s="1659"/>
      <c r="AR631" s="1659"/>
      <c r="AS631" s="1659"/>
      <c r="AT631" s="1659"/>
      <c r="AU631" s="1659"/>
      <c r="AV631" s="1659"/>
      <c r="AW631" s="699"/>
      <c r="AX631" s="1659">
        <v>0</v>
      </c>
    </row>
    <row s="1874" customFormat="1" customHeight="1" ht="15">
      <c r="A632" s="1659"/>
      <c r="B632" s="2421"/>
      <c r="C632" s="2422"/>
      <c r="D632" s="713" t="str">
        <f>B630&amp;".3"</f>
        <v>3.198.3</v>
      </c>
      <c r="E632" s="1691" t="s">
        <v>1042</v>
      </c>
      <c r="F632" s="2287" t="s">
        <v>390</v>
      </c>
      <c r="G632" s="1762" t="s">
        <v>22</v>
      </c>
      <c r="H632" s="842" t="s">
        <v>22</v>
      </c>
      <c r="I632" s="1762" t="s">
        <v>22</v>
      </c>
      <c r="J632" s="842" t="s">
        <v>22</v>
      </c>
      <c r="K632" s="1762" t="s">
        <v>22</v>
      </c>
      <c r="L632" s="842" t="s">
        <v>22</v>
      </c>
      <c r="M632" s="2943" t="s">
        <v>22</v>
      </c>
      <c r="N632" s="2940" t="s">
        <v>22</v>
      </c>
      <c r="O632" s="1762" t="s">
        <v>22</v>
      </c>
      <c r="P632" s="842" t="s">
        <v>22</v>
      </c>
      <c r="Q632" s="1762" t="s">
        <v>22</v>
      </c>
      <c r="R632" s="842" t="s">
        <v>22</v>
      </c>
      <c r="S632" s="1762"/>
      <c r="T632" s="842" t="s">
        <v>22</v>
      </c>
      <c r="U632" s="1762" t="s">
        <v>22</v>
      </c>
      <c r="V632" s="842" t="s">
        <v>22</v>
      </c>
      <c r="W632" s="1762" t="s">
        <v>22</v>
      </c>
      <c r="X632" s="842" t="s">
        <v>22</v>
      </c>
      <c r="Y632" s="1762" t="s">
        <v>22</v>
      </c>
      <c r="Z632" s="842" t="s">
        <v>22</v>
      </c>
      <c r="AA632" s="2943" t="s">
        <v>22</v>
      </c>
      <c r="AB632" s="2940" t="s">
        <v>22</v>
      </c>
      <c r="AC632" s="1762" t="s">
        <v>22</v>
      </c>
      <c r="AD632" s="842" t="s">
        <v>22</v>
      </c>
      <c r="AE632" s="1762" t="s">
        <v>22</v>
      </c>
      <c r="AF632" s="842" t="s">
        <v>22</v>
      </c>
      <c r="AG632" s="2943" t="s">
        <v>22</v>
      </c>
      <c r="AH632" s="2940" t="s">
        <v>22</v>
      </c>
      <c r="AI632" s="1762" t="s">
        <v>22</v>
      </c>
      <c r="AJ632" s="842" t="s">
        <v>22</v>
      </c>
      <c r="AK632" s="1762" t="s">
        <v>22</v>
      </c>
      <c r="AL632" s="842" t="s">
        <v>22</v>
      </c>
      <c r="AM632" s="1549" t="s">
        <v>1043</v>
      </c>
      <c r="AN632" s="1659"/>
      <c r="AO632" s="1659"/>
      <c r="AP632" s="1659"/>
      <c r="AQ632" s="1659"/>
      <c r="AR632" s="1659"/>
      <c r="AS632" s="1659"/>
      <c r="AT632" s="1659"/>
      <c r="AU632" s="1659"/>
      <c r="AV632" s="1659"/>
      <c r="AW632" s="699"/>
      <c r="AX632" s="1659">
        <v>0</v>
      </c>
    </row>
    <row s="1874" customFormat="1" customHeight="1" ht="22.5">
      <c r="A633" s="1659"/>
      <c r="B633" s="2421" t="s">
        <v>1284</v>
      </c>
      <c r="C633" s="2422" t="s">
        <v>104</v>
      </c>
      <c r="D633" s="713" t="str">
        <f>B633&amp;".1"</f>
        <v>3.199.1</v>
      </c>
      <c r="E633" s="1691" t="s">
        <v>1039</v>
      </c>
      <c r="F633" s="2287" t="s">
        <v>390</v>
      </c>
      <c r="G633" s="2377" t="s">
        <v>22</v>
      </c>
      <c r="H633" s="842" t="s">
        <v>22</v>
      </c>
      <c r="I633" s="2377" t="s">
        <v>22</v>
      </c>
      <c r="J633" s="842" t="s">
        <v>22</v>
      </c>
      <c r="K633" s="2377" t="s">
        <v>22</v>
      </c>
      <c r="L633" s="842" t="s">
        <v>22</v>
      </c>
      <c r="M633" s="2942" t="s">
        <v>22</v>
      </c>
      <c r="N633" s="2940" t="s">
        <v>22</v>
      </c>
      <c r="O633" s="2377" t="s">
        <v>22</v>
      </c>
      <c r="P633" s="842" t="s">
        <v>22</v>
      </c>
      <c r="Q633" s="2377" t="s">
        <v>1059</v>
      </c>
      <c r="R633" s="842" t="s">
        <v>22</v>
      </c>
      <c r="S633" s="2377"/>
      <c r="T633" s="842" t="s">
        <v>22</v>
      </c>
      <c r="U633" s="2377" t="s">
        <v>22</v>
      </c>
      <c r="V633" s="842" t="s">
        <v>22</v>
      </c>
      <c r="W633" s="2377" t="s">
        <v>22</v>
      </c>
      <c r="X633" s="842" t="s">
        <v>22</v>
      </c>
      <c r="Y633" s="2377" t="s">
        <v>22</v>
      </c>
      <c r="Z633" s="842" t="s">
        <v>22</v>
      </c>
      <c r="AA633" s="2942" t="s">
        <v>22</v>
      </c>
      <c r="AB633" s="2940" t="s">
        <v>22</v>
      </c>
      <c r="AC633" s="2377" t="s">
        <v>22</v>
      </c>
      <c r="AD633" s="842" t="s">
        <v>22</v>
      </c>
      <c r="AE633" s="2377" t="s">
        <v>22</v>
      </c>
      <c r="AF633" s="842" t="s">
        <v>22</v>
      </c>
      <c r="AG633" s="2942" t="s">
        <v>22</v>
      </c>
      <c r="AH633" s="2940" t="s">
        <v>22</v>
      </c>
      <c r="AI633" s="2377" t="s">
        <v>22</v>
      </c>
      <c r="AJ633" s="842" t="s">
        <v>22</v>
      </c>
      <c r="AK633" s="2377" t="s">
        <v>22</v>
      </c>
      <c r="AL633" s="842" t="s">
        <v>22</v>
      </c>
      <c r="AM633" s="1549"/>
      <c r="AN633" s="1659"/>
      <c r="AO633" s="1659"/>
      <c r="AP633" s="1659"/>
      <c r="AQ633" s="1659"/>
      <c r="AR633" s="1659"/>
      <c r="AS633" s="1659"/>
      <c r="AT633" s="1659"/>
      <c r="AU633" s="1659"/>
      <c r="AV633" s="1659"/>
      <c r="AW633" s="699"/>
      <c r="AX633" s="1659">
        <v>0</v>
      </c>
    </row>
    <row s="1874" customFormat="1" customHeight="1" ht="15">
      <c r="A634" s="1659"/>
      <c r="B634" s="2421"/>
      <c r="C634" s="2422"/>
      <c r="D634" s="713" t="str">
        <f>B633&amp;".2"</f>
        <v>3.199.2</v>
      </c>
      <c r="E634" s="1691" t="s">
        <v>1040</v>
      </c>
      <c r="F634" s="2287" t="s">
        <v>390</v>
      </c>
      <c r="G634" s="1762" t="s">
        <v>22</v>
      </c>
      <c r="H634" s="842" t="s">
        <v>22</v>
      </c>
      <c r="I634" s="1762" t="s">
        <v>22</v>
      </c>
      <c r="J634" s="842" t="s">
        <v>22</v>
      </c>
      <c r="K634" s="1762" t="s">
        <v>22</v>
      </c>
      <c r="L634" s="842" t="s">
        <v>22</v>
      </c>
      <c r="M634" s="2943" t="s">
        <v>22</v>
      </c>
      <c r="N634" s="2940" t="s">
        <v>22</v>
      </c>
      <c r="O634" s="1762" t="s">
        <v>22</v>
      </c>
      <c r="P634" s="842" t="s">
        <v>22</v>
      </c>
      <c r="Q634" s="1762">
        <v>46142</v>
      </c>
      <c r="R634" s="842" t="s">
        <v>22</v>
      </c>
      <c r="S634" s="1762"/>
      <c r="T634" s="842" t="s">
        <v>22</v>
      </c>
      <c r="U634" s="1762" t="s">
        <v>22</v>
      </c>
      <c r="V634" s="842" t="s">
        <v>22</v>
      </c>
      <c r="W634" s="1762" t="s">
        <v>22</v>
      </c>
      <c r="X634" s="842" t="s">
        <v>22</v>
      </c>
      <c r="Y634" s="1762" t="s">
        <v>22</v>
      </c>
      <c r="Z634" s="842" t="s">
        <v>22</v>
      </c>
      <c r="AA634" s="2943" t="s">
        <v>22</v>
      </c>
      <c r="AB634" s="2940" t="s">
        <v>22</v>
      </c>
      <c r="AC634" s="1762" t="s">
        <v>22</v>
      </c>
      <c r="AD634" s="842" t="s">
        <v>22</v>
      </c>
      <c r="AE634" s="1762" t="s">
        <v>22</v>
      </c>
      <c r="AF634" s="842" t="s">
        <v>22</v>
      </c>
      <c r="AG634" s="2943" t="s">
        <v>22</v>
      </c>
      <c r="AH634" s="2940" t="s">
        <v>22</v>
      </c>
      <c r="AI634" s="1762" t="s">
        <v>22</v>
      </c>
      <c r="AJ634" s="842" t="s">
        <v>22</v>
      </c>
      <c r="AK634" s="1762" t="s">
        <v>22</v>
      </c>
      <c r="AL634" s="842" t="s">
        <v>22</v>
      </c>
      <c r="AM634" s="1549" t="s">
        <v>1041</v>
      </c>
      <c r="AN634" s="1659"/>
      <c r="AO634" s="1659"/>
      <c r="AP634" s="1659"/>
      <c r="AQ634" s="1659"/>
      <c r="AR634" s="1659"/>
      <c r="AS634" s="1659"/>
      <c r="AT634" s="1659"/>
      <c r="AU634" s="1659"/>
      <c r="AV634" s="1659"/>
      <c r="AW634" s="699"/>
      <c r="AX634" s="1659">
        <v>0</v>
      </c>
    </row>
    <row s="1874" customFormat="1" customHeight="1" ht="15">
      <c r="A635" s="1659"/>
      <c r="B635" s="2421"/>
      <c r="C635" s="2422"/>
      <c r="D635" s="713" t="str">
        <f>B633&amp;".3"</f>
        <v>3.199.3</v>
      </c>
      <c r="E635" s="1691" t="s">
        <v>1042</v>
      </c>
      <c r="F635" s="2287" t="s">
        <v>390</v>
      </c>
      <c r="G635" s="1762" t="s">
        <v>22</v>
      </c>
      <c r="H635" s="842" t="s">
        <v>22</v>
      </c>
      <c r="I635" s="1762" t="s">
        <v>22</v>
      </c>
      <c r="J635" s="842" t="s">
        <v>22</v>
      </c>
      <c r="K635" s="1762" t="s">
        <v>22</v>
      </c>
      <c r="L635" s="842" t="s">
        <v>22</v>
      </c>
      <c r="M635" s="2943" t="s">
        <v>22</v>
      </c>
      <c r="N635" s="2940" t="s">
        <v>22</v>
      </c>
      <c r="O635" s="1762" t="s">
        <v>22</v>
      </c>
      <c r="P635" s="842" t="s">
        <v>22</v>
      </c>
      <c r="Q635" s="1762" t="s">
        <v>22</v>
      </c>
      <c r="R635" s="842" t="s">
        <v>22</v>
      </c>
      <c r="S635" s="1762"/>
      <c r="T635" s="842" t="s">
        <v>22</v>
      </c>
      <c r="U635" s="1762" t="s">
        <v>22</v>
      </c>
      <c r="V635" s="842" t="s">
        <v>22</v>
      </c>
      <c r="W635" s="1762" t="s">
        <v>22</v>
      </c>
      <c r="X635" s="842" t="s">
        <v>22</v>
      </c>
      <c r="Y635" s="1762" t="s">
        <v>22</v>
      </c>
      <c r="Z635" s="842" t="s">
        <v>22</v>
      </c>
      <c r="AA635" s="2943" t="s">
        <v>22</v>
      </c>
      <c r="AB635" s="2940" t="s">
        <v>22</v>
      </c>
      <c r="AC635" s="1762" t="s">
        <v>22</v>
      </c>
      <c r="AD635" s="842" t="s">
        <v>22</v>
      </c>
      <c r="AE635" s="1762" t="s">
        <v>22</v>
      </c>
      <c r="AF635" s="842" t="s">
        <v>22</v>
      </c>
      <c r="AG635" s="2943" t="s">
        <v>22</v>
      </c>
      <c r="AH635" s="2940" t="s">
        <v>22</v>
      </c>
      <c r="AI635" s="1762" t="s">
        <v>22</v>
      </c>
      <c r="AJ635" s="842" t="s">
        <v>22</v>
      </c>
      <c r="AK635" s="1762" t="s">
        <v>22</v>
      </c>
      <c r="AL635" s="842" t="s">
        <v>22</v>
      </c>
      <c r="AM635" s="1549" t="s">
        <v>1043</v>
      </c>
      <c r="AN635" s="1659"/>
      <c r="AO635" s="1659"/>
      <c r="AP635" s="1659"/>
      <c r="AQ635" s="1659"/>
      <c r="AR635" s="1659"/>
      <c r="AS635" s="1659"/>
      <c r="AT635" s="1659"/>
      <c r="AU635" s="1659"/>
      <c r="AV635" s="1659"/>
      <c r="AW635" s="699"/>
      <c r="AX635" s="1659">
        <v>0</v>
      </c>
    </row>
    <row s="1874" customFormat="1" customHeight="1" ht="22.5">
      <c r="A636" s="1659"/>
      <c r="B636" s="2421" t="s">
        <v>1285</v>
      </c>
      <c r="C636" s="2422" t="s">
        <v>104</v>
      </c>
      <c r="D636" s="713" t="str">
        <f>B636&amp;".1"</f>
        <v>3.200.1</v>
      </c>
      <c r="E636" s="1691" t="s">
        <v>1039</v>
      </c>
      <c r="F636" s="2287" t="s">
        <v>390</v>
      </c>
      <c r="G636" s="2377" t="s">
        <v>22</v>
      </c>
      <c r="H636" s="842" t="s">
        <v>22</v>
      </c>
      <c r="I636" s="2377" t="s">
        <v>22</v>
      </c>
      <c r="J636" s="842" t="s">
        <v>22</v>
      </c>
      <c r="K636" s="2377" t="s">
        <v>22</v>
      </c>
      <c r="L636" s="842" t="s">
        <v>22</v>
      </c>
      <c r="M636" s="2942" t="s">
        <v>22</v>
      </c>
      <c r="N636" s="2940" t="s">
        <v>22</v>
      </c>
      <c r="O636" s="2377" t="s">
        <v>22</v>
      </c>
      <c r="P636" s="842" t="s">
        <v>22</v>
      </c>
      <c r="Q636" s="2377" t="s">
        <v>1059</v>
      </c>
      <c r="R636" s="842" t="s">
        <v>22</v>
      </c>
      <c r="S636" s="2377"/>
      <c r="T636" s="842" t="s">
        <v>22</v>
      </c>
      <c r="U636" s="2377" t="s">
        <v>22</v>
      </c>
      <c r="V636" s="842" t="s">
        <v>22</v>
      </c>
      <c r="W636" s="2377" t="s">
        <v>22</v>
      </c>
      <c r="X636" s="842" t="s">
        <v>22</v>
      </c>
      <c r="Y636" s="2377" t="s">
        <v>22</v>
      </c>
      <c r="Z636" s="842" t="s">
        <v>22</v>
      </c>
      <c r="AA636" s="2942" t="s">
        <v>22</v>
      </c>
      <c r="AB636" s="2940" t="s">
        <v>22</v>
      </c>
      <c r="AC636" s="2377" t="s">
        <v>22</v>
      </c>
      <c r="AD636" s="842" t="s">
        <v>22</v>
      </c>
      <c r="AE636" s="2377" t="s">
        <v>22</v>
      </c>
      <c r="AF636" s="842" t="s">
        <v>22</v>
      </c>
      <c r="AG636" s="2942" t="s">
        <v>22</v>
      </c>
      <c r="AH636" s="2940" t="s">
        <v>22</v>
      </c>
      <c r="AI636" s="2377" t="s">
        <v>22</v>
      </c>
      <c r="AJ636" s="842" t="s">
        <v>22</v>
      </c>
      <c r="AK636" s="2377" t="s">
        <v>22</v>
      </c>
      <c r="AL636" s="842" t="s">
        <v>22</v>
      </c>
      <c r="AM636" s="1549"/>
      <c r="AN636" s="1659"/>
      <c r="AO636" s="1659"/>
      <c r="AP636" s="1659"/>
      <c r="AQ636" s="1659"/>
      <c r="AR636" s="1659"/>
      <c r="AS636" s="1659"/>
      <c r="AT636" s="1659"/>
      <c r="AU636" s="1659"/>
      <c r="AV636" s="1659"/>
      <c r="AW636" s="699"/>
      <c r="AX636" s="1659">
        <v>0</v>
      </c>
    </row>
    <row s="1874" customFormat="1" customHeight="1" ht="15">
      <c r="A637" s="1659"/>
      <c r="B637" s="2421"/>
      <c r="C637" s="2422"/>
      <c r="D637" s="713" t="str">
        <f>B636&amp;".2"</f>
        <v>3.200.2</v>
      </c>
      <c r="E637" s="1691" t="s">
        <v>1040</v>
      </c>
      <c r="F637" s="2287" t="s">
        <v>390</v>
      </c>
      <c r="G637" s="1762" t="s">
        <v>22</v>
      </c>
      <c r="H637" s="842" t="s">
        <v>22</v>
      </c>
      <c r="I637" s="1762" t="s">
        <v>22</v>
      </c>
      <c r="J637" s="842" t="s">
        <v>22</v>
      </c>
      <c r="K637" s="1762" t="s">
        <v>22</v>
      </c>
      <c r="L637" s="842" t="s">
        <v>22</v>
      </c>
      <c r="M637" s="2943" t="s">
        <v>22</v>
      </c>
      <c r="N637" s="2940" t="s">
        <v>22</v>
      </c>
      <c r="O637" s="1762" t="s">
        <v>22</v>
      </c>
      <c r="P637" s="842" t="s">
        <v>22</v>
      </c>
      <c r="Q637" s="1762">
        <v>46142</v>
      </c>
      <c r="R637" s="842" t="s">
        <v>22</v>
      </c>
      <c r="S637" s="1762"/>
      <c r="T637" s="842" t="s">
        <v>22</v>
      </c>
      <c r="U637" s="1762" t="s">
        <v>22</v>
      </c>
      <c r="V637" s="842" t="s">
        <v>22</v>
      </c>
      <c r="W637" s="1762" t="s">
        <v>22</v>
      </c>
      <c r="X637" s="842" t="s">
        <v>22</v>
      </c>
      <c r="Y637" s="1762" t="s">
        <v>22</v>
      </c>
      <c r="Z637" s="842" t="s">
        <v>22</v>
      </c>
      <c r="AA637" s="2943" t="s">
        <v>22</v>
      </c>
      <c r="AB637" s="2940" t="s">
        <v>22</v>
      </c>
      <c r="AC637" s="1762" t="s">
        <v>22</v>
      </c>
      <c r="AD637" s="842" t="s">
        <v>22</v>
      </c>
      <c r="AE637" s="1762" t="s">
        <v>22</v>
      </c>
      <c r="AF637" s="842" t="s">
        <v>22</v>
      </c>
      <c r="AG637" s="2943" t="s">
        <v>22</v>
      </c>
      <c r="AH637" s="2940" t="s">
        <v>22</v>
      </c>
      <c r="AI637" s="1762" t="s">
        <v>22</v>
      </c>
      <c r="AJ637" s="842" t="s">
        <v>22</v>
      </c>
      <c r="AK637" s="1762" t="s">
        <v>22</v>
      </c>
      <c r="AL637" s="842" t="s">
        <v>22</v>
      </c>
      <c r="AM637" s="1549" t="s">
        <v>1041</v>
      </c>
      <c r="AN637" s="1659"/>
      <c r="AO637" s="1659"/>
      <c r="AP637" s="1659"/>
      <c r="AQ637" s="1659"/>
      <c r="AR637" s="1659"/>
      <c r="AS637" s="1659"/>
      <c r="AT637" s="1659"/>
      <c r="AU637" s="1659"/>
      <c r="AV637" s="1659"/>
      <c r="AW637" s="699"/>
      <c r="AX637" s="1659">
        <v>0</v>
      </c>
    </row>
    <row s="1874" customFormat="1" customHeight="1" ht="15">
      <c r="A638" s="1659"/>
      <c r="B638" s="2421"/>
      <c r="C638" s="2422"/>
      <c r="D638" s="713" t="str">
        <f>B636&amp;".3"</f>
        <v>3.200.3</v>
      </c>
      <c r="E638" s="1691" t="s">
        <v>1042</v>
      </c>
      <c r="F638" s="2287" t="s">
        <v>390</v>
      </c>
      <c r="G638" s="1762" t="s">
        <v>22</v>
      </c>
      <c r="H638" s="842" t="s">
        <v>22</v>
      </c>
      <c r="I638" s="1762" t="s">
        <v>22</v>
      </c>
      <c r="J638" s="842" t="s">
        <v>22</v>
      </c>
      <c r="K638" s="1762" t="s">
        <v>22</v>
      </c>
      <c r="L638" s="842" t="s">
        <v>22</v>
      </c>
      <c r="M638" s="2943" t="s">
        <v>22</v>
      </c>
      <c r="N638" s="2940" t="s">
        <v>22</v>
      </c>
      <c r="O638" s="1762" t="s">
        <v>22</v>
      </c>
      <c r="P638" s="842" t="s">
        <v>22</v>
      </c>
      <c r="Q638" s="1762" t="s">
        <v>22</v>
      </c>
      <c r="R638" s="842" t="s">
        <v>22</v>
      </c>
      <c r="S638" s="1762"/>
      <c r="T638" s="842" t="s">
        <v>22</v>
      </c>
      <c r="U638" s="1762" t="s">
        <v>22</v>
      </c>
      <c r="V638" s="842" t="s">
        <v>22</v>
      </c>
      <c r="W638" s="1762" t="s">
        <v>22</v>
      </c>
      <c r="X638" s="842" t="s">
        <v>22</v>
      </c>
      <c r="Y638" s="1762" t="s">
        <v>22</v>
      </c>
      <c r="Z638" s="842" t="s">
        <v>22</v>
      </c>
      <c r="AA638" s="2943" t="s">
        <v>22</v>
      </c>
      <c r="AB638" s="2940" t="s">
        <v>22</v>
      </c>
      <c r="AC638" s="1762" t="s">
        <v>22</v>
      </c>
      <c r="AD638" s="842" t="s">
        <v>22</v>
      </c>
      <c r="AE638" s="1762" t="s">
        <v>22</v>
      </c>
      <c r="AF638" s="842" t="s">
        <v>22</v>
      </c>
      <c r="AG638" s="2943" t="s">
        <v>22</v>
      </c>
      <c r="AH638" s="2940" t="s">
        <v>22</v>
      </c>
      <c r="AI638" s="1762" t="s">
        <v>22</v>
      </c>
      <c r="AJ638" s="842" t="s">
        <v>22</v>
      </c>
      <c r="AK638" s="1762" t="s">
        <v>22</v>
      </c>
      <c r="AL638" s="842" t="s">
        <v>22</v>
      </c>
      <c r="AM638" s="1549" t="s">
        <v>1043</v>
      </c>
      <c r="AN638" s="1659"/>
      <c r="AO638" s="1659"/>
      <c r="AP638" s="1659"/>
      <c r="AQ638" s="1659"/>
      <c r="AR638" s="1659"/>
      <c r="AS638" s="1659"/>
      <c r="AT638" s="1659"/>
      <c r="AU638" s="1659"/>
      <c r="AV638" s="1659"/>
      <c r="AW638" s="699"/>
      <c r="AX638" s="1659">
        <v>0</v>
      </c>
    </row>
    <row s="1874" customFormat="1" customHeight="1" ht="22.5">
      <c r="A639" s="1659"/>
      <c r="B639" s="2421" t="s">
        <v>1286</v>
      </c>
      <c r="C639" s="2422" t="s">
        <v>104</v>
      </c>
      <c r="D639" s="713" t="str">
        <f>B639&amp;".1"</f>
        <v>3.201.1</v>
      </c>
      <c r="E639" s="1691" t="s">
        <v>1039</v>
      </c>
      <c r="F639" s="2287" t="s">
        <v>390</v>
      </c>
      <c r="G639" s="2377" t="s">
        <v>22</v>
      </c>
      <c r="H639" s="842" t="s">
        <v>22</v>
      </c>
      <c r="I639" s="2377" t="s">
        <v>22</v>
      </c>
      <c r="J639" s="842" t="s">
        <v>22</v>
      </c>
      <c r="K639" s="2377" t="s">
        <v>22</v>
      </c>
      <c r="L639" s="842" t="s">
        <v>22</v>
      </c>
      <c r="M639" s="2942" t="s">
        <v>22</v>
      </c>
      <c r="N639" s="2940" t="s">
        <v>22</v>
      </c>
      <c r="O639" s="2377" t="s">
        <v>22</v>
      </c>
      <c r="P639" s="842" t="s">
        <v>22</v>
      </c>
      <c r="Q639" s="2377" t="s">
        <v>1059</v>
      </c>
      <c r="R639" s="842" t="s">
        <v>22</v>
      </c>
      <c r="S639" s="2377"/>
      <c r="T639" s="842" t="s">
        <v>22</v>
      </c>
      <c r="U639" s="2377" t="s">
        <v>22</v>
      </c>
      <c r="V639" s="842" t="s">
        <v>22</v>
      </c>
      <c r="W639" s="2377" t="s">
        <v>22</v>
      </c>
      <c r="X639" s="842" t="s">
        <v>22</v>
      </c>
      <c r="Y639" s="2377" t="s">
        <v>22</v>
      </c>
      <c r="Z639" s="842" t="s">
        <v>22</v>
      </c>
      <c r="AA639" s="2942" t="s">
        <v>22</v>
      </c>
      <c r="AB639" s="2940" t="s">
        <v>22</v>
      </c>
      <c r="AC639" s="2377" t="s">
        <v>22</v>
      </c>
      <c r="AD639" s="842" t="s">
        <v>22</v>
      </c>
      <c r="AE639" s="2377" t="s">
        <v>22</v>
      </c>
      <c r="AF639" s="842" t="s">
        <v>22</v>
      </c>
      <c r="AG639" s="2942" t="s">
        <v>22</v>
      </c>
      <c r="AH639" s="2940" t="s">
        <v>22</v>
      </c>
      <c r="AI639" s="2377" t="s">
        <v>22</v>
      </c>
      <c r="AJ639" s="842" t="s">
        <v>22</v>
      </c>
      <c r="AK639" s="2377" t="s">
        <v>22</v>
      </c>
      <c r="AL639" s="842" t="s">
        <v>22</v>
      </c>
      <c r="AM639" s="1549"/>
      <c r="AN639" s="1659"/>
      <c r="AO639" s="1659"/>
      <c r="AP639" s="1659"/>
      <c r="AQ639" s="1659"/>
      <c r="AR639" s="1659"/>
      <c r="AS639" s="1659"/>
      <c r="AT639" s="1659"/>
      <c r="AU639" s="1659"/>
      <c r="AV639" s="1659"/>
      <c r="AW639" s="699"/>
      <c r="AX639" s="1659">
        <v>0</v>
      </c>
    </row>
    <row s="1874" customFormat="1" customHeight="1" ht="15">
      <c r="A640" s="1659"/>
      <c r="B640" s="2421"/>
      <c r="C640" s="2422"/>
      <c r="D640" s="713" t="str">
        <f>B639&amp;".2"</f>
        <v>3.201.2</v>
      </c>
      <c r="E640" s="1691" t="s">
        <v>1040</v>
      </c>
      <c r="F640" s="2287" t="s">
        <v>390</v>
      </c>
      <c r="G640" s="1762" t="s">
        <v>22</v>
      </c>
      <c r="H640" s="842" t="s">
        <v>22</v>
      </c>
      <c r="I640" s="1762" t="s">
        <v>22</v>
      </c>
      <c r="J640" s="842" t="s">
        <v>22</v>
      </c>
      <c r="K640" s="1762" t="s">
        <v>22</v>
      </c>
      <c r="L640" s="842" t="s">
        <v>22</v>
      </c>
      <c r="M640" s="2943" t="s">
        <v>22</v>
      </c>
      <c r="N640" s="2940" t="s">
        <v>22</v>
      </c>
      <c r="O640" s="1762" t="s">
        <v>22</v>
      </c>
      <c r="P640" s="842" t="s">
        <v>22</v>
      </c>
      <c r="Q640" s="1762">
        <v>46142</v>
      </c>
      <c r="R640" s="842" t="s">
        <v>22</v>
      </c>
      <c r="S640" s="1762"/>
      <c r="T640" s="842" t="s">
        <v>22</v>
      </c>
      <c r="U640" s="1762" t="s">
        <v>22</v>
      </c>
      <c r="V640" s="842" t="s">
        <v>22</v>
      </c>
      <c r="W640" s="1762" t="s">
        <v>22</v>
      </c>
      <c r="X640" s="842" t="s">
        <v>22</v>
      </c>
      <c r="Y640" s="1762" t="s">
        <v>22</v>
      </c>
      <c r="Z640" s="842" t="s">
        <v>22</v>
      </c>
      <c r="AA640" s="2943" t="s">
        <v>22</v>
      </c>
      <c r="AB640" s="2940" t="s">
        <v>22</v>
      </c>
      <c r="AC640" s="1762" t="s">
        <v>22</v>
      </c>
      <c r="AD640" s="842" t="s">
        <v>22</v>
      </c>
      <c r="AE640" s="1762" t="s">
        <v>22</v>
      </c>
      <c r="AF640" s="842" t="s">
        <v>22</v>
      </c>
      <c r="AG640" s="2943" t="s">
        <v>22</v>
      </c>
      <c r="AH640" s="2940" t="s">
        <v>22</v>
      </c>
      <c r="AI640" s="1762" t="s">
        <v>22</v>
      </c>
      <c r="AJ640" s="842" t="s">
        <v>22</v>
      </c>
      <c r="AK640" s="1762" t="s">
        <v>22</v>
      </c>
      <c r="AL640" s="842" t="s">
        <v>22</v>
      </c>
      <c r="AM640" s="1549" t="s">
        <v>1041</v>
      </c>
      <c r="AN640" s="1659"/>
      <c r="AO640" s="1659"/>
      <c r="AP640" s="1659"/>
      <c r="AQ640" s="1659"/>
      <c r="AR640" s="1659"/>
      <c r="AS640" s="1659"/>
      <c r="AT640" s="1659"/>
      <c r="AU640" s="1659"/>
      <c r="AV640" s="1659"/>
      <c r="AW640" s="699"/>
      <c r="AX640" s="1659">
        <v>0</v>
      </c>
    </row>
    <row s="1874" customFormat="1" customHeight="1" ht="15">
      <c r="A641" s="1659"/>
      <c r="B641" s="2421"/>
      <c r="C641" s="2422"/>
      <c r="D641" s="713" t="str">
        <f>B639&amp;".3"</f>
        <v>3.201.3</v>
      </c>
      <c r="E641" s="1691" t="s">
        <v>1042</v>
      </c>
      <c r="F641" s="2287" t="s">
        <v>390</v>
      </c>
      <c r="G641" s="1762" t="s">
        <v>22</v>
      </c>
      <c r="H641" s="842" t="s">
        <v>22</v>
      </c>
      <c r="I641" s="1762" t="s">
        <v>22</v>
      </c>
      <c r="J641" s="842" t="s">
        <v>22</v>
      </c>
      <c r="K641" s="1762" t="s">
        <v>22</v>
      </c>
      <c r="L641" s="842" t="s">
        <v>22</v>
      </c>
      <c r="M641" s="2943" t="s">
        <v>22</v>
      </c>
      <c r="N641" s="2940" t="s">
        <v>22</v>
      </c>
      <c r="O641" s="1762" t="s">
        <v>22</v>
      </c>
      <c r="P641" s="842" t="s">
        <v>22</v>
      </c>
      <c r="Q641" s="1762" t="s">
        <v>22</v>
      </c>
      <c r="R641" s="842" t="s">
        <v>22</v>
      </c>
      <c r="S641" s="1762"/>
      <c r="T641" s="842" t="s">
        <v>22</v>
      </c>
      <c r="U641" s="1762" t="s">
        <v>22</v>
      </c>
      <c r="V641" s="842" t="s">
        <v>22</v>
      </c>
      <c r="W641" s="1762" t="s">
        <v>22</v>
      </c>
      <c r="X641" s="842" t="s">
        <v>22</v>
      </c>
      <c r="Y641" s="1762" t="s">
        <v>22</v>
      </c>
      <c r="Z641" s="842" t="s">
        <v>22</v>
      </c>
      <c r="AA641" s="2943" t="s">
        <v>22</v>
      </c>
      <c r="AB641" s="2940" t="s">
        <v>22</v>
      </c>
      <c r="AC641" s="1762" t="s">
        <v>22</v>
      </c>
      <c r="AD641" s="842" t="s">
        <v>22</v>
      </c>
      <c r="AE641" s="1762" t="s">
        <v>22</v>
      </c>
      <c r="AF641" s="842" t="s">
        <v>22</v>
      </c>
      <c r="AG641" s="2943" t="s">
        <v>22</v>
      </c>
      <c r="AH641" s="2940" t="s">
        <v>22</v>
      </c>
      <c r="AI641" s="1762" t="s">
        <v>22</v>
      </c>
      <c r="AJ641" s="842" t="s">
        <v>22</v>
      </c>
      <c r="AK641" s="1762" t="s">
        <v>22</v>
      </c>
      <c r="AL641" s="842" t="s">
        <v>22</v>
      </c>
      <c r="AM641" s="1549" t="s">
        <v>1043</v>
      </c>
      <c r="AN641" s="1659"/>
      <c r="AO641" s="1659"/>
      <c r="AP641" s="1659"/>
      <c r="AQ641" s="1659"/>
      <c r="AR641" s="1659"/>
      <c r="AS641" s="1659"/>
      <c r="AT641" s="1659"/>
      <c r="AU641" s="1659"/>
      <c r="AV641" s="1659"/>
      <c r="AW641" s="699"/>
      <c r="AX641" s="1659">
        <v>0</v>
      </c>
    </row>
    <row s="1874" customFormat="1" customHeight="1" ht="22.5">
      <c r="A642" s="1659"/>
      <c r="B642" s="2421" t="s">
        <v>1287</v>
      </c>
      <c r="C642" s="2422" t="s">
        <v>104</v>
      </c>
      <c r="D642" s="713" t="str">
        <f>B642&amp;".1"</f>
        <v>3.202.1</v>
      </c>
      <c r="E642" s="1691" t="s">
        <v>1039</v>
      </c>
      <c r="F642" s="2287" t="s">
        <v>390</v>
      </c>
      <c r="G642" s="2377" t="s">
        <v>22</v>
      </c>
      <c r="H642" s="842" t="s">
        <v>22</v>
      </c>
      <c r="I642" s="2377" t="s">
        <v>22</v>
      </c>
      <c r="J642" s="842" t="s">
        <v>22</v>
      </c>
      <c r="K642" s="2377" t="s">
        <v>22</v>
      </c>
      <c r="L642" s="842" t="s">
        <v>22</v>
      </c>
      <c r="M642" s="2942" t="s">
        <v>22</v>
      </c>
      <c r="N642" s="2940" t="s">
        <v>22</v>
      </c>
      <c r="O642" s="2377" t="s">
        <v>22</v>
      </c>
      <c r="P642" s="842" t="s">
        <v>22</v>
      </c>
      <c r="Q642" s="2377" t="s">
        <v>1059</v>
      </c>
      <c r="R642" s="842" t="s">
        <v>22</v>
      </c>
      <c r="S642" s="2377"/>
      <c r="T642" s="842" t="s">
        <v>22</v>
      </c>
      <c r="U642" s="2377" t="s">
        <v>22</v>
      </c>
      <c r="V642" s="842" t="s">
        <v>22</v>
      </c>
      <c r="W642" s="2377" t="s">
        <v>22</v>
      </c>
      <c r="X642" s="842" t="s">
        <v>22</v>
      </c>
      <c r="Y642" s="2377" t="s">
        <v>22</v>
      </c>
      <c r="Z642" s="842" t="s">
        <v>22</v>
      </c>
      <c r="AA642" s="2942" t="s">
        <v>22</v>
      </c>
      <c r="AB642" s="2940" t="s">
        <v>22</v>
      </c>
      <c r="AC642" s="2377" t="s">
        <v>22</v>
      </c>
      <c r="AD642" s="842" t="s">
        <v>22</v>
      </c>
      <c r="AE642" s="2377" t="s">
        <v>22</v>
      </c>
      <c r="AF642" s="842" t="s">
        <v>22</v>
      </c>
      <c r="AG642" s="2942" t="s">
        <v>22</v>
      </c>
      <c r="AH642" s="2940" t="s">
        <v>22</v>
      </c>
      <c r="AI642" s="2377" t="s">
        <v>22</v>
      </c>
      <c r="AJ642" s="842" t="s">
        <v>22</v>
      </c>
      <c r="AK642" s="2377" t="s">
        <v>22</v>
      </c>
      <c r="AL642" s="842" t="s">
        <v>22</v>
      </c>
      <c r="AM642" s="1549"/>
      <c r="AN642" s="1659"/>
      <c r="AO642" s="1659"/>
      <c r="AP642" s="1659"/>
      <c r="AQ642" s="1659"/>
      <c r="AR642" s="1659"/>
      <c r="AS642" s="1659"/>
      <c r="AT642" s="1659"/>
      <c r="AU642" s="1659"/>
      <c r="AV642" s="1659"/>
      <c r="AW642" s="699"/>
      <c r="AX642" s="1659">
        <v>0</v>
      </c>
    </row>
    <row s="1874" customFormat="1" customHeight="1" ht="15">
      <c r="A643" s="1659"/>
      <c r="B643" s="2421"/>
      <c r="C643" s="2422"/>
      <c r="D643" s="713" t="str">
        <f>B642&amp;".2"</f>
        <v>3.202.2</v>
      </c>
      <c r="E643" s="1691" t="s">
        <v>1040</v>
      </c>
      <c r="F643" s="2287" t="s">
        <v>390</v>
      </c>
      <c r="G643" s="1762" t="s">
        <v>22</v>
      </c>
      <c r="H643" s="842" t="s">
        <v>22</v>
      </c>
      <c r="I643" s="1762" t="s">
        <v>22</v>
      </c>
      <c r="J643" s="842" t="s">
        <v>22</v>
      </c>
      <c r="K643" s="1762" t="s">
        <v>22</v>
      </c>
      <c r="L643" s="842" t="s">
        <v>22</v>
      </c>
      <c r="M643" s="2943" t="s">
        <v>22</v>
      </c>
      <c r="N643" s="2940" t="s">
        <v>22</v>
      </c>
      <c r="O643" s="1762" t="s">
        <v>22</v>
      </c>
      <c r="P643" s="842" t="s">
        <v>22</v>
      </c>
      <c r="Q643" s="1762">
        <v>46142</v>
      </c>
      <c r="R643" s="842" t="s">
        <v>22</v>
      </c>
      <c r="S643" s="1762"/>
      <c r="T643" s="842" t="s">
        <v>22</v>
      </c>
      <c r="U643" s="1762" t="s">
        <v>22</v>
      </c>
      <c r="V643" s="842" t="s">
        <v>22</v>
      </c>
      <c r="W643" s="1762" t="s">
        <v>22</v>
      </c>
      <c r="X643" s="842" t="s">
        <v>22</v>
      </c>
      <c r="Y643" s="1762" t="s">
        <v>22</v>
      </c>
      <c r="Z643" s="842" t="s">
        <v>22</v>
      </c>
      <c r="AA643" s="2943" t="s">
        <v>22</v>
      </c>
      <c r="AB643" s="2940" t="s">
        <v>22</v>
      </c>
      <c r="AC643" s="1762" t="s">
        <v>22</v>
      </c>
      <c r="AD643" s="842" t="s">
        <v>22</v>
      </c>
      <c r="AE643" s="1762" t="s">
        <v>22</v>
      </c>
      <c r="AF643" s="842" t="s">
        <v>22</v>
      </c>
      <c r="AG643" s="2943" t="s">
        <v>22</v>
      </c>
      <c r="AH643" s="2940" t="s">
        <v>22</v>
      </c>
      <c r="AI643" s="1762" t="s">
        <v>22</v>
      </c>
      <c r="AJ643" s="842" t="s">
        <v>22</v>
      </c>
      <c r="AK643" s="1762" t="s">
        <v>22</v>
      </c>
      <c r="AL643" s="842" t="s">
        <v>22</v>
      </c>
      <c r="AM643" s="1549" t="s">
        <v>1041</v>
      </c>
      <c r="AN643" s="1659"/>
      <c r="AO643" s="1659"/>
      <c r="AP643" s="1659"/>
      <c r="AQ643" s="1659"/>
      <c r="AR643" s="1659"/>
      <c r="AS643" s="1659"/>
      <c r="AT643" s="1659"/>
      <c r="AU643" s="1659"/>
      <c r="AV643" s="1659"/>
      <c r="AW643" s="699"/>
      <c r="AX643" s="1659">
        <v>0</v>
      </c>
    </row>
    <row s="1874" customFormat="1" customHeight="1" ht="15">
      <c r="A644" s="1659"/>
      <c r="B644" s="2421"/>
      <c r="C644" s="2422"/>
      <c r="D644" s="713" t="str">
        <f>B642&amp;".3"</f>
        <v>3.202.3</v>
      </c>
      <c r="E644" s="1691" t="s">
        <v>1042</v>
      </c>
      <c r="F644" s="2287" t="s">
        <v>390</v>
      </c>
      <c r="G644" s="1762" t="s">
        <v>22</v>
      </c>
      <c r="H644" s="842" t="s">
        <v>22</v>
      </c>
      <c r="I644" s="1762" t="s">
        <v>22</v>
      </c>
      <c r="J644" s="842" t="s">
        <v>22</v>
      </c>
      <c r="K644" s="1762" t="s">
        <v>22</v>
      </c>
      <c r="L644" s="842" t="s">
        <v>22</v>
      </c>
      <c r="M644" s="2943" t="s">
        <v>22</v>
      </c>
      <c r="N644" s="2940" t="s">
        <v>22</v>
      </c>
      <c r="O644" s="1762" t="s">
        <v>22</v>
      </c>
      <c r="P644" s="842" t="s">
        <v>22</v>
      </c>
      <c r="Q644" s="1762" t="s">
        <v>22</v>
      </c>
      <c r="R644" s="842" t="s">
        <v>22</v>
      </c>
      <c r="S644" s="1762"/>
      <c r="T644" s="842" t="s">
        <v>22</v>
      </c>
      <c r="U644" s="1762" t="s">
        <v>22</v>
      </c>
      <c r="V644" s="842" t="s">
        <v>22</v>
      </c>
      <c r="W644" s="1762" t="s">
        <v>22</v>
      </c>
      <c r="X644" s="842" t="s">
        <v>22</v>
      </c>
      <c r="Y644" s="1762" t="s">
        <v>22</v>
      </c>
      <c r="Z644" s="842" t="s">
        <v>22</v>
      </c>
      <c r="AA644" s="2943" t="s">
        <v>22</v>
      </c>
      <c r="AB644" s="2940" t="s">
        <v>22</v>
      </c>
      <c r="AC644" s="1762" t="s">
        <v>22</v>
      </c>
      <c r="AD644" s="842" t="s">
        <v>22</v>
      </c>
      <c r="AE644" s="1762" t="s">
        <v>22</v>
      </c>
      <c r="AF644" s="842" t="s">
        <v>22</v>
      </c>
      <c r="AG644" s="2943" t="s">
        <v>22</v>
      </c>
      <c r="AH644" s="2940" t="s">
        <v>22</v>
      </c>
      <c r="AI644" s="1762" t="s">
        <v>22</v>
      </c>
      <c r="AJ644" s="842" t="s">
        <v>22</v>
      </c>
      <c r="AK644" s="1762" t="s">
        <v>22</v>
      </c>
      <c r="AL644" s="842" t="s">
        <v>22</v>
      </c>
      <c r="AM644" s="1549" t="s">
        <v>1043</v>
      </c>
      <c r="AN644" s="1659"/>
      <c r="AO644" s="1659"/>
      <c r="AP644" s="1659"/>
      <c r="AQ644" s="1659"/>
      <c r="AR644" s="1659"/>
      <c r="AS644" s="1659"/>
      <c r="AT644" s="1659"/>
      <c r="AU644" s="1659"/>
      <c r="AV644" s="1659"/>
      <c r="AW644" s="699"/>
      <c r="AX644" s="1659">
        <v>0</v>
      </c>
    </row>
    <row s="1874" customFormat="1" customHeight="1" ht="22.5">
      <c r="A645" s="1659"/>
      <c r="B645" s="2421" t="s">
        <v>1288</v>
      </c>
      <c r="C645" s="2422" t="s">
        <v>104</v>
      </c>
      <c r="D645" s="713" t="str">
        <f>B645&amp;".1"</f>
        <v>3.203.1</v>
      </c>
      <c r="E645" s="1691" t="s">
        <v>1039</v>
      </c>
      <c r="F645" s="2287" t="s">
        <v>390</v>
      </c>
      <c r="G645" s="2377" t="s">
        <v>22</v>
      </c>
      <c r="H645" s="842" t="s">
        <v>22</v>
      </c>
      <c r="I645" s="2377" t="s">
        <v>22</v>
      </c>
      <c r="J645" s="842" t="s">
        <v>22</v>
      </c>
      <c r="K645" s="2377" t="s">
        <v>22</v>
      </c>
      <c r="L645" s="842" t="s">
        <v>22</v>
      </c>
      <c r="M645" s="2942" t="s">
        <v>22</v>
      </c>
      <c r="N645" s="2940" t="s">
        <v>22</v>
      </c>
      <c r="O645" s="2377" t="s">
        <v>22</v>
      </c>
      <c r="P645" s="842" t="s">
        <v>22</v>
      </c>
      <c r="Q645" s="2377" t="s">
        <v>1059</v>
      </c>
      <c r="R645" s="842" t="s">
        <v>22</v>
      </c>
      <c r="S645" s="2377"/>
      <c r="T645" s="842" t="s">
        <v>22</v>
      </c>
      <c r="U645" s="2377" t="s">
        <v>22</v>
      </c>
      <c r="V645" s="842" t="s">
        <v>22</v>
      </c>
      <c r="W645" s="2377" t="s">
        <v>22</v>
      </c>
      <c r="X645" s="842" t="s">
        <v>22</v>
      </c>
      <c r="Y645" s="2377" t="s">
        <v>22</v>
      </c>
      <c r="Z645" s="842" t="s">
        <v>22</v>
      </c>
      <c r="AA645" s="2942" t="s">
        <v>22</v>
      </c>
      <c r="AB645" s="2940" t="s">
        <v>22</v>
      </c>
      <c r="AC645" s="2377" t="s">
        <v>22</v>
      </c>
      <c r="AD645" s="842" t="s">
        <v>22</v>
      </c>
      <c r="AE645" s="2377" t="s">
        <v>22</v>
      </c>
      <c r="AF645" s="842" t="s">
        <v>22</v>
      </c>
      <c r="AG645" s="2942" t="s">
        <v>22</v>
      </c>
      <c r="AH645" s="2940" t="s">
        <v>22</v>
      </c>
      <c r="AI645" s="2377" t="s">
        <v>22</v>
      </c>
      <c r="AJ645" s="842" t="s">
        <v>22</v>
      </c>
      <c r="AK645" s="2377" t="s">
        <v>22</v>
      </c>
      <c r="AL645" s="842" t="s">
        <v>22</v>
      </c>
      <c r="AM645" s="1549"/>
      <c r="AN645" s="1659"/>
      <c r="AO645" s="1659"/>
      <c r="AP645" s="1659"/>
      <c r="AQ645" s="1659"/>
      <c r="AR645" s="1659"/>
      <c r="AS645" s="1659"/>
      <c r="AT645" s="1659"/>
      <c r="AU645" s="1659"/>
      <c r="AV645" s="1659"/>
      <c r="AW645" s="699"/>
      <c r="AX645" s="1659">
        <v>0</v>
      </c>
    </row>
    <row s="1874" customFormat="1" customHeight="1" ht="15">
      <c r="A646" s="1659"/>
      <c r="B646" s="2421"/>
      <c r="C646" s="2422"/>
      <c r="D646" s="713" t="str">
        <f>B645&amp;".2"</f>
        <v>3.203.2</v>
      </c>
      <c r="E646" s="1691" t="s">
        <v>1040</v>
      </c>
      <c r="F646" s="2287" t="s">
        <v>390</v>
      </c>
      <c r="G646" s="1762" t="s">
        <v>22</v>
      </c>
      <c r="H646" s="842" t="s">
        <v>22</v>
      </c>
      <c r="I646" s="1762" t="s">
        <v>22</v>
      </c>
      <c r="J646" s="842" t="s">
        <v>22</v>
      </c>
      <c r="K646" s="1762" t="s">
        <v>22</v>
      </c>
      <c r="L646" s="842" t="s">
        <v>22</v>
      </c>
      <c r="M646" s="2943" t="s">
        <v>22</v>
      </c>
      <c r="N646" s="2940" t="s">
        <v>22</v>
      </c>
      <c r="O646" s="1762" t="s">
        <v>22</v>
      </c>
      <c r="P646" s="842" t="s">
        <v>22</v>
      </c>
      <c r="Q646" s="1762">
        <v>46142</v>
      </c>
      <c r="R646" s="842" t="s">
        <v>22</v>
      </c>
      <c r="S646" s="1762"/>
      <c r="T646" s="842" t="s">
        <v>22</v>
      </c>
      <c r="U646" s="1762" t="s">
        <v>22</v>
      </c>
      <c r="V646" s="842" t="s">
        <v>22</v>
      </c>
      <c r="W646" s="1762" t="s">
        <v>22</v>
      </c>
      <c r="X646" s="842" t="s">
        <v>22</v>
      </c>
      <c r="Y646" s="1762" t="s">
        <v>22</v>
      </c>
      <c r="Z646" s="842" t="s">
        <v>22</v>
      </c>
      <c r="AA646" s="2943" t="s">
        <v>22</v>
      </c>
      <c r="AB646" s="2940" t="s">
        <v>22</v>
      </c>
      <c r="AC646" s="1762" t="s">
        <v>22</v>
      </c>
      <c r="AD646" s="842" t="s">
        <v>22</v>
      </c>
      <c r="AE646" s="1762" t="s">
        <v>22</v>
      </c>
      <c r="AF646" s="842" t="s">
        <v>22</v>
      </c>
      <c r="AG646" s="2943" t="s">
        <v>22</v>
      </c>
      <c r="AH646" s="2940" t="s">
        <v>22</v>
      </c>
      <c r="AI646" s="1762" t="s">
        <v>22</v>
      </c>
      <c r="AJ646" s="842" t="s">
        <v>22</v>
      </c>
      <c r="AK646" s="1762" t="s">
        <v>22</v>
      </c>
      <c r="AL646" s="842" t="s">
        <v>22</v>
      </c>
      <c r="AM646" s="1549" t="s">
        <v>1041</v>
      </c>
      <c r="AN646" s="1659"/>
      <c r="AO646" s="1659"/>
      <c r="AP646" s="1659"/>
      <c r="AQ646" s="1659"/>
      <c r="AR646" s="1659"/>
      <c r="AS646" s="1659"/>
      <c r="AT646" s="1659"/>
      <c r="AU646" s="1659"/>
      <c r="AV646" s="1659"/>
      <c r="AW646" s="699"/>
      <c r="AX646" s="1659">
        <v>0</v>
      </c>
    </row>
    <row s="1874" customFormat="1" customHeight="1" ht="15">
      <c r="A647" s="1659"/>
      <c r="B647" s="2421"/>
      <c r="C647" s="2422"/>
      <c r="D647" s="713" t="str">
        <f>B645&amp;".3"</f>
        <v>3.203.3</v>
      </c>
      <c r="E647" s="1691" t="s">
        <v>1042</v>
      </c>
      <c r="F647" s="2287" t="s">
        <v>390</v>
      </c>
      <c r="G647" s="1762" t="s">
        <v>22</v>
      </c>
      <c r="H647" s="842" t="s">
        <v>22</v>
      </c>
      <c r="I647" s="1762" t="s">
        <v>22</v>
      </c>
      <c r="J647" s="842" t="s">
        <v>22</v>
      </c>
      <c r="K647" s="1762" t="s">
        <v>22</v>
      </c>
      <c r="L647" s="842" t="s">
        <v>22</v>
      </c>
      <c r="M647" s="2943" t="s">
        <v>22</v>
      </c>
      <c r="N647" s="2940" t="s">
        <v>22</v>
      </c>
      <c r="O647" s="1762" t="s">
        <v>22</v>
      </c>
      <c r="P647" s="842" t="s">
        <v>22</v>
      </c>
      <c r="Q647" s="1762" t="s">
        <v>22</v>
      </c>
      <c r="R647" s="842" t="s">
        <v>22</v>
      </c>
      <c r="S647" s="1762"/>
      <c r="T647" s="842" t="s">
        <v>22</v>
      </c>
      <c r="U647" s="1762" t="s">
        <v>22</v>
      </c>
      <c r="V647" s="842" t="s">
        <v>22</v>
      </c>
      <c r="W647" s="1762" t="s">
        <v>22</v>
      </c>
      <c r="X647" s="842" t="s">
        <v>22</v>
      </c>
      <c r="Y647" s="1762" t="s">
        <v>22</v>
      </c>
      <c r="Z647" s="842" t="s">
        <v>22</v>
      </c>
      <c r="AA647" s="2943" t="s">
        <v>22</v>
      </c>
      <c r="AB647" s="2940" t="s">
        <v>22</v>
      </c>
      <c r="AC647" s="1762" t="s">
        <v>22</v>
      </c>
      <c r="AD647" s="842" t="s">
        <v>22</v>
      </c>
      <c r="AE647" s="1762" t="s">
        <v>22</v>
      </c>
      <c r="AF647" s="842" t="s">
        <v>22</v>
      </c>
      <c r="AG647" s="2943" t="s">
        <v>22</v>
      </c>
      <c r="AH647" s="2940" t="s">
        <v>22</v>
      </c>
      <c r="AI647" s="1762" t="s">
        <v>22</v>
      </c>
      <c r="AJ647" s="842" t="s">
        <v>22</v>
      </c>
      <c r="AK647" s="1762" t="s">
        <v>22</v>
      </c>
      <c r="AL647" s="842" t="s">
        <v>22</v>
      </c>
      <c r="AM647" s="1549" t="s">
        <v>1043</v>
      </c>
      <c r="AN647" s="1659"/>
      <c r="AO647" s="1659"/>
      <c r="AP647" s="1659"/>
      <c r="AQ647" s="1659"/>
      <c r="AR647" s="1659"/>
      <c r="AS647" s="1659"/>
      <c r="AT647" s="1659"/>
      <c r="AU647" s="1659"/>
      <c r="AV647" s="1659"/>
      <c r="AW647" s="699"/>
      <c r="AX647" s="1659">
        <v>0</v>
      </c>
    </row>
    <row s="1874" customFormat="1" customHeight="1" ht="22.5">
      <c r="A648" s="1659"/>
      <c r="B648" s="2421" t="s">
        <v>1289</v>
      </c>
      <c r="C648" s="2422" t="s">
        <v>104</v>
      </c>
      <c r="D648" s="713" t="str">
        <f>B648&amp;".1"</f>
        <v>3.204.1</v>
      </c>
      <c r="E648" s="1691" t="s">
        <v>1039</v>
      </c>
      <c r="F648" s="2287" t="s">
        <v>390</v>
      </c>
      <c r="G648" s="2377" t="s">
        <v>22</v>
      </c>
      <c r="H648" s="842" t="s">
        <v>22</v>
      </c>
      <c r="I648" s="2377" t="s">
        <v>22</v>
      </c>
      <c r="J648" s="842" t="s">
        <v>22</v>
      </c>
      <c r="K648" s="2377" t="s">
        <v>22</v>
      </c>
      <c r="L648" s="842" t="s">
        <v>22</v>
      </c>
      <c r="M648" s="2942" t="s">
        <v>22</v>
      </c>
      <c r="N648" s="2940" t="s">
        <v>22</v>
      </c>
      <c r="O648" s="2377" t="s">
        <v>22</v>
      </c>
      <c r="P648" s="842" t="s">
        <v>22</v>
      </c>
      <c r="Q648" s="2377" t="s">
        <v>1059</v>
      </c>
      <c r="R648" s="842" t="s">
        <v>22</v>
      </c>
      <c r="S648" s="2377"/>
      <c r="T648" s="842" t="s">
        <v>22</v>
      </c>
      <c r="U648" s="2377" t="s">
        <v>22</v>
      </c>
      <c r="V648" s="842" t="s">
        <v>22</v>
      </c>
      <c r="W648" s="2377" t="s">
        <v>22</v>
      </c>
      <c r="X648" s="842" t="s">
        <v>22</v>
      </c>
      <c r="Y648" s="2377" t="s">
        <v>22</v>
      </c>
      <c r="Z648" s="842" t="s">
        <v>22</v>
      </c>
      <c r="AA648" s="2942" t="s">
        <v>22</v>
      </c>
      <c r="AB648" s="2940" t="s">
        <v>22</v>
      </c>
      <c r="AC648" s="2377" t="s">
        <v>22</v>
      </c>
      <c r="AD648" s="842" t="s">
        <v>22</v>
      </c>
      <c r="AE648" s="2377" t="s">
        <v>22</v>
      </c>
      <c r="AF648" s="842" t="s">
        <v>22</v>
      </c>
      <c r="AG648" s="2942" t="s">
        <v>22</v>
      </c>
      <c r="AH648" s="2940" t="s">
        <v>22</v>
      </c>
      <c r="AI648" s="2377" t="s">
        <v>22</v>
      </c>
      <c r="AJ648" s="842" t="s">
        <v>22</v>
      </c>
      <c r="AK648" s="2377" t="s">
        <v>22</v>
      </c>
      <c r="AL648" s="842" t="s">
        <v>22</v>
      </c>
      <c r="AM648" s="1549"/>
      <c r="AN648" s="1659"/>
      <c r="AO648" s="1659"/>
      <c r="AP648" s="1659"/>
      <c r="AQ648" s="1659"/>
      <c r="AR648" s="1659"/>
      <c r="AS648" s="1659"/>
      <c r="AT648" s="1659"/>
      <c r="AU648" s="1659"/>
      <c r="AV648" s="1659"/>
      <c r="AW648" s="699"/>
      <c r="AX648" s="1659">
        <v>0</v>
      </c>
    </row>
    <row s="1874" customFormat="1" customHeight="1" ht="15">
      <c r="A649" s="1659"/>
      <c r="B649" s="2421"/>
      <c r="C649" s="2422"/>
      <c r="D649" s="713" t="str">
        <f>B648&amp;".2"</f>
        <v>3.204.2</v>
      </c>
      <c r="E649" s="1691" t="s">
        <v>1040</v>
      </c>
      <c r="F649" s="2287" t="s">
        <v>390</v>
      </c>
      <c r="G649" s="1762" t="s">
        <v>22</v>
      </c>
      <c r="H649" s="842" t="s">
        <v>22</v>
      </c>
      <c r="I649" s="1762" t="s">
        <v>22</v>
      </c>
      <c r="J649" s="842" t="s">
        <v>22</v>
      </c>
      <c r="K649" s="1762" t="s">
        <v>22</v>
      </c>
      <c r="L649" s="842" t="s">
        <v>22</v>
      </c>
      <c r="M649" s="2943" t="s">
        <v>22</v>
      </c>
      <c r="N649" s="2940" t="s">
        <v>22</v>
      </c>
      <c r="O649" s="1762" t="s">
        <v>22</v>
      </c>
      <c r="P649" s="842" t="s">
        <v>22</v>
      </c>
      <c r="Q649" s="1762">
        <v>46142</v>
      </c>
      <c r="R649" s="842" t="s">
        <v>22</v>
      </c>
      <c r="S649" s="1762"/>
      <c r="T649" s="842" t="s">
        <v>22</v>
      </c>
      <c r="U649" s="1762" t="s">
        <v>22</v>
      </c>
      <c r="V649" s="842" t="s">
        <v>22</v>
      </c>
      <c r="W649" s="1762" t="s">
        <v>22</v>
      </c>
      <c r="X649" s="842" t="s">
        <v>22</v>
      </c>
      <c r="Y649" s="1762" t="s">
        <v>22</v>
      </c>
      <c r="Z649" s="842" t="s">
        <v>22</v>
      </c>
      <c r="AA649" s="2943" t="s">
        <v>22</v>
      </c>
      <c r="AB649" s="2940" t="s">
        <v>22</v>
      </c>
      <c r="AC649" s="1762" t="s">
        <v>22</v>
      </c>
      <c r="AD649" s="842" t="s">
        <v>22</v>
      </c>
      <c r="AE649" s="1762" t="s">
        <v>22</v>
      </c>
      <c r="AF649" s="842" t="s">
        <v>22</v>
      </c>
      <c r="AG649" s="2943" t="s">
        <v>22</v>
      </c>
      <c r="AH649" s="2940" t="s">
        <v>22</v>
      </c>
      <c r="AI649" s="1762" t="s">
        <v>22</v>
      </c>
      <c r="AJ649" s="842" t="s">
        <v>22</v>
      </c>
      <c r="AK649" s="1762" t="s">
        <v>22</v>
      </c>
      <c r="AL649" s="842" t="s">
        <v>22</v>
      </c>
      <c r="AM649" s="1549" t="s">
        <v>1041</v>
      </c>
      <c r="AN649" s="1659"/>
      <c r="AO649" s="1659"/>
      <c r="AP649" s="1659"/>
      <c r="AQ649" s="1659"/>
      <c r="AR649" s="1659"/>
      <c r="AS649" s="1659"/>
      <c r="AT649" s="1659"/>
      <c r="AU649" s="1659"/>
      <c r="AV649" s="1659"/>
      <c r="AW649" s="699"/>
      <c r="AX649" s="1659">
        <v>0</v>
      </c>
    </row>
    <row s="1874" customFormat="1" customHeight="1" ht="15">
      <c r="A650" s="1659"/>
      <c r="B650" s="2421"/>
      <c r="C650" s="2422"/>
      <c r="D650" s="713" t="str">
        <f>B648&amp;".3"</f>
        <v>3.204.3</v>
      </c>
      <c r="E650" s="1691" t="s">
        <v>1042</v>
      </c>
      <c r="F650" s="2287" t="s">
        <v>390</v>
      </c>
      <c r="G650" s="1762" t="s">
        <v>22</v>
      </c>
      <c r="H650" s="842" t="s">
        <v>22</v>
      </c>
      <c r="I650" s="1762" t="s">
        <v>22</v>
      </c>
      <c r="J650" s="842" t="s">
        <v>22</v>
      </c>
      <c r="K650" s="1762" t="s">
        <v>22</v>
      </c>
      <c r="L650" s="842" t="s">
        <v>22</v>
      </c>
      <c r="M650" s="2943" t="s">
        <v>22</v>
      </c>
      <c r="N650" s="2940" t="s">
        <v>22</v>
      </c>
      <c r="O650" s="1762" t="s">
        <v>22</v>
      </c>
      <c r="P650" s="842" t="s">
        <v>22</v>
      </c>
      <c r="Q650" s="1762" t="s">
        <v>22</v>
      </c>
      <c r="R650" s="842" t="s">
        <v>22</v>
      </c>
      <c r="S650" s="1762"/>
      <c r="T650" s="842" t="s">
        <v>22</v>
      </c>
      <c r="U650" s="1762" t="s">
        <v>22</v>
      </c>
      <c r="V650" s="842" t="s">
        <v>22</v>
      </c>
      <c r="W650" s="1762" t="s">
        <v>22</v>
      </c>
      <c r="X650" s="842" t="s">
        <v>22</v>
      </c>
      <c r="Y650" s="1762" t="s">
        <v>22</v>
      </c>
      <c r="Z650" s="842" t="s">
        <v>22</v>
      </c>
      <c r="AA650" s="2943" t="s">
        <v>22</v>
      </c>
      <c r="AB650" s="2940" t="s">
        <v>22</v>
      </c>
      <c r="AC650" s="1762" t="s">
        <v>22</v>
      </c>
      <c r="AD650" s="842" t="s">
        <v>22</v>
      </c>
      <c r="AE650" s="1762" t="s">
        <v>22</v>
      </c>
      <c r="AF650" s="842" t="s">
        <v>22</v>
      </c>
      <c r="AG650" s="2943" t="s">
        <v>22</v>
      </c>
      <c r="AH650" s="2940" t="s">
        <v>22</v>
      </c>
      <c r="AI650" s="1762" t="s">
        <v>22</v>
      </c>
      <c r="AJ650" s="842" t="s">
        <v>22</v>
      </c>
      <c r="AK650" s="1762" t="s">
        <v>22</v>
      </c>
      <c r="AL650" s="842" t="s">
        <v>22</v>
      </c>
      <c r="AM650" s="1549" t="s">
        <v>1043</v>
      </c>
      <c r="AN650" s="1659"/>
      <c r="AO650" s="1659"/>
      <c r="AP650" s="1659"/>
      <c r="AQ650" s="1659"/>
      <c r="AR650" s="1659"/>
      <c r="AS650" s="1659"/>
      <c r="AT650" s="1659"/>
      <c r="AU650" s="1659"/>
      <c r="AV650" s="1659"/>
      <c r="AW650" s="699"/>
      <c r="AX650" s="1659">
        <v>0</v>
      </c>
    </row>
    <row s="1874" customFormat="1" customHeight="1" ht="22.5">
      <c r="A651" s="1659"/>
      <c r="B651" s="2421" t="s">
        <v>1290</v>
      </c>
      <c r="C651" s="2422" t="s">
        <v>104</v>
      </c>
      <c r="D651" s="713" t="str">
        <f>B651&amp;".1"</f>
        <v>3.205.1</v>
      </c>
      <c r="E651" s="1691" t="s">
        <v>1039</v>
      </c>
      <c r="F651" s="2287" t="s">
        <v>390</v>
      </c>
      <c r="G651" s="2377" t="s">
        <v>22</v>
      </c>
      <c r="H651" s="842" t="s">
        <v>22</v>
      </c>
      <c r="I651" s="2377" t="s">
        <v>22</v>
      </c>
      <c r="J651" s="842" t="s">
        <v>22</v>
      </c>
      <c r="K651" s="2377" t="s">
        <v>22</v>
      </c>
      <c r="L651" s="842" t="s">
        <v>22</v>
      </c>
      <c r="M651" s="2942" t="s">
        <v>22</v>
      </c>
      <c r="N651" s="2940" t="s">
        <v>22</v>
      </c>
      <c r="O651" s="2377" t="s">
        <v>22</v>
      </c>
      <c r="P651" s="842" t="s">
        <v>22</v>
      </c>
      <c r="Q651" s="2377" t="s">
        <v>1059</v>
      </c>
      <c r="R651" s="842" t="s">
        <v>22</v>
      </c>
      <c r="S651" s="2377"/>
      <c r="T651" s="842" t="s">
        <v>22</v>
      </c>
      <c r="U651" s="2377" t="s">
        <v>22</v>
      </c>
      <c r="V651" s="842" t="s">
        <v>22</v>
      </c>
      <c r="W651" s="2377" t="s">
        <v>22</v>
      </c>
      <c r="X651" s="842" t="s">
        <v>22</v>
      </c>
      <c r="Y651" s="2377" t="s">
        <v>22</v>
      </c>
      <c r="Z651" s="842" t="s">
        <v>22</v>
      </c>
      <c r="AA651" s="2942" t="s">
        <v>22</v>
      </c>
      <c r="AB651" s="2940" t="s">
        <v>22</v>
      </c>
      <c r="AC651" s="2377" t="s">
        <v>22</v>
      </c>
      <c r="AD651" s="842" t="s">
        <v>22</v>
      </c>
      <c r="AE651" s="2377" t="s">
        <v>22</v>
      </c>
      <c r="AF651" s="842" t="s">
        <v>22</v>
      </c>
      <c r="AG651" s="2942" t="s">
        <v>22</v>
      </c>
      <c r="AH651" s="2940" t="s">
        <v>22</v>
      </c>
      <c r="AI651" s="2377" t="s">
        <v>22</v>
      </c>
      <c r="AJ651" s="842" t="s">
        <v>22</v>
      </c>
      <c r="AK651" s="2377" t="s">
        <v>22</v>
      </c>
      <c r="AL651" s="842" t="s">
        <v>22</v>
      </c>
      <c r="AM651" s="1549"/>
      <c r="AN651" s="1659"/>
      <c r="AO651" s="1659"/>
      <c r="AP651" s="1659"/>
      <c r="AQ651" s="1659"/>
      <c r="AR651" s="1659"/>
      <c r="AS651" s="1659"/>
      <c r="AT651" s="1659"/>
      <c r="AU651" s="1659"/>
      <c r="AV651" s="1659"/>
      <c r="AW651" s="699"/>
      <c r="AX651" s="1659">
        <v>0</v>
      </c>
    </row>
    <row s="1874" customFormat="1" customHeight="1" ht="15">
      <c r="A652" s="1659"/>
      <c r="B652" s="2421"/>
      <c r="C652" s="2422"/>
      <c r="D652" s="713" t="str">
        <f>B651&amp;".2"</f>
        <v>3.205.2</v>
      </c>
      <c r="E652" s="1691" t="s">
        <v>1040</v>
      </c>
      <c r="F652" s="2287" t="s">
        <v>390</v>
      </c>
      <c r="G652" s="1762" t="s">
        <v>22</v>
      </c>
      <c r="H652" s="842" t="s">
        <v>22</v>
      </c>
      <c r="I652" s="1762" t="s">
        <v>22</v>
      </c>
      <c r="J652" s="842" t="s">
        <v>22</v>
      </c>
      <c r="K652" s="1762" t="s">
        <v>22</v>
      </c>
      <c r="L652" s="842" t="s">
        <v>22</v>
      </c>
      <c r="M652" s="2943" t="s">
        <v>22</v>
      </c>
      <c r="N652" s="2940" t="s">
        <v>22</v>
      </c>
      <c r="O652" s="1762" t="s">
        <v>22</v>
      </c>
      <c r="P652" s="842" t="s">
        <v>22</v>
      </c>
      <c r="Q652" s="1762">
        <v>46142</v>
      </c>
      <c r="R652" s="842" t="s">
        <v>22</v>
      </c>
      <c r="S652" s="1762"/>
      <c r="T652" s="842" t="s">
        <v>22</v>
      </c>
      <c r="U652" s="1762" t="s">
        <v>22</v>
      </c>
      <c r="V652" s="842" t="s">
        <v>22</v>
      </c>
      <c r="W652" s="1762" t="s">
        <v>22</v>
      </c>
      <c r="X652" s="842" t="s">
        <v>22</v>
      </c>
      <c r="Y652" s="1762" t="s">
        <v>22</v>
      </c>
      <c r="Z652" s="842" t="s">
        <v>22</v>
      </c>
      <c r="AA652" s="2943" t="s">
        <v>22</v>
      </c>
      <c r="AB652" s="2940" t="s">
        <v>22</v>
      </c>
      <c r="AC652" s="1762" t="s">
        <v>22</v>
      </c>
      <c r="AD652" s="842" t="s">
        <v>22</v>
      </c>
      <c r="AE652" s="1762" t="s">
        <v>22</v>
      </c>
      <c r="AF652" s="842" t="s">
        <v>22</v>
      </c>
      <c r="AG652" s="2943" t="s">
        <v>22</v>
      </c>
      <c r="AH652" s="2940" t="s">
        <v>22</v>
      </c>
      <c r="AI652" s="1762" t="s">
        <v>22</v>
      </c>
      <c r="AJ652" s="842" t="s">
        <v>22</v>
      </c>
      <c r="AK652" s="1762" t="s">
        <v>22</v>
      </c>
      <c r="AL652" s="842" t="s">
        <v>22</v>
      </c>
      <c r="AM652" s="1549" t="s">
        <v>1041</v>
      </c>
      <c r="AN652" s="1659"/>
      <c r="AO652" s="1659"/>
      <c r="AP652" s="1659"/>
      <c r="AQ652" s="1659"/>
      <c r="AR652" s="1659"/>
      <c r="AS652" s="1659"/>
      <c r="AT652" s="1659"/>
      <c r="AU652" s="1659"/>
      <c r="AV652" s="1659"/>
      <c r="AW652" s="699"/>
      <c r="AX652" s="1659">
        <v>0</v>
      </c>
    </row>
    <row s="1874" customFormat="1" customHeight="1" ht="15">
      <c r="A653" s="1659"/>
      <c r="B653" s="2421"/>
      <c r="C653" s="2422"/>
      <c r="D653" s="713" t="str">
        <f>B651&amp;".3"</f>
        <v>3.205.3</v>
      </c>
      <c r="E653" s="1691" t="s">
        <v>1042</v>
      </c>
      <c r="F653" s="2287" t="s">
        <v>390</v>
      </c>
      <c r="G653" s="1762" t="s">
        <v>22</v>
      </c>
      <c r="H653" s="842" t="s">
        <v>22</v>
      </c>
      <c r="I653" s="1762" t="s">
        <v>22</v>
      </c>
      <c r="J653" s="842" t="s">
        <v>22</v>
      </c>
      <c r="K653" s="1762" t="s">
        <v>22</v>
      </c>
      <c r="L653" s="842" t="s">
        <v>22</v>
      </c>
      <c r="M653" s="2943" t="s">
        <v>22</v>
      </c>
      <c r="N653" s="2940" t="s">
        <v>22</v>
      </c>
      <c r="O653" s="1762" t="s">
        <v>22</v>
      </c>
      <c r="P653" s="842" t="s">
        <v>22</v>
      </c>
      <c r="Q653" s="1762" t="s">
        <v>22</v>
      </c>
      <c r="R653" s="842" t="s">
        <v>22</v>
      </c>
      <c r="S653" s="1762"/>
      <c r="T653" s="842" t="s">
        <v>22</v>
      </c>
      <c r="U653" s="1762" t="s">
        <v>22</v>
      </c>
      <c r="V653" s="842" t="s">
        <v>22</v>
      </c>
      <c r="W653" s="1762" t="s">
        <v>22</v>
      </c>
      <c r="X653" s="842" t="s">
        <v>22</v>
      </c>
      <c r="Y653" s="1762" t="s">
        <v>22</v>
      </c>
      <c r="Z653" s="842" t="s">
        <v>22</v>
      </c>
      <c r="AA653" s="2943" t="s">
        <v>22</v>
      </c>
      <c r="AB653" s="2940" t="s">
        <v>22</v>
      </c>
      <c r="AC653" s="1762" t="s">
        <v>22</v>
      </c>
      <c r="AD653" s="842" t="s">
        <v>22</v>
      </c>
      <c r="AE653" s="1762" t="s">
        <v>22</v>
      </c>
      <c r="AF653" s="842" t="s">
        <v>22</v>
      </c>
      <c r="AG653" s="2943" t="s">
        <v>22</v>
      </c>
      <c r="AH653" s="2940" t="s">
        <v>22</v>
      </c>
      <c r="AI653" s="1762" t="s">
        <v>22</v>
      </c>
      <c r="AJ653" s="842" t="s">
        <v>22</v>
      </c>
      <c r="AK653" s="1762" t="s">
        <v>22</v>
      </c>
      <c r="AL653" s="842" t="s">
        <v>22</v>
      </c>
      <c r="AM653" s="1549" t="s">
        <v>1043</v>
      </c>
      <c r="AN653" s="1659"/>
      <c r="AO653" s="1659"/>
      <c r="AP653" s="1659"/>
      <c r="AQ653" s="1659"/>
      <c r="AR653" s="1659"/>
      <c r="AS653" s="1659"/>
      <c r="AT653" s="1659"/>
      <c r="AU653" s="1659"/>
      <c r="AV653" s="1659"/>
      <c r="AW653" s="699"/>
      <c r="AX653" s="1659">
        <v>0</v>
      </c>
    </row>
    <row s="1874" customFormat="1" customHeight="1" ht="22.5">
      <c r="A654" s="1659"/>
      <c r="B654" s="2421" t="s">
        <v>1291</v>
      </c>
      <c r="C654" s="2422" t="s">
        <v>104</v>
      </c>
      <c r="D654" s="713" t="str">
        <f>B654&amp;".1"</f>
        <v>3.206.1</v>
      </c>
      <c r="E654" s="1691" t="s">
        <v>1039</v>
      </c>
      <c r="F654" s="2287" t="s">
        <v>390</v>
      </c>
      <c r="G654" s="2377" t="s">
        <v>22</v>
      </c>
      <c r="H654" s="842" t="s">
        <v>22</v>
      </c>
      <c r="I654" s="2377" t="s">
        <v>22</v>
      </c>
      <c r="J654" s="842" t="s">
        <v>22</v>
      </c>
      <c r="K654" s="2377" t="s">
        <v>22</v>
      </c>
      <c r="L654" s="842" t="s">
        <v>22</v>
      </c>
      <c r="M654" s="2942" t="s">
        <v>22</v>
      </c>
      <c r="N654" s="2940" t="s">
        <v>22</v>
      </c>
      <c r="O654" s="2377" t="s">
        <v>22</v>
      </c>
      <c r="P654" s="842" t="s">
        <v>22</v>
      </c>
      <c r="Q654" s="2377" t="s">
        <v>1059</v>
      </c>
      <c r="R654" s="842" t="s">
        <v>22</v>
      </c>
      <c r="S654" s="2377"/>
      <c r="T654" s="842" t="s">
        <v>22</v>
      </c>
      <c r="U654" s="2377" t="s">
        <v>22</v>
      </c>
      <c r="V654" s="842" t="s">
        <v>22</v>
      </c>
      <c r="W654" s="2377" t="s">
        <v>22</v>
      </c>
      <c r="X654" s="842" t="s">
        <v>22</v>
      </c>
      <c r="Y654" s="2377" t="s">
        <v>22</v>
      </c>
      <c r="Z654" s="842" t="s">
        <v>22</v>
      </c>
      <c r="AA654" s="2942" t="s">
        <v>22</v>
      </c>
      <c r="AB654" s="2940" t="s">
        <v>22</v>
      </c>
      <c r="AC654" s="2377" t="s">
        <v>22</v>
      </c>
      <c r="AD654" s="842" t="s">
        <v>22</v>
      </c>
      <c r="AE654" s="2377" t="s">
        <v>22</v>
      </c>
      <c r="AF654" s="842" t="s">
        <v>22</v>
      </c>
      <c r="AG654" s="2942" t="s">
        <v>22</v>
      </c>
      <c r="AH654" s="2940" t="s">
        <v>22</v>
      </c>
      <c r="AI654" s="2377" t="s">
        <v>22</v>
      </c>
      <c r="AJ654" s="842" t="s">
        <v>22</v>
      </c>
      <c r="AK654" s="2377" t="s">
        <v>22</v>
      </c>
      <c r="AL654" s="842" t="s">
        <v>22</v>
      </c>
      <c r="AM654" s="1549"/>
      <c r="AN654" s="1659"/>
      <c r="AO654" s="1659"/>
      <c r="AP654" s="1659"/>
      <c r="AQ654" s="1659"/>
      <c r="AR654" s="1659"/>
      <c r="AS654" s="1659"/>
      <c r="AT654" s="1659"/>
      <c r="AU654" s="1659"/>
      <c r="AV654" s="1659"/>
      <c r="AW654" s="699"/>
      <c r="AX654" s="1659">
        <v>0</v>
      </c>
    </row>
    <row s="1874" customFormat="1" customHeight="1" ht="15">
      <c r="A655" s="1659"/>
      <c r="B655" s="2421"/>
      <c r="C655" s="2422"/>
      <c r="D655" s="713" t="str">
        <f>B654&amp;".2"</f>
        <v>3.206.2</v>
      </c>
      <c r="E655" s="1691" t="s">
        <v>1040</v>
      </c>
      <c r="F655" s="2287" t="s">
        <v>390</v>
      </c>
      <c r="G655" s="1762" t="s">
        <v>22</v>
      </c>
      <c r="H655" s="842" t="s">
        <v>22</v>
      </c>
      <c r="I655" s="1762" t="s">
        <v>22</v>
      </c>
      <c r="J655" s="842" t="s">
        <v>22</v>
      </c>
      <c r="K655" s="1762" t="s">
        <v>22</v>
      </c>
      <c r="L655" s="842" t="s">
        <v>22</v>
      </c>
      <c r="M655" s="2943" t="s">
        <v>22</v>
      </c>
      <c r="N655" s="2940" t="s">
        <v>22</v>
      </c>
      <c r="O655" s="1762" t="s">
        <v>22</v>
      </c>
      <c r="P655" s="842" t="s">
        <v>22</v>
      </c>
      <c r="Q655" s="1762">
        <v>46148</v>
      </c>
      <c r="R655" s="842" t="s">
        <v>22</v>
      </c>
      <c r="S655" s="1762"/>
      <c r="T655" s="842" t="s">
        <v>22</v>
      </c>
      <c r="U655" s="1762" t="s">
        <v>22</v>
      </c>
      <c r="V655" s="842" t="s">
        <v>22</v>
      </c>
      <c r="W655" s="1762" t="s">
        <v>22</v>
      </c>
      <c r="X655" s="842" t="s">
        <v>22</v>
      </c>
      <c r="Y655" s="1762" t="s">
        <v>22</v>
      </c>
      <c r="Z655" s="842" t="s">
        <v>22</v>
      </c>
      <c r="AA655" s="2943" t="s">
        <v>22</v>
      </c>
      <c r="AB655" s="2940" t="s">
        <v>22</v>
      </c>
      <c r="AC655" s="1762" t="s">
        <v>22</v>
      </c>
      <c r="AD655" s="842" t="s">
        <v>22</v>
      </c>
      <c r="AE655" s="1762" t="s">
        <v>22</v>
      </c>
      <c r="AF655" s="842" t="s">
        <v>22</v>
      </c>
      <c r="AG655" s="2943" t="s">
        <v>22</v>
      </c>
      <c r="AH655" s="2940" t="s">
        <v>22</v>
      </c>
      <c r="AI655" s="1762" t="s">
        <v>22</v>
      </c>
      <c r="AJ655" s="842" t="s">
        <v>22</v>
      </c>
      <c r="AK655" s="1762" t="s">
        <v>22</v>
      </c>
      <c r="AL655" s="842" t="s">
        <v>22</v>
      </c>
      <c r="AM655" s="1549" t="s">
        <v>1041</v>
      </c>
      <c r="AN655" s="1659"/>
      <c r="AO655" s="1659"/>
      <c r="AP655" s="1659"/>
      <c r="AQ655" s="1659"/>
      <c r="AR655" s="1659"/>
      <c r="AS655" s="1659"/>
      <c r="AT655" s="1659"/>
      <c r="AU655" s="1659"/>
      <c r="AV655" s="1659"/>
      <c r="AW655" s="699"/>
      <c r="AX655" s="1659">
        <v>0</v>
      </c>
    </row>
    <row s="1874" customFormat="1" customHeight="1" ht="15">
      <c r="A656" s="1659"/>
      <c r="B656" s="2421"/>
      <c r="C656" s="2422"/>
      <c r="D656" s="713" t="str">
        <f>B654&amp;".3"</f>
        <v>3.206.3</v>
      </c>
      <c r="E656" s="1691" t="s">
        <v>1042</v>
      </c>
      <c r="F656" s="2287" t="s">
        <v>390</v>
      </c>
      <c r="G656" s="1762" t="s">
        <v>22</v>
      </c>
      <c r="H656" s="842" t="s">
        <v>22</v>
      </c>
      <c r="I656" s="1762" t="s">
        <v>22</v>
      </c>
      <c r="J656" s="842" t="s">
        <v>22</v>
      </c>
      <c r="K656" s="1762" t="s">
        <v>22</v>
      </c>
      <c r="L656" s="842" t="s">
        <v>22</v>
      </c>
      <c r="M656" s="2943" t="s">
        <v>22</v>
      </c>
      <c r="N656" s="2940" t="s">
        <v>22</v>
      </c>
      <c r="O656" s="1762" t="s">
        <v>22</v>
      </c>
      <c r="P656" s="842" t="s">
        <v>22</v>
      </c>
      <c r="Q656" s="1762" t="s">
        <v>22</v>
      </c>
      <c r="R656" s="842" t="s">
        <v>22</v>
      </c>
      <c r="S656" s="1762"/>
      <c r="T656" s="842" t="s">
        <v>22</v>
      </c>
      <c r="U656" s="1762" t="s">
        <v>22</v>
      </c>
      <c r="V656" s="842" t="s">
        <v>22</v>
      </c>
      <c r="W656" s="1762" t="s">
        <v>22</v>
      </c>
      <c r="X656" s="842" t="s">
        <v>22</v>
      </c>
      <c r="Y656" s="1762" t="s">
        <v>22</v>
      </c>
      <c r="Z656" s="842" t="s">
        <v>22</v>
      </c>
      <c r="AA656" s="2943" t="s">
        <v>22</v>
      </c>
      <c r="AB656" s="2940" t="s">
        <v>22</v>
      </c>
      <c r="AC656" s="1762" t="s">
        <v>22</v>
      </c>
      <c r="AD656" s="842" t="s">
        <v>22</v>
      </c>
      <c r="AE656" s="1762" t="s">
        <v>22</v>
      </c>
      <c r="AF656" s="842" t="s">
        <v>22</v>
      </c>
      <c r="AG656" s="2943" t="s">
        <v>22</v>
      </c>
      <c r="AH656" s="2940" t="s">
        <v>22</v>
      </c>
      <c r="AI656" s="1762" t="s">
        <v>22</v>
      </c>
      <c r="AJ656" s="842" t="s">
        <v>22</v>
      </c>
      <c r="AK656" s="1762" t="s">
        <v>22</v>
      </c>
      <c r="AL656" s="842" t="s">
        <v>22</v>
      </c>
      <c r="AM656" s="1549" t="s">
        <v>1043</v>
      </c>
      <c r="AN656" s="1659"/>
      <c r="AO656" s="1659"/>
      <c r="AP656" s="1659"/>
      <c r="AQ656" s="1659"/>
      <c r="AR656" s="1659"/>
      <c r="AS656" s="1659"/>
      <c r="AT656" s="1659"/>
      <c r="AU656" s="1659"/>
      <c r="AV656" s="1659"/>
      <c r="AW656" s="699"/>
      <c r="AX656" s="1659">
        <v>0</v>
      </c>
    </row>
    <row s="1874" customFormat="1" customHeight="1" ht="22.5">
      <c r="A657" s="1659"/>
      <c r="B657" s="2421" t="s">
        <v>1292</v>
      </c>
      <c r="C657" s="2422" t="s">
        <v>104</v>
      </c>
      <c r="D657" s="713" t="str">
        <f>B657&amp;".1"</f>
        <v>3.207.1</v>
      </c>
      <c r="E657" s="1691" t="s">
        <v>1039</v>
      </c>
      <c r="F657" s="2287" t="s">
        <v>390</v>
      </c>
      <c r="G657" s="2377" t="s">
        <v>22</v>
      </c>
      <c r="H657" s="842" t="s">
        <v>22</v>
      </c>
      <c r="I657" s="2377" t="s">
        <v>22</v>
      </c>
      <c r="J657" s="842" t="s">
        <v>22</v>
      </c>
      <c r="K657" s="2377" t="s">
        <v>22</v>
      </c>
      <c r="L657" s="842" t="s">
        <v>22</v>
      </c>
      <c r="M657" s="2942" t="s">
        <v>22</v>
      </c>
      <c r="N657" s="2940" t="s">
        <v>22</v>
      </c>
      <c r="O657" s="2377" t="s">
        <v>22</v>
      </c>
      <c r="P657" s="842" t="s">
        <v>22</v>
      </c>
      <c r="Q657" s="2377" t="s">
        <v>1059</v>
      </c>
      <c r="R657" s="842" t="s">
        <v>22</v>
      </c>
      <c r="S657" s="2377"/>
      <c r="T657" s="842" t="s">
        <v>22</v>
      </c>
      <c r="U657" s="2377" t="s">
        <v>22</v>
      </c>
      <c r="V657" s="842" t="s">
        <v>22</v>
      </c>
      <c r="W657" s="2377" t="s">
        <v>22</v>
      </c>
      <c r="X657" s="842" t="s">
        <v>22</v>
      </c>
      <c r="Y657" s="2377" t="s">
        <v>22</v>
      </c>
      <c r="Z657" s="842" t="s">
        <v>22</v>
      </c>
      <c r="AA657" s="2942" t="s">
        <v>22</v>
      </c>
      <c r="AB657" s="2940" t="s">
        <v>22</v>
      </c>
      <c r="AC657" s="2377" t="s">
        <v>22</v>
      </c>
      <c r="AD657" s="842" t="s">
        <v>22</v>
      </c>
      <c r="AE657" s="2377" t="s">
        <v>22</v>
      </c>
      <c r="AF657" s="842" t="s">
        <v>22</v>
      </c>
      <c r="AG657" s="2942" t="s">
        <v>22</v>
      </c>
      <c r="AH657" s="2940" t="s">
        <v>22</v>
      </c>
      <c r="AI657" s="2377" t="s">
        <v>22</v>
      </c>
      <c r="AJ657" s="842" t="s">
        <v>22</v>
      </c>
      <c r="AK657" s="2377" t="s">
        <v>22</v>
      </c>
      <c r="AL657" s="842" t="s">
        <v>22</v>
      </c>
      <c r="AM657" s="1549"/>
      <c r="AN657" s="1659"/>
      <c r="AO657" s="1659"/>
      <c r="AP657" s="1659"/>
      <c r="AQ657" s="1659"/>
      <c r="AR657" s="1659"/>
      <c r="AS657" s="1659"/>
      <c r="AT657" s="1659"/>
      <c r="AU657" s="1659"/>
      <c r="AV657" s="1659"/>
      <c r="AW657" s="699"/>
      <c r="AX657" s="1659">
        <v>0</v>
      </c>
    </row>
    <row s="1874" customFormat="1" customHeight="1" ht="15">
      <c r="A658" s="1659"/>
      <c r="B658" s="2421"/>
      <c r="C658" s="2422"/>
      <c r="D658" s="713" t="str">
        <f>B657&amp;".2"</f>
        <v>3.207.2</v>
      </c>
      <c r="E658" s="1691" t="s">
        <v>1040</v>
      </c>
      <c r="F658" s="2287" t="s">
        <v>390</v>
      </c>
      <c r="G658" s="1762" t="s">
        <v>22</v>
      </c>
      <c r="H658" s="842" t="s">
        <v>22</v>
      </c>
      <c r="I658" s="1762" t="s">
        <v>22</v>
      </c>
      <c r="J658" s="842" t="s">
        <v>22</v>
      </c>
      <c r="K658" s="1762" t="s">
        <v>22</v>
      </c>
      <c r="L658" s="842" t="s">
        <v>22</v>
      </c>
      <c r="M658" s="2943" t="s">
        <v>22</v>
      </c>
      <c r="N658" s="2940" t="s">
        <v>22</v>
      </c>
      <c r="O658" s="1762" t="s">
        <v>22</v>
      </c>
      <c r="P658" s="842" t="s">
        <v>22</v>
      </c>
      <c r="Q658" s="1762">
        <v>46148</v>
      </c>
      <c r="R658" s="842" t="s">
        <v>22</v>
      </c>
      <c r="S658" s="1762"/>
      <c r="T658" s="842" t="s">
        <v>22</v>
      </c>
      <c r="U658" s="1762" t="s">
        <v>22</v>
      </c>
      <c r="V658" s="842" t="s">
        <v>22</v>
      </c>
      <c r="W658" s="1762" t="s">
        <v>22</v>
      </c>
      <c r="X658" s="842" t="s">
        <v>22</v>
      </c>
      <c r="Y658" s="1762" t="s">
        <v>22</v>
      </c>
      <c r="Z658" s="842" t="s">
        <v>22</v>
      </c>
      <c r="AA658" s="2943" t="s">
        <v>22</v>
      </c>
      <c r="AB658" s="2940" t="s">
        <v>22</v>
      </c>
      <c r="AC658" s="1762" t="s">
        <v>22</v>
      </c>
      <c r="AD658" s="842" t="s">
        <v>22</v>
      </c>
      <c r="AE658" s="1762" t="s">
        <v>22</v>
      </c>
      <c r="AF658" s="842" t="s">
        <v>22</v>
      </c>
      <c r="AG658" s="2943" t="s">
        <v>22</v>
      </c>
      <c r="AH658" s="2940" t="s">
        <v>22</v>
      </c>
      <c r="AI658" s="1762" t="s">
        <v>22</v>
      </c>
      <c r="AJ658" s="842" t="s">
        <v>22</v>
      </c>
      <c r="AK658" s="1762" t="s">
        <v>22</v>
      </c>
      <c r="AL658" s="842" t="s">
        <v>22</v>
      </c>
      <c r="AM658" s="1549" t="s">
        <v>1041</v>
      </c>
      <c r="AN658" s="1659"/>
      <c r="AO658" s="1659"/>
      <c r="AP658" s="1659"/>
      <c r="AQ658" s="1659"/>
      <c r="AR658" s="1659"/>
      <c r="AS658" s="1659"/>
      <c r="AT658" s="1659"/>
      <c r="AU658" s="1659"/>
      <c r="AV658" s="1659"/>
      <c r="AW658" s="699"/>
      <c r="AX658" s="1659">
        <v>0</v>
      </c>
    </row>
    <row s="1874" customFormat="1" customHeight="1" ht="22.5">
      <c r="A659" s="1659"/>
      <c r="B659" s="2421"/>
      <c r="C659" s="2422"/>
      <c r="D659" s="713" t="str">
        <f>B657&amp;".3"</f>
        <v>3.207.3</v>
      </c>
      <c r="E659" s="1691" t="s">
        <v>1042</v>
      </c>
      <c r="F659" s="2287" t="s">
        <v>390</v>
      </c>
      <c r="G659" s="1762" t="s">
        <v>22</v>
      </c>
      <c r="H659" s="842" t="s">
        <v>22</v>
      </c>
      <c r="I659" s="1762" t="s">
        <v>22</v>
      </c>
      <c r="J659" s="842" t="s">
        <v>22</v>
      </c>
      <c r="K659" s="1762" t="s">
        <v>22</v>
      </c>
      <c r="L659" s="842" t="s">
        <v>22</v>
      </c>
      <c r="M659" s="2943" t="s">
        <v>22</v>
      </c>
      <c r="N659" s="2940" t="s">
        <v>22</v>
      </c>
      <c r="O659" s="1762" t="s">
        <v>22</v>
      </c>
      <c r="P659" s="842" t="s">
        <v>22</v>
      </c>
      <c r="Q659" s="1762" t="s">
        <v>22</v>
      </c>
      <c r="R659" s="842" t="s">
        <v>22</v>
      </c>
      <c r="S659" s="1762"/>
      <c r="T659" s="842" t="s">
        <v>22</v>
      </c>
      <c r="U659" s="1762" t="s">
        <v>22</v>
      </c>
      <c r="V659" s="842" t="s">
        <v>22</v>
      </c>
      <c r="W659" s="1762" t="s">
        <v>22</v>
      </c>
      <c r="X659" s="842" t="s">
        <v>22</v>
      </c>
      <c r="Y659" s="1762" t="s">
        <v>22</v>
      </c>
      <c r="Z659" s="842" t="s">
        <v>22</v>
      </c>
      <c r="AA659" s="2943" t="s">
        <v>22</v>
      </c>
      <c r="AB659" s="2940" t="s">
        <v>22</v>
      </c>
      <c r="AC659" s="1762" t="s">
        <v>22</v>
      </c>
      <c r="AD659" s="842" t="s">
        <v>22</v>
      </c>
      <c r="AE659" s="1762" t="s">
        <v>22</v>
      </c>
      <c r="AF659" s="842" t="s">
        <v>22</v>
      </c>
      <c r="AG659" s="2943" t="s">
        <v>22</v>
      </c>
      <c r="AH659" s="2940" t="s">
        <v>22</v>
      </c>
      <c r="AI659" s="1762" t="s">
        <v>22</v>
      </c>
      <c r="AJ659" s="842" t="s">
        <v>22</v>
      </c>
      <c r="AK659" s="1762" t="s">
        <v>22</v>
      </c>
      <c r="AL659" s="842" t="s">
        <v>22</v>
      </c>
      <c r="AM659" s="1549" t="s">
        <v>1043</v>
      </c>
      <c r="AN659" s="1659"/>
      <c r="AO659" s="1659"/>
      <c r="AP659" s="1659"/>
      <c r="AQ659" s="1659"/>
      <c r="AR659" s="1659"/>
      <c r="AS659" s="1659"/>
      <c r="AT659" s="1659"/>
      <c r="AU659" s="1659"/>
      <c r="AV659" s="1659"/>
      <c r="AW659" s="699"/>
      <c r="AX659" s="1659">
        <v>0</v>
      </c>
    </row>
    <row s="1874" customFormat="1" customHeight="1" ht="22.5">
      <c r="A660" s="1659"/>
      <c r="B660" s="2421" t="s">
        <v>1293</v>
      </c>
      <c r="C660" s="2422" t="s">
        <v>104</v>
      </c>
      <c r="D660" s="713" t="str">
        <f>B660&amp;".1"</f>
        <v>3.208.1</v>
      </c>
      <c r="E660" s="1691" t="s">
        <v>1039</v>
      </c>
      <c r="F660" s="2287" t="s">
        <v>390</v>
      </c>
      <c r="G660" s="2377" t="s">
        <v>22</v>
      </c>
      <c r="H660" s="842" t="s">
        <v>22</v>
      </c>
      <c r="I660" s="2377" t="s">
        <v>22</v>
      </c>
      <c r="J660" s="842" t="s">
        <v>22</v>
      </c>
      <c r="K660" s="2377" t="s">
        <v>22</v>
      </c>
      <c r="L660" s="842" t="s">
        <v>22</v>
      </c>
      <c r="M660" s="2942" t="s">
        <v>22</v>
      </c>
      <c r="N660" s="2940" t="s">
        <v>22</v>
      </c>
      <c r="O660" s="2377" t="s">
        <v>22</v>
      </c>
      <c r="P660" s="842" t="s">
        <v>22</v>
      </c>
      <c r="Q660" s="2377" t="s">
        <v>1059</v>
      </c>
      <c r="R660" s="842" t="s">
        <v>22</v>
      </c>
      <c r="S660" s="2377"/>
      <c r="T660" s="842" t="s">
        <v>22</v>
      </c>
      <c r="U660" s="2377" t="s">
        <v>22</v>
      </c>
      <c r="V660" s="842" t="s">
        <v>22</v>
      </c>
      <c r="W660" s="2377" t="s">
        <v>22</v>
      </c>
      <c r="X660" s="842" t="s">
        <v>22</v>
      </c>
      <c r="Y660" s="2377" t="s">
        <v>22</v>
      </c>
      <c r="Z660" s="842" t="s">
        <v>22</v>
      </c>
      <c r="AA660" s="2942" t="s">
        <v>22</v>
      </c>
      <c r="AB660" s="2940" t="s">
        <v>22</v>
      </c>
      <c r="AC660" s="2377" t="s">
        <v>22</v>
      </c>
      <c r="AD660" s="842" t="s">
        <v>22</v>
      </c>
      <c r="AE660" s="2377" t="s">
        <v>22</v>
      </c>
      <c r="AF660" s="842" t="s">
        <v>22</v>
      </c>
      <c r="AG660" s="2942" t="s">
        <v>22</v>
      </c>
      <c r="AH660" s="2940" t="s">
        <v>22</v>
      </c>
      <c r="AI660" s="2377" t="s">
        <v>22</v>
      </c>
      <c r="AJ660" s="842" t="s">
        <v>22</v>
      </c>
      <c r="AK660" s="2377" t="s">
        <v>22</v>
      </c>
      <c r="AL660" s="842" t="s">
        <v>22</v>
      </c>
      <c r="AM660" s="1549"/>
      <c r="AN660" s="1659"/>
      <c r="AO660" s="1659"/>
      <c r="AP660" s="1659"/>
      <c r="AQ660" s="1659"/>
      <c r="AR660" s="1659"/>
      <c r="AS660" s="1659"/>
      <c r="AT660" s="1659"/>
      <c r="AU660" s="1659"/>
      <c r="AV660" s="1659"/>
      <c r="AW660" s="699"/>
      <c r="AX660" s="1659">
        <v>0</v>
      </c>
    </row>
    <row s="1874" customFormat="1" customHeight="1" ht="15">
      <c r="A661" s="1659"/>
      <c r="B661" s="2421"/>
      <c r="C661" s="2422"/>
      <c r="D661" s="713" t="str">
        <f>B660&amp;".2"</f>
        <v>3.208.2</v>
      </c>
      <c r="E661" s="1691" t="s">
        <v>1040</v>
      </c>
      <c r="F661" s="2287" t="s">
        <v>390</v>
      </c>
      <c r="G661" s="1762" t="s">
        <v>22</v>
      </c>
      <c r="H661" s="842" t="s">
        <v>22</v>
      </c>
      <c r="I661" s="1762" t="s">
        <v>22</v>
      </c>
      <c r="J661" s="842" t="s">
        <v>22</v>
      </c>
      <c r="K661" s="1762" t="s">
        <v>22</v>
      </c>
      <c r="L661" s="842" t="s">
        <v>22</v>
      </c>
      <c r="M661" s="2943" t="s">
        <v>22</v>
      </c>
      <c r="N661" s="2940" t="s">
        <v>22</v>
      </c>
      <c r="O661" s="1762" t="s">
        <v>22</v>
      </c>
      <c r="P661" s="842" t="s">
        <v>22</v>
      </c>
      <c r="Q661" s="1762">
        <v>46148</v>
      </c>
      <c r="R661" s="842" t="s">
        <v>22</v>
      </c>
      <c r="S661" s="1762"/>
      <c r="T661" s="842" t="s">
        <v>22</v>
      </c>
      <c r="U661" s="1762" t="s">
        <v>22</v>
      </c>
      <c r="V661" s="842" t="s">
        <v>22</v>
      </c>
      <c r="W661" s="1762" t="s">
        <v>22</v>
      </c>
      <c r="X661" s="842" t="s">
        <v>22</v>
      </c>
      <c r="Y661" s="1762" t="s">
        <v>22</v>
      </c>
      <c r="Z661" s="842" t="s">
        <v>22</v>
      </c>
      <c r="AA661" s="2943" t="s">
        <v>22</v>
      </c>
      <c r="AB661" s="2940" t="s">
        <v>22</v>
      </c>
      <c r="AC661" s="1762" t="s">
        <v>22</v>
      </c>
      <c r="AD661" s="842" t="s">
        <v>22</v>
      </c>
      <c r="AE661" s="1762" t="s">
        <v>22</v>
      </c>
      <c r="AF661" s="842" t="s">
        <v>22</v>
      </c>
      <c r="AG661" s="2943" t="s">
        <v>22</v>
      </c>
      <c r="AH661" s="2940" t="s">
        <v>22</v>
      </c>
      <c r="AI661" s="1762" t="s">
        <v>22</v>
      </c>
      <c r="AJ661" s="842" t="s">
        <v>22</v>
      </c>
      <c r="AK661" s="1762" t="s">
        <v>22</v>
      </c>
      <c r="AL661" s="842" t="s">
        <v>22</v>
      </c>
      <c r="AM661" s="1549" t="s">
        <v>1041</v>
      </c>
      <c r="AN661" s="1659"/>
      <c r="AO661" s="1659"/>
      <c r="AP661" s="1659"/>
      <c r="AQ661" s="1659"/>
      <c r="AR661" s="1659"/>
      <c r="AS661" s="1659"/>
      <c r="AT661" s="1659"/>
      <c r="AU661" s="1659"/>
      <c r="AV661" s="1659"/>
      <c r="AW661" s="699"/>
      <c r="AX661" s="1659">
        <v>0</v>
      </c>
    </row>
    <row s="1874" customFormat="1" customHeight="1" ht="15">
      <c r="A662" s="1659"/>
      <c r="B662" s="2421"/>
      <c r="C662" s="2422"/>
      <c r="D662" s="713" t="str">
        <f>B660&amp;".3"</f>
        <v>3.208.3</v>
      </c>
      <c r="E662" s="1691" t="s">
        <v>1042</v>
      </c>
      <c r="F662" s="2287" t="s">
        <v>390</v>
      </c>
      <c r="G662" s="1762" t="s">
        <v>22</v>
      </c>
      <c r="H662" s="842" t="s">
        <v>22</v>
      </c>
      <c r="I662" s="1762" t="s">
        <v>22</v>
      </c>
      <c r="J662" s="842" t="s">
        <v>22</v>
      </c>
      <c r="K662" s="1762" t="s">
        <v>22</v>
      </c>
      <c r="L662" s="842" t="s">
        <v>22</v>
      </c>
      <c r="M662" s="2943" t="s">
        <v>22</v>
      </c>
      <c r="N662" s="2940" t="s">
        <v>22</v>
      </c>
      <c r="O662" s="1762" t="s">
        <v>22</v>
      </c>
      <c r="P662" s="842" t="s">
        <v>22</v>
      </c>
      <c r="Q662" s="1762" t="s">
        <v>22</v>
      </c>
      <c r="R662" s="842" t="s">
        <v>22</v>
      </c>
      <c r="S662" s="1762"/>
      <c r="T662" s="842" t="s">
        <v>22</v>
      </c>
      <c r="U662" s="1762" t="s">
        <v>22</v>
      </c>
      <c r="V662" s="842" t="s">
        <v>22</v>
      </c>
      <c r="W662" s="1762" t="s">
        <v>22</v>
      </c>
      <c r="X662" s="842" t="s">
        <v>22</v>
      </c>
      <c r="Y662" s="1762" t="s">
        <v>22</v>
      </c>
      <c r="Z662" s="842" t="s">
        <v>22</v>
      </c>
      <c r="AA662" s="2943" t="s">
        <v>22</v>
      </c>
      <c r="AB662" s="2940" t="s">
        <v>22</v>
      </c>
      <c r="AC662" s="1762" t="s">
        <v>22</v>
      </c>
      <c r="AD662" s="842" t="s">
        <v>22</v>
      </c>
      <c r="AE662" s="1762" t="s">
        <v>22</v>
      </c>
      <c r="AF662" s="842" t="s">
        <v>22</v>
      </c>
      <c r="AG662" s="2943" t="s">
        <v>22</v>
      </c>
      <c r="AH662" s="2940" t="s">
        <v>22</v>
      </c>
      <c r="AI662" s="1762" t="s">
        <v>22</v>
      </c>
      <c r="AJ662" s="842" t="s">
        <v>22</v>
      </c>
      <c r="AK662" s="1762" t="s">
        <v>22</v>
      </c>
      <c r="AL662" s="842" t="s">
        <v>22</v>
      </c>
      <c r="AM662" s="1549" t="s">
        <v>1043</v>
      </c>
      <c r="AN662" s="1659"/>
      <c r="AO662" s="1659"/>
      <c r="AP662" s="1659"/>
      <c r="AQ662" s="1659"/>
      <c r="AR662" s="1659"/>
      <c r="AS662" s="1659"/>
      <c r="AT662" s="1659"/>
      <c r="AU662" s="1659"/>
      <c r="AV662" s="1659"/>
      <c r="AW662" s="699"/>
      <c r="AX662" s="1659">
        <v>0</v>
      </c>
    </row>
    <row s="1874" customFormat="1" customHeight="1" ht="22.5">
      <c r="A663" s="1659"/>
      <c r="B663" s="2421" t="s">
        <v>1294</v>
      </c>
      <c r="C663" s="2422" t="s">
        <v>104</v>
      </c>
      <c r="D663" s="713" t="str">
        <f>B663&amp;".1"</f>
        <v>3.209.1</v>
      </c>
      <c r="E663" s="1691" t="s">
        <v>1039</v>
      </c>
      <c r="F663" s="2287" t="s">
        <v>390</v>
      </c>
      <c r="G663" s="2377" t="s">
        <v>22</v>
      </c>
      <c r="H663" s="842" t="s">
        <v>22</v>
      </c>
      <c r="I663" s="2377" t="s">
        <v>22</v>
      </c>
      <c r="J663" s="842" t="s">
        <v>22</v>
      </c>
      <c r="K663" s="2377" t="s">
        <v>22</v>
      </c>
      <c r="L663" s="842" t="s">
        <v>22</v>
      </c>
      <c r="M663" s="2942" t="s">
        <v>22</v>
      </c>
      <c r="N663" s="2940" t="s">
        <v>22</v>
      </c>
      <c r="O663" s="2377" t="s">
        <v>22</v>
      </c>
      <c r="P663" s="842" t="s">
        <v>22</v>
      </c>
      <c r="Q663" s="2377" t="s">
        <v>1059</v>
      </c>
      <c r="R663" s="842" t="s">
        <v>22</v>
      </c>
      <c r="S663" s="2377"/>
      <c r="T663" s="842" t="s">
        <v>22</v>
      </c>
      <c r="U663" s="2377" t="s">
        <v>22</v>
      </c>
      <c r="V663" s="842" t="s">
        <v>22</v>
      </c>
      <c r="W663" s="2377" t="s">
        <v>22</v>
      </c>
      <c r="X663" s="842" t="s">
        <v>22</v>
      </c>
      <c r="Y663" s="2377" t="s">
        <v>22</v>
      </c>
      <c r="Z663" s="842" t="s">
        <v>22</v>
      </c>
      <c r="AA663" s="2942" t="s">
        <v>22</v>
      </c>
      <c r="AB663" s="2940" t="s">
        <v>22</v>
      </c>
      <c r="AC663" s="2377" t="s">
        <v>22</v>
      </c>
      <c r="AD663" s="842" t="s">
        <v>22</v>
      </c>
      <c r="AE663" s="2377" t="s">
        <v>22</v>
      </c>
      <c r="AF663" s="842" t="s">
        <v>22</v>
      </c>
      <c r="AG663" s="2942" t="s">
        <v>22</v>
      </c>
      <c r="AH663" s="2940" t="s">
        <v>22</v>
      </c>
      <c r="AI663" s="2377" t="s">
        <v>22</v>
      </c>
      <c r="AJ663" s="842" t="s">
        <v>22</v>
      </c>
      <c r="AK663" s="2377" t="s">
        <v>22</v>
      </c>
      <c r="AL663" s="842" t="s">
        <v>22</v>
      </c>
      <c r="AM663" s="1549"/>
      <c r="AN663" s="1659"/>
      <c r="AO663" s="1659"/>
      <c r="AP663" s="1659"/>
      <c r="AQ663" s="1659"/>
      <c r="AR663" s="1659"/>
      <c r="AS663" s="1659"/>
      <c r="AT663" s="1659"/>
      <c r="AU663" s="1659"/>
      <c r="AV663" s="1659"/>
      <c r="AW663" s="699"/>
      <c r="AX663" s="1659">
        <v>0</v>
      </c>
    </row>
    <row s="1874" customFormat="1" customHeight="1" ht="15.75">
      <c r="A664" s="1659"/>
      <c r="B664" s="2421"/>
      <c r="C664" s="2422"/>
      <c r="D664" s="713" t="str">
        <f>B663&amp;".2"</f>
        <v>3.209.2</v>
      </c>
      <c r="E664" s="1691" t="s">
        <v>1040</v>
      </c>
      <c r="F664" s="2287" t="s">
        <v>390</v>
      </c>
      <c r="G664" s="1762" t="s">
        <v>22</v>
      </c>
      <c r="H664" s="842" t="s">
        <v>22</v>
      </c>
      <c r="I664" s="1762" t="s">
        <v>22</v>
      </c>
      <c r="J664" s="842" t="s">
        <v>22</v>
      </c>
      <c r="K664" s="1762" t="s">
        <v>22</v>
      </c>
      <c r="L664" s="842" t="s">
        <v>22</v>
      </c>
      <c r="M664" s="2943" t="s">
        <v>22</v>
      </c>
      <c r="N664" s="2940" t="s">
        <v>22</v>
      </c>
      <c r="O664" s="1762" t="s">
        <v>22</v>
      </c>
      <c r="P664" s="842" t="s">
        <v>22</v>
      </c>
      <c r="Q664" s="1762">
        <v>46148</v>
      </c>
      <c r="R664" s="842" t="s">
        <v>22</v>
      </c>
      <c r="S664" s="1762"/>
      <c r="T664" s="842" t="s">
        <v>22</v>
      </c>
      <c r="U664" s="1762" t="s">
        <v>22</v>
      </c>
      <c r="V664" s="842" t="s">
        <v>22</v>
      </c>
      <c r="W664" s="1762" t="s">
        <v>22</v>
      </c>
      <c r="X664" s="842" t="s">
        <v>22</v>
      </c>
      <c r="Y664" s="1762" t="s">
        <v>22</v>
      </c>
      <c r="Z664" s="842" t="s">
        <v>22</v>
      </c>
      <c r="AA664" s="2943" t="s">
        <v>22</v>
      </c>
      <c r="AB664" s="2940" t="s">
        <v>22</v>
      </c>
      <c r="AC664" s="1762" t="s">
        <v>22</v>
      </c>
      <c r="AD664" s="842" t="s">
        <v>22</v>
      </c>
      <c r="AE664" s="1762" t="s">
        <v>22</v>
      </c>
      <c r="AF664" s="842" t="s">
        <v>22</v>
      </c>
      <c r="AG664" s="2943" t="s">
        <v>22</v>
      </c>
      <c r="AH664" s="2940" t="s">
        <v>22</v>
      </c>
      <c r="AI664" s="1762" t="s">
        <v>22</v>
      </c>
      <c r="AJ664" s="842" t="s">
        <v>22</v>
      </c>
      <c r="AK664" s="1762" t="s">
        <v>22</v>
      </c>
      <c r="AL664" s="842" t="s">
        <v>22</v>
      </c>
      <c r="AM664" s="1549" t="s">
        <v>1041</v>
      </c>
      <c r="AN664" s="1659"/>
      <c r="AO664" s="1659"/>
      <c r="AP664" s="1659"/>
      <c r="AQ664" s="1659"/>
      <c r="AR664" s="1659"/>
      <c r="AS664" s="1659"/>
      <c r="AT664" s="1659"/>
      <c r="AU664" s="1659"/>
      <c r="AV664" s="1659"/>
      <c r="AW664" s="699"/>
      <c r="AX664" s="1659">
        <v>0</v>
      </c>
    </row>
    <row s="1874" customFormat="1" customHeight="1" ht="15">
      <c r="A665" s="1659"/>
      <c r="B665" s="2421"/>
      <c r="C665" s="2422"/>
      <c r="D665" s="713" t="str">
        <f>B663&amp;".3"</f>
        <v>3.209.3</v>
      </c>
      <c r="E665" s="1691" t="s">
        <v>1042</v>
      </c>
      <c r="F665" s="2287" t="s">
        <v>390</v>
      </c>
      <c r="G665" s="1762" t="s">
        <v>22</v>
      </c>
      <c r="H665" s="842" t="s">
        <v>22</v>
      </c>
      <c r="I665" s="1762" t="s">
        <v>22</v>
      </c>
      <c r="J665" s="842" t="s">
        <v>22</v>
      </c>
      <c r="K665" s="1762" t="s">
        <v>22</v>
      </c>
      <c r="L665" s="842" t="s">
        <v>22</v>
      </c>
      <c r="M665" s="2943" t="s">
        <v>22</v>
      </c>
      <c r="N665" s="2940" t="s">
        <v>22</v>
      </c>
      <c r="O665" s="1762" t="s">
        <v>22</v>
      </c>
      <c r="P665" s="842" t="s">
        <v>22</v>
      </c>
      <c r="Q665" s="1762" t="s">
        <v>22</v>
      </c>
      <c r="R665" s="842" t="s">
        <v>22</v>
      </c>
      <c r="S665" s="1762"/>
      <c r="T665" s="842" t="s">
        <v>22</v>
      </c>
      <c r="U665" s="1762" t="s">
        <v>22</v>
      </c>
      <c r="V665" s="842" t="s">
        <v>22</v>
      </c>
      <c r="W665" s="1762" t="s">
        <v>22</v>
      </c>
      <c r="X665" s="842" t="s">
        <v>22</v>
      </c>
      <c r="Y665" s="1762" t="s">
        <v>22</v>
      </c>
      <c r="Z665" s="842" t="s">
        <v>22</v>
      </c>
      <c r="AA665" s="2943" t="s">
        <v>22</v>
      </c>
      <c r="AB665" s="2940" t="s">
        <v>22</v>
      </c>
      <c r="AC665" s="1762" t="s">
        <v>22</v>
      </c>
      <c r="AD665" s="842" t="s">
        <v>22</v>
      </c>
      <c r="AE665" s="1762" t="s">
        <v>22</v>
      </c>
      <c r="AF665" s="842" t="s">
        <v>22</v>
      </c>
      <c r="AG665" s="2943" t="s">
        <v>22</v>
      </c>
      <c r="AH665" s="2940" t="s">
        <v>22</v>
      </c>
      <c r="AI665" s="1762" t="s">
        <v>22</v>
      </c>
      <c r="AJ665" s="842" t="s">
        <v>22</v>
      </c>
      <c r="AK665" s="1762" t="s">
        <v>22</v>
      </c>
      <c r="AL665" s="842" t="s">
        <v>22</v>
      </c>
      <c r="AM665" s="1549" t="s">
        <v>1043</v>
      </c>
      <c r="AN665" s="1659"/>
      <c r="AO665" s="1659"/>
      <c r="AP665" s="1659"/>
      <c r="AQ665" s="1659"/>
      <c r="AR665" s="1659"/>
      <c r="AS665" s="1659"/>
      <c r="AT665" s="1659"/>
      <c r="AU665" s="1659"/>
      <c r="AV665" s="1659"/>
      <c r="AW665" s="699"/>
      <c r="AX665" s="1659">
        <v>0</v>
      </c>
    </row>
    <row customHeight="1" ht="11.549999999999999">
      <c r="A666" s="529"/>
      <c r="C666" s="529"/>
      <c r="D666" s="371"/>
      <c r="E666" s="604" t="s">
        <v>1295</v>
      </c>
      <c r="F666" s="596"/>
      <c r="G666" s="718"/>
      <c r="H666" s="718"/>
      <c r="I666" s="718"/>
      <c r="J666" s="718"/>
      <c r="K666" s="2839"/>
      <c r="L666" s="2840"/>
      <c r="M666" s="2841"/>
      <c r="N666" s="2842"/>
      <c r="O666" s="2843"/>
      <c r="P666" s="2844"/>
      <c r="Q666" s="2845"/>
      <c r="R666" s="2846"/>
      <c r="S666" s="2847"/>
      <c r="T666" s="2848"/>
      <c r="U666" s="2849"/>
      <c r="V666" s="2850"/>
      <c r="W666" s="2851"/>
      <c r="X666" s="2852"/>
      <c r="Y666" s="2853"/>
      <c r="Z666" s="2854"/>
      <c r="AA666" s="2855"/>
      <c r="AB666" s="2856"/>
      <c r="AC666" s="2857"/>
      <c r="AD666" s="2858"/>
      <c r="AE666" s="2859"/>
      <c r="AF666" s="2860"/>
      <c r="AG666" s="2861"/>
      <c r="AH666" s="2862"/>
      <c r="AI666" s="2863"/>
      <c r="AJ666" s="2864"/>
      <c r="AK666" s="2865"/>
      <c r="AL666" s="2866"/>
      <c r="AM666" s="597"/>
      <c r="AW666" s="529"/>
      <c r="AX666" s="529">
        <v>11</v>
      </c>
    </row>
    <row customHeight="1" ht="71.25">
      <c r="A667" s="529"/>
      <c r="B667" s="529" t="s">
        <v>1296</v>
      </c>
      <c r="C667" s="550"/>
      <c r="D667" s="716">
        <v>4</v>
      </c>
      <c r="E667" s="717" t="s">
        <v>1297</v>
      </c>
      <c r="F667" s="719" t="s">
        <v>390</v>
      </c>
      <c r="G667" s="838" t="s">
        <v>1056</v>
      </c>
      <c r="H667" s="839" t="s">
        <v>390</v>
      </c>
      <c r="I667" s="548" t="s">
        <v>1057</v>
      </c>
      <c r="J667" s="545" t="s">
        <v>390</v>
      </c>
      <c r="K667" s="2131" t="s">
        <v>1057</v>
      </c>
      <c r="L667" s="2336" t="s">
        <v>390</v>
      </c>
      <c r="M667" s="2131" t="s">
        <v>1057</v>
      </c>
      <c r="N667" s="2336" t="s">
        <v>390</v>
      </c>
      <c r="O667" s="2131" t="s">
        <v>1057</v>
      </c>
      <c r="P667" s="2336" t="s">
        <v>390</v>
      </c>
      <c r="Q667" s="2131" t="s">
        <v>1057</v>
      </c>
      <c r="R667" s="2336" t="s">
        <v>390</v>
      </c>
      <c r="S667" s="2131" t="s">
        <v>1057</v>
      </c>
      <c r="T667" s="2336" t="s">
        <v>390</v>
      </c>
      <c r="U667" s="2131" t="s">
        <v>1057</v>
      </c>
      <c r="V667" s="2336" t="s">
        <v>390</v>
      </c>
      <c r="W667" s="2131" t="s">
        <v>1057</v>
      </c>
      <c r="X667" s="2336" t="s">
        <v>390</v>
      </c>
      <c r="Y667" s="2131" t="s">
        <v>1057</v>
      </c>
      <c r="Z667" s="2336" t="s">
        <v>390</v>
      </c>
      <c r="AA667" s="2131" t="s">
        <v>1057</v>
      </c>
      <c r="AB667" s="2336" t="s">
        <v>390</v>
      </c>
      <c r="AC667" s="2131" t="s">
        <v>1057</v>
      </c>
      <c r="AD667" s="2336" t="s">
        <v>390</v>
      </c>
      <c r="AE667" s="2131" t="s">
        <v>1057</v>
      </c>
      <c r="AF667" s="2336" t="s">
        <v>390</v>
      </c>
      <c r="AG667" s="2131" t="s">
        <v>1057</v>
      </c>
      <c r="AH667" s="2336" t="s">
        <v>390</v>
      </c>
      <c r="AI667" s="2131" t="s">
        <v>1057</v>
      </c>
      <c r="AJ667" s="2336" t="s">
        <v>390</v>
      </c>
      <c r="AK667" s="2131" t="s">
        <v>1057</v>
      </c>
      <c r="AL667" s="2336" t="s">
        <v>390</v>
      </c>
      <c r="AM667" s="703" t="s">
        <v>1298</v>
      </c>
      <c r="AX667" s="529">
        <v>68</v>
      </c>
    </row>
    <row customHeight="1" ht="11.549999999999999">
      <c r="A668" s="529"/>
      <c r="C668" s="529"/>
      <c r="D668" s="371"/>
      <c r="E668" s="604" t="s">
        <v>1299</v>
      </c>
      <c r="F668" s="596"/>
      <c r="G668" s="596"/>
      <c r="H668" s="720"/>
      <c r="I668" s="596"/>
      <c r="J668" s="720"/>
      <c r="K668" s="2867"/>
      <c r="L668" s="2868"/>
      <c r="M668" s="2869"/>
      <c r="N668" s="2870"/>
      <c r="O668" s="2871"/>
      <c r="P668" s="2872"/>
      <c r="Q668" s="2873"/>
      <c r="R668" s="2874"/>
      <c r="S668" s="2875"/>
      <c r="T668" s="2876"/>
      <c r="U668" s="2877"/>
      <c r="V668" s="2878"/>
      <c r="W668" s="2879"/>
      <c r="X668" s="2880"/>
      <c r="Y668" s="2881"/>
      <c r="Z668" s="2882"/>
      <c r="AA668" s="2883"/>
      <c r="AB668" s="2884"/>
      <c r="AC668" s="2885"/>
      <c r="AD668" s="2886"/>
      <c r="AE668" s="2887"/>
      <c r="AF668" s="2888"/>
      <c r="AG668" s="2889"/>
      <c r="AH668" s="2890"/>
      <c r="AI668" s="2891"/>
      <c r="AJ668" s="2892"/>
      <c r="AK668" s="2893"/>
      <c r="AL668" s="2894"/>
      <c r="AM668" s="597"/>
      <c r="AW668" s="529"/>
      <c r="AX668" s="529">
        <v>11</v>
      </c>
    </row>
    <row customHeight="1" ht="22.5" hidden="1">
      <c r="A669" s="473" t="s">
        <v>82</v>
      </c>
      <c r="B669" s="529">
        <v>0</v>
      </c>
      <c r="C669" s="707">
        <v>4</v>
      </c>
      <c r="D669" s="529">
        <v>6</v>
      </c>
      <c r="E669" s="529">
        <v>36</v>
      </c>
      <c r="F669" s="529">
        <v>9</v>
      </c>
      <c r="G669" s="782">
        <v>0</v>
      </c>
      <c r="H669" s="782">
        <v>0</v>
      </c>
      <c r="I669" s="529">
        <v>25</v>
      </c>
      <c r="J669" s="529">
        <v>33</v>
      </c>
      <c r="K669" s="1659">
        <v>0</v>
      </c>
      <c r="L669" s="1659">
        <v>0</v>
      </c>
      <c r="M669" s="1659">
        <v>0</v>
      </c>
      <c r="N669" s="1659">
        <v>0</v>
      </c>
      <c r="O669" s="1659">
        <v>0</v>
      </c>
      <c r="P669" s="1659">
        <v>0</v>
      </c>
      <c r="Q669" s="1659">
        <v>0</v>
      </c>
      <c r="R669" s="1659">
        <v>0</v>
      </c>
      <c r="S669" s="1659">
        <v>0</v>
      </c>
      <c r="T669" s="1659">
        <v>0</v>
      </c>
      <c r="U669" s="1659">
        <v>0</v>
      </c>
      <c r="V669" s="1659">
        <v>0</v>
      </c>
      <c r="W669" s="1659">
        <v>0</v>
      </c>
      <c r="X669" s="1659">
        <v>0</v>
      </c>
      <c r="Y669" s="1659">
        <v>0</v>
      </c>
      <c r="Z669" s="1659">
        <v>0</v>
      </c>
      <c r="AA669" s="1659">
        <v>0</v>
      </c>
      <c r="AB669" s="1659">
        <v>0</v>
      </c>
      <c r="AC669" s="1659">
        <v>0</v>
      </c>
      <c r="AD669" s="1659">
        <v>0</v>
      </c>
      <c r="AE669" s="1659">
        <v>0</v>
      </c>
      <c r="AF669" s="1659">
        <v>0</v>
      </c>
      <c r="AG669" s="1659">
        <v>0</v>
      </c>
      <c r="AH669" s="1659">
        <v>0</v>
      </c>
      <c r="AI669" s="1659">
        <v>0</v>
      </c>
      <c r="AJ669" s="1659">
        <v>0</v>
      </c>
      <c r="AK669" s="1659">
        <v>0</v>
      </c>
      <c r="AL669" s="1659">
        <v>0</v>
      </c>
      <c r="AM669" s="441">
        <v>93</v>
      </c>
      <c r="AN669" s="529">
        <v>10</v>
      </c>
      <c r="AO669" s="529">
        <v>10</v>
      </c>
      <c r="AP669" s="529">
        <v>10</v>
      </c>
      <c r="AQ669" s="529">
        <v>10</v>
      </c>
      <c r="AR669" s="529">
        <v>10</v>
      </c>
      <c r="AS669" s="529">
        <v>10</v>
      </c>
      <c r="AT669" s="529">
        <v>10</v>
      </c>
      <c r="AU669" s="529">
        <v>10</v>
      </c>
      <c r="AV669" s="529">
        <v>10</v>
      </c>
      <c r="AW669" s="699">
        <v>10</v>
      </c>
      <c r="AX669" s="529">
        <v>23</v>
      </c>
    </row>
  </sheetData>
  <sheetProtection sheet="1" formatColumns="0" formatRows="0" autoFilter="0" sort="1" insertRows="1" insertColumns="1" deleteRows="1" deleteColumns="1"/>
  <mergeCells count="483">
    <mergeCell ref="B3:B4"/>
    <mergeCell ref="C3:C4"/>
    <mergeCell ref="B6:B7"/>
    <mergeCell ref="C6:C7"/>
    <mergeCell ref="B9:B11"/>
    <mergeCell ref="C9:C11"/>
    <mergeCell ref="B13:B14"/>
    <mergeCell ref="C13:C14"/>
    <mergeCell ref="D22:I22"/>
    <mergeCell ref="D23:I23"/>
    <mergeCell ref="I26:J26"/>
    <mergeCell ref="E26:F26"/>
    <mergeCell ref="G28:H28"/>
    <mergeCell ref="AM26:AM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W28:X28"/>
    <mergeCell ref="W26:X26"/>
    <mergeCell ref="W27:X27"/>
    <mergeCell ref="Y28:Z28"/>
    <mergeCell ref="Y26:Z26"/>
    <mergeCell ref="Y27:Z27"/>
    <mergeCell ref="AA28:AB28"/>
    <mergeCell ref="AA26:AB26"/>
    <mergeCell ref="AA27:AB27"/>
    <mergeCell ref="AC28:AD28"/>
    <mergeCell ref="AC26:AD26"/>
    <mergeCell ref="AC27:AD27"/>
    <mergeCell ref="AE28:AF28"/>
    <mergeCell ref="AE26:AF26"/>
    <mergeCell ref="AE27:AF27"/>
    <mergeCell ref="AG28:AH28"/>
    <mergeCell ref="AG26:AH26"/>
    <mergeCell ref="AG27:AH27"/>
    <mergeCell ref="AI28:AJ28"/>
    <mergeCell ref="AI26:AJ26"/>
    <mergeCell ref="AI27:AJ27"/>
    <mergeCell ref="AK28:AL28"/>
    <mergeCell ref="AK26:AL26"/>
    <mergeCell ref="AK27:AL27"/>
    <mergeCell ref="B39:B41"/>
    <mergeCell ref="C39:C41"/>
    <mergeCell ref="B42:B44"/>
    <mergeCell ref="C42:C44"/>
    <mergeCell ref="B45:B47"/>
    <mergeCell ref="C45:C47"/>
    <mergeCell ref="B48:B50"/>
    <mergeCell ref="C48:C50"/>
    <mergeCell ref="B51:B53"/>
    <mergeCell ref="C51:C53"/>
    <mergeCell ref="B54:B56"/>
    <mergeCell ref="C54:C56"/>
    <mergeCell ref="B57:B59"/>
    <mergeCell ref="C57:C59"/>
    <mergeCell ref="B60:B62"/>
    <mergeCell ref="C60:C62"/>
    <mergeCell ref="B63:B65"/>
    <mergeCell ref="C63:C65"/>
    <mergeCell ref="B66:B68"/>
    <mergeCell ref="C66:C68"/>
    <mergeCell ref="B69:B71"/>
    <mergeCell ref="C69:C71"/>
    <mergeCell ref="B72:B74"/>
    <mergeCell ref="C72:C74"/>
    <mergeCell ref="B75:B77"/>
    <mergeCell ref="C75:C77"/>
    <mergeCell ref="B78:B80"/>
    <mergeCell ref="C78:C80"/>
    <mergeCell ref="B81:B83"/>
    <mergeCell ref="C81:C83"/>
    <mergeCell ref="B84:B86"/>
    <mergeCell ref="C84:C86"/>
    <mergeCell ref="B87:B89"/>
    <mergeCell ref="C87:C89"/>
    <mergeCell ref="B90:B92"/>
    <mergeCell ref="C90:C92"/>
    <mergeCell ref="B93:B95"/>
    <mergeCell ref="C93:C95"/>
    <mergeCell ref="B96:B98"/>
    <mergeCell ref="C96:C98"/>
    <mergeCell ref="B33:B34"/>
    <mergeCell ref="C33:C34"/>
    <mergeCell ref="B99:B101"/>
    <mergeCell ref="C99:C101"/>
    <mergeCell ref="B102:B104"/>
    <mergeCell ref="C102:C104"/>
    <mergeCell ref="B105:B107"/>
    <mergeCell ref="C105:C107"/>
    <mergeCell ref="B108:B110"/>
    <mergeCell ref="C108:C110"/>
    <mergeCell ref="B111:B113"/>
    <mergeCell ref="C111:C113"/>
    <mergeCell ref="B114:B116"/>
    <mergeCell ref="C114:C116"/>
    <mergeCell ref="B117:B119"/>
    <mergeCell ref="C117:C119"/>
    <mergeCell ref="B120:B122"/>
    <mergeCell ref="C120:C122"/>
    <mergeCell ref="B123:B125"/>
    <mergeCell ref="C123:C125"/>
    <mergeCell ref="B126:B128"/>
    <mergeCell ref="C126:C128"/>
    <mergeCell ref="B129:B131"/>
    <mergeCell ref="C129:C131"/>
    <mergeCell ref="B132:B134"/>
    <mergeCell ref="C132:C134"/>
    <mergeCell ref="B135:B137"/>
    <mergeCell ref="C135:C137"/>
    <mergeCell ref="B138:B140"/>
    <mergeCell ref="C138:C140"/>
    <mergeCell ref="B141:B143"/>
    <mergeCell ref="C141:C143"/>
    <mergeCell ref="B144:B146"/>
    <mergeCell ref="C144:C146"/>
    <mergeCell ref="B147:B149"/>
    <mergeCell ref="C147:C149"/>
    <mergeCell ref="B150:B152"/>
    <mergeCell ref="C150:C152"/>
    <mergeCell ref="B153:B155"/>
    <mergeCell ref="C153:C155"/>
    <mergeCell ref="B156:B158"/>
    <mergeCell ref="C156:C158"/>
    <mergeCell ref="B159:B161"/>
    <mergeCell ref="C159:C161"/>
    <mergeCell ref="B162:B164"/>
    <mergeCell ref="C162:C164"/>
    <mergeCell ref="B165:B167"/>
    <mergeCell ref="C165:C167"/>
    <mergeCell ref="B168:B170"/>
    <mergeCell ref="C168:C170"/>
    <mergeCell ref="B171:B173"/>
    <mergeCell ref="C171:C173"/>
    <mergeCell ref="B174:B176"/>
    <mergeCell ref="C174:C176"/>
    <mergeCell ref="B177:B179"/>
    <mergeCell ref="C177:C179"/>
    <mergeCell ref="B180:B182"/>
    <mergeCell ref="C180:C182"/>
    <mergeCell ref="B183:B185"/>
    <mergeCell ref="C183:C185"/>
    <mergeCell ref="B186:B188"/>
    <mergeCell ref="C186:C188"/>
    <mergeCell ref="B189:B191"/>
    <mergeCell ref="C189:C191"/>
    <mergeCell ref="B192:B194"/>
    <mergeCell ref="C192:C194"/>
    <mergeCell ref="B195:B197"/>
    <mergeCell ref="C195:C197"/>
    <mergeCell ref="B198:B200"/>
    <mergeCell ref="C198:C200"/>
    <mergeCell ref="B201:B203"/>
    <mergeCell ref="C201:C203"/>
    <mergeCell ref="B204:B206"/>
    <mergeCell ref="C204:C206"/>
    <mergeCell ref="B207:B209"/>
    <mergeCell ref="C207:C209"/>
    <mergeCell ref="B210:B212"/>
    <mergeCell ref="C210:C212"/>
    <mergeCell ref="B213:B215"/>
    <mergeCell ref="C213:C215"/>
    <mergeCell ref="B216:B218"/>
    <mergeCell ref="C216:C218"/>
    <mergeCell ref="B219:B221"/>
    <mergeCell ref="C219:C221"/>
    <mergeCell ref="B222:B224"/>
    <mergeCell ref="C222:C224"/>
    <mergeCell ref="B225:B227"/>
    <mergeCell ref="C225:C227"/>
    <mergeCell ref="B228:B230"/>
    <mergeCell ref="C228:C230"/>
    <mergeCell ref="B231:B233"/>
    <mergeCell ref="C231:C233"/>
    <mergeCell ref="B234:B236"/>
    <mergeCell ref="C234:C236"/>
    <mergeCell ref="B237:B239"/>
    <mergeCell ref="C237:C239"/>
    <mergeCell ref="B240:B242"/>
    <mergeCell ref="C240:C242"/>
    <mergeCell ref="B243:B245"/>
    <mergeCell ref="C243:C245"/>
    <mergeCell ref="B246:B248"/>
    <mergeCell ref="C246:C248"/>
    <mergeCell ref="B249:B251"/>
    <mergeCell ref="C249:C251"/>
    <mergeCell ref="B252:B254"/>
    <mergeCell ref="C252:C254"/>
    <mergeCell ref="B255:B257"/>
    <mergeCell ref="C255:C257"/>
    <mergeCell ref="B258:B260"/>
    <mergeCell ref="C258:C260"/>
    <mergeCell ref="B261:B263"/>
    <mergeCell ref="C261:C263"/>
    <mergeCell ref="B264:B266"/>
    <mergeCell ref="C264:C266"/>
    <mergeCell ref="B267:B269"/>
    <mergeCell ref="C267:C269"/>
    <mergeCell ref="B270:B272"/>
    <mergeCell ref="C270:C272"/>
    <mergeCell ref="B273:B275"/>
    <mergeCell ref="C273:C275"/>
    <mergeCell ref="B276:B278"/>
    <mergeCell ref="C276:C278"/>
    <mergeCell ref="B279:B281"/>
    <mergeCell ref="C279:C281"/>
    <mergeCell ref="B282:B284"/>
    <mergeCell ref="C282:C284"/>
    <mergeCell ref="B285:B287"/>
    <mergeCell ref="C285:C287"/>
    <mergeCell ref="B288:B290"/>
    <mergeCell ref="C288:C290"/>
    <mergeCell ref="B291:B293"/>
    <mergeCell ref="C291:C293"/>
    <mergeCell ref="B294:B296"/>
    <mergeCell ref="C294:C296"/>
    <mergeCell ref="B297:B299"/>
    <mergeCell ref="C297:C299"/>
    <mergeCell ref="B300:B302"/>
    <mergeCell ref="C300:C302"/>
    <mergeCell ref="B303:B305"/>
    <mergeCell ref="C303:C305"/>
    <mergeCell ref="B306:B308"/>
    <mergeCell ref="C306:C308"/>
    <mergeCell ref="B309:B311"/>
    <mergeCell ref="C309:C311"/>
    <mergeCell ref="B312:B314"/>
    <mergeCell ref="C312:C314"/>
    <mergeCell ref="B315:B317"/>
    <mergeCell ref="C315:C317"/>
    <mergeCell ref="B318:B320"/>
    <mergeCell ref="C318:C320"/>
    <mergeCell ref="B321:B323"/>
    <mergeCell ref="C321:C323"/>
    <mergeCell ref="B324:B326"/>
    <mergeCell ref="C324:C326"/>
    <mergeCell ref="B327:B329"/>
    <mergeCell ref="C327:C329"/>
    <mergeCell ref="B330:B332"/>
    <mergeCell ref="C330:C332"/>
    <mergeCell ref="B333:B335"/>
    <mergeCell ref="C333:C335"/>
    <mergeCell ref="B336:B338"/>
    <mergeCell ref="C336:C338"/>
    <mergeCell ref="B339:B341"/>
    <mergeCell ref="C339:C341"/>
    <mergeCell ref="B342:B344"/>
    <mergeCell ref="C342:C344"/>
    <mergeCell ref="B345:B347"/>
    <mergeCell ref="C345:C347"/>
    <mergeCell ref="B348:B350"/>
    <mergeCell ref="C348:C350"/>
    <mergeCell ref="B351:B353"/>
    <mergeCell ref="C351:C353"/>
    <mergeCell ref="B354:B356"/>
    <mergeCell ref="C354:C356"/>
    <mergeCell ref="B357:B359"/>
    <mergeCell ref="C357:C359"/>
    <mergeCell ref="B360:B362"/>
    <mergeCell ref="C360:C362"/>
    <mergeCell ref="B363:B365"/>
    <mergeCell ref="C363:C365"/>
    <mergeCell ref="B366:B368"/>
    <mergeCell ref="C366:C368"/>
    <mergeCell ref="B369:B371"/>
    <mergeCell ref="C369:C371"/>
    <mergeCell ref="B372:B374"/>
    <mergeCell ref="C372:C374"/>
    <mergeCell ref="B375:B377"/>
    <mergeCell ref="C375:C377"/>
    <mergeCell ref="B378:B380"/>
    <mergeCell ref="C378:C380"/>
    <mergeCell ref="B381:B383"/>
    <mergeCell ref="C381:C383"/>
    <mergeCell ref="B384:B386"/>
    <mergeCell ref="C384:C386"/>
    <mergeCell ref="B387:B389"/>
    <mergeCell ref="C387:C389"/>
    <mergeCell ref="B390:B392"/>
    <mergeCell ref="C390:C392"/>
    <mergeCell ref="B393:B395"/>
    <mergeCell ref="C393:C395"/>
    <mergeCell ref="B396:B398"/>
    <mergeCell ref="C396:C398"/>
    <mergeCell ref="B399:B401"/>
    <mergeCell ref="C399:C401"/>
    <mergeCell ref="B402:B404"/>
    <mergeCell ref="C402:C404"/>
    <mergeCell ref="B405:B407"/>
    <mergeCell ref="C405:C407"/>
    <mergeCell ref="B408:B410"/>
    <mergeCell ref="C408:C410"/>
    <mergeCell ref="B411:B413"/>
    <mergeCell ref="C411:C413"/>
    <mergeCell ref="B414:B416"/>
    <mergeCell ref="C414:C416"/>
    <mergeCell ref="B417:B419"/>
    <mergeCell ref="C417:C419"/>
    <mergeCell ref="B420:B422"/>
    <mergeCell ref="C420:C422"/>
    <mergeCell ref="B423:B425"/>
    <mergeCell ref="C423:C425"/>
    <mergeCell ref="B426:B428"/>
    <mergeCell ref="C426:C428"/>
    <mergeCell ref="B429:B431"/>
    <mergeCell ref="C429:C431"/>
    <mergeCell ref="B432:B434"/>
    <mergeCell ref="C432:C434"/>
    <mergeCell ref="B435:B437"/>
    <mergeCell ref="C435:C437"/>
    <mergeCell ref="B438:B440"/>
    <mergeCell ref="C438:C440"/>
    <mergeCell ref="B441:B443"/>
    <mergeCell ref="C441:C443"/>
    <mergeCell ref="B444:B446"/>
    <mergeCell ref="C444:C446"/>
    <mergeCell ref="B447:B449"/>
    <mergeCell ref="C447:C449"/>
    <mergeCell ref="B450:B452"/>
    <mergeCell ref="C450:C452"/>
    <mergeCell ref="B453:B455"/>
    <mergeCell ref="C453:C455"/>
    <mergeCell ref="B456:B458"/>
    <mergeCell ref="C456:C458"/>
    <mergeCell ref="B459:B461"/>
    <mergeCell ref="C459:C461"/>
    <mergeCell ref="B462:B464"/>
    <mergeCell ref="C462:C464"/>
    <mergeCell ref="B465:B467"/>
    <mergeCell ref="C465:C467"/>
    <mergeCell ref="B468:B470"/>
    <mergeCell ref="C468:C470"/>
    <mergeCell ref="B471:B473"/>
    <mergeCell ref="C471:C473"/>
    <mergeCell ref="B474:B476"/>
    <mergeCell ref="C474:C476"/>
    <mergeCell ref="B477:B479"/>
    <mergeCell ref="C477:C479"/>
    <mergeCell ref="B480:B482"/>
    <mergeCell ref="C480:C482"/>
    <mergeCell ref="B483:B485"/>
    <mergeCell ref="C483:C485"/>
    <mergeCell ref="B486:B488"/>
    <mergeCell ref="C486:C488"/>
    <mergeCell ref="B489:B491"/>
    <mergeCell ref="C489:C491"/>
    <mergeCell ref="B492:B494"/>
    <mergeCell ref="C492:C494"/>
    <mergeCell ref="B495:B497"/>
    <mergeCell ref="C495:C497"/>
    <mergeCell ref="B498:B500"/>
    <mergeCell ref="C498:C500"/>
    <mergeCell ref="B501:B503"/>
    <mergeCell ref="C501:C503"/>
    <mergeCell ref="B504:B506"/>
    <mergeCell ref="C504:C506"/>
    <mergeCell ref="B507:B509"/>
    <mergeCell ref="C507:C509"/>
    <mergeCell ref="B510:B512"/>
    <mergeCell ref="C510:C512"/>
    <mergeCell ref="B513:B515"/>
    <mergeCell ref="C513:C515"/>
    <mergeCell ref="B516:B518"/>
    <mergeCell ref="C516:C518"/>
    <mergeCell ref="B519:B521"/>
    <mergeCell ref="C519:C521"/>
    <mergeCell ref="B522:B524"/>
    <mergeCell ref="C522:C524"/>
    <mergeCell ref="B525:B527"/>
    <mergeCell ref="C525:C527"/>
    <mergeCell ref="B528:B530"/>
    <mergeCell ref="C528:C530"/>
    <mergeCell ref="B531:B533"/>
    <mergeCell ref="C531:C533"/>
    <mergeCell ref="B534:B536"/>
    <mergeCell ref="C534:C536"/>
    <mergeCell ref="B537:B539"/>
    <mergeCell ref="C537:C539"/>
    <mergeCell ref="B540:B542"/>
    <mergeCell ref="C540:C542"/>
    <mergeCell ref="B543:B545"/>
    <mergeCell ref="C543:C545"/>
    <mergeCell ref="B546:B548"/>
    <mergeCell ref="C546:C548"/>
    <mergeCell ref="B549:B551"/>
    <mergeCell ref="C549:C551"/>
    <mergeCell ref="B552:B554"/>
    <mergeCell ref="C552:C554"/>
    <mergeCell ref="B555:B557"/>
    <mergeCell ref="C555:C557"/>
    <mergeCell ref="B558:B560"/>
    <mergeCell ref="C558:C560"/>
    <mergeCell ref="B561:B563"/>
    <mergeCell ref="C561:C563"/>
    <mergeCell ref="B564:B566"/>
    <mergeCell ref="C564:C566"/>
    <mergeCell ref="B567:B569"/>
    <mergeCell ref="C567:C569"/>
    <mergeCell ref="B570:B572"/>
    <mergeCell ref="C570:C572"/>
    <mergeCell ref="B573:B575"/>
    <mergeCell ref="C573:C575"/>
    <mergeCell ref="B576:B578"/>
    <mergeCell ref="C576:C578"/>
    <mergeCell ref="B579:B581"/>
    <mergeCell ref="C579:C581"/>
    <mergeCell ref="B582:B584"/>
    <mergeCell ref="C582:C584"/>
    <mergeCell ref="B585:B587"/>
    <mergeCell ref="C585:C587"/>
    <mergeCell ref="B588:B590"/>
    <mergeCell ref="C588:C590"/>
    <mergeCell ref="B591:B593"/>
    <mergeCell ref="C591:C593"/>
    <mergeCell ref="B594:B596"/>
    <mergeCell ref="C594:C596"/>
    <mergeCell ref="B597:B599"/>
    <mergeCell ref="C597:C599"/>
    <mergeCell ref="B600:B602"/>
    <mergeCell ref="C600:C602"/>
    <mergeCell ref="B603:B605"/>
    <mergeCell ref="C603:C605"/>
    <mergeCell ref="B606:B608"/>
    <mergeCell ref="C606:C608"/>
    <mergeCell ref="B609:B611"/>
    <mergeCell ref="C609:C611"/>
    <mergeCell ref="B612:B614"/>
    <mergeCell ref="C612:C614"/>
    <mergeCell ref="B615:B617"/>
    <mergeCell ref="C615:C617"/>
    <mergeCell ref="B618:B620"/>
    <mergeCell ref="C618:C620"/>
    <mergeCell ref="B621:B623"/>
    <mergeCell ref="C621:C623"/>
    <mergeCell ref="B624:B626"/>
    <mergeCell ref="C624:C626"/>
    <mergeCell ref="B627:B629"/>
    <mergeCell ref="C627:C629"/>
    <mergeCell ref="B630:B632"/>
    <mergeCell ref="C630:C632"/>
    <mergeCell ref="B633:B635"/>
    <mergeCell ref="C633:C635"/>
    <mergeCell ref="B636:B638"/>
    <mergeCell ref="C636:C638"/>
    <mergeCell ref="B639:B641"/>
    <mergeCell ref="C639:C641"/>
    <mergeCell ref="B642:B644"/>
    <mergeCell ref="C642:C644"/>
    <mergeCell ref="B645:B647"/>
    <mergeCell ref="C645:C647"/>
    <mergeCell ref="B648:B650"/>
    <mergeCell ref="C648:C650"/>
    <mergeCell ref="B651:B653"/>
    <mergeCell ref="C651:C653"/>
    <mergeCell ref="B654:B656"/>
    <mergeCell ref="C654:C656"/>
    <mergeCell ref="B657:B659"/>
    <mergeCell ref="C657:C659"/>
    <mergeCell ref="B660:B662"/>
    <mergeCell ref="C660:C662"/>
    <mergeCell ref="B663:B665"/>
    <mergeCell ref="C663:C665"/>
  </mergeCells>
  <dataValidations count="5">
    <dataValidation allowBlank="1" showInputMessage="1" showErrorMessage="1" prompt="Для выбора выполните двойной щелчок левой клавиши мыши по ячейке." sqref="I38 G667 I667 G38 K38 K667 M38 M667 O38 O667 Q38 Q667 S38 S667 U38 U667 W38 W667 Y38 Y667 AA38 AA667 AC38 AC667 AE38 AE667 AG38 AG667 AI38 AI667 AK38 AK667"/>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X3:X4 Z3:Z4 AB3:AB4 AD3:AD4 AF3:AF4 AH3:AH4 AJ3:AJ4 AL3:AL4 H6:H7 J6:J7 L6:L7 N6:N7 P6:P7 R6:R7 T6:T7 V6:V7 X6:X7 Z6:Z7 AB6:AB7 AD6:AD7 AF6:AF7 AH6:AH7 AJ6:AJ7 AL6:AL7 J9:J11 L9:L11 N9:N11 P9:P11 R9:R11 T9:T11 V9:V11 X9:X11 Z9:Z11 AB9:AB11 AD9:AD11 AF9:AF11 AH9:AH11 AJ9:AJ11 AL9:AL11 H9:H11 J13:J14 L13:L14 N13:N14 P13:P14 R13:R14 T13:T14 V13:V14 X13:X14 Z13:Z14 AB13:AB14 AD13:AD14 AF13:AF14 AH13:AH14 AJ13:AJ14 AL13:AL14 H13:H14 H39 J39 L39 N39 P39 R39 T39 V39 X39 Z39 AB39 AD39 AF39 AH39 AJ39 AL39 H40 J40 L40 N40 P40 R40 T40 V40 X40 Z40 AB40 AD40 AF40 AH40 AJ40 AL40 H41 J41 L41 N41 P41 R41 T41 V41 X41 Z41 AB41 AD41 AF41 AH41 AJ41 AL41 H42 J42 L42 N42 P42 R42 T42 V42 X42 Z42 AB42 AD42 AF42 AH42 AJ42 AL42 H43 J43 L43 N43 P43 R43 T43 V43 X43 Z43 AB43 AD43 AF43 AH43 AJ43 AL43 H44 J44 L44 N44 P44 R44 T44 V44 X44 Z44 AB44 AD44 AF44 AH44 AJ44 AL44 H45 J45 L45 N45 P45 R45 T45 V45 X45 Z45 AB45 AD45 AF45 AH45 AJ45 AL45 H46 J46 L46 N46 P46 R46 T46 V46 X46 Z46 AB46 AD46 AF46 AH46 AJ46 AL46 H47 J47 L47 N47 P47 R47 T47 V47 X47 Z47 AB47 AD47 AF47 AH47 AJ47 AL47 H48 J48 L48 N48 P48 R48 T48 V48 X48 Z48 AB48 AD48 AF48 AH48 AJ48 AL48 H49 J49 L49 N49 P49 R49 T49 V49 X49 Z49 AB49 AD49 AF49 AH49 AJ49 AL49 H50 J50 L50 N50 P50 R50 T50 V50 X50 Z50 AB50 AD50 AF50 AH50 AJ50 AL50 H51 J51 L51 N51 P51 R51 T51 V51 X51 Z51 AB51 AD51 AF51 AH51 AJ51 AL51 H52 J52 L52 N52 P52 R52 T52 V52 X52 Z52 AB52 AD52 AF52 AH52 AJ52 AL52 H53 J53 L53 N53 P53 R53 T53 V53 X53 Z53 AB53 AD53 AF53 AH53 AJ53 AL53 H54 J54 L54 N54 P54 R54 T54 V54 X54 Z54 AB54 AD54 AF54 AH54 AJ54 AL54 H55 J55 L55 N55 P55 R55 T55 V55 X55 Z55 AB55 AD55 AF55 AH55 AJ55 AL55 H56 J56 L56 N56 P56 R56 T56 V56 X56 Z56 AB56 AD56 AF56 AH56 AJ56 AL56 H57 J57 L57 N57 P57 R57 T57 V57 X57 Z57 AB57 AD57 AF57 AH57 AJ57 AL57 H58 J58 L58 N58 P58 R58 T58 V58 X58 Z58 AB58 AD58 AF58 AH58 AJ58 AL58 H59 J59 L59 N59 P59 R59 T59 V59 X59 Z59 AB59 AD59 AF59 AH59 AJ59 AL59 H60 J60 L60 N60 P60 R60 T60 V60 X60 Z60 AB60 AD60 AF60 AH60 AJ60 AL60 H61 J61 L61 N61 P61 R61 T61 V61 X61 Z61 AB61 AD61 AF61 AH61 AJ61 AL61 H62 J62 L62 N62 P62 R62 T62 V62 X62 Z62 AB62 AD62 AF62 AH62 AJ62 AL62 H63 J63 L63 N63 P63 R63 T63 V63 X63 Z63 AB63 AD63 AF63 AH63 AJ63 AL63 H64 J64 L64 N64 P64 R64 T64 V64 X64 Z64 AB64 AD64 AF64 AH64 AJ64 AL64 H65 J65 L65 N65 P65 R65 T65 V65 X65 Z65 AB65 AD65 AF65 AH65 AJ65 AL65 H66 J66 L66 N66 P66 R66 T66 V66 X66 Z66 AB66 AD66 AF66 AH66 AJ66 AL66 H67 J67 L67 N67 P67 R67 T67 V67 X67 Z67 AB67 AD67 AF67 AH67 AJ67 AL67 H68 J68 L68 N68 P68 R68 T68 V68 X68 Z68 AB68 AD68 AF68 AH68 AJ68 AL68 H69 J69 L69 N69 P69 R69 T69 V69 X69 Z69 AB69 AD69 AF69 AH69 AJ69 AL69 H70 J70 L70 N70 P70 R70 T70 V70 X70 Z70 AB70 AD70 AF70 AH70 AJ70 AL70 H71 J71 L71 N71 P71 R71 T71 V71 X71 Z71 AB71 AD71 AF71 AH71 AJ71 AL71 H72 J72 L72 N72 P72 R72 T72 V72 X72 Z72 AB72 AD72 AF72 AH72 AJ72 AL72 H73 J73 L73 N73 P73 R73 T73 V73 X73 Z73 AB73 AD73 AF73 AH73 AJ73 AL73 H74 J74 L74 N74 P74 R74 T74 V74 X74 Z74 AB74 AD74 AF74 AH74 AJ74 AL74 H75 J75 L75 N75 P75 R75 T75 V75 X75 Z75 AB75 AD75 AF75 AH75 AJ75 AL75 H76 J76 L76 N76 P76 R76 T76 V76 X76 Z76 AB76 AD76 AF76 AH76 AJ76 AL76 H77 J77 L77 N77 P77 R77 T77 V77 X77 Z77 AB77 AD77 AF77 AH77 AJ77 AL77 H78 J78 L78 N78 P78 R78 T78 V78 X78 Z78 AB78 AD78 AF78 AH78 AJ78 AL78 H79 J79 L79 N79 P79 R79 T79 V79 X79 Z79 AB79 AD79 AF79 AH79 AJ79 AL79 H80 J80 L80 N80 P80 R80 T80 V80 X80 Z80 AB80 AD80 AF80 AH80 AJ80 AL80 H81 J81 L81 N81 P81 R81 T81 V81 X81 Z81 AB81 AD81 AF81 AH81 AJ81 AL81 H82 J82 L82 N82 P82 R82 T82 V82 X82 Z82 AB82 AD82 AF82 AH82 AJ82 AL82 H83 J83 L83 N83 P83 R83 T83 V83 X83 Z83 AB83 AD83 AF83 AH83 AJ83 AL83 H84 J84 L84 N84 P84 R84 T84 V84 X84 Z84 AB84 AD84 AF84 AH84 AJ84 AL84 H85 J85 L85 N85 P85 R85 T85 V85 X85 Z85 AB85 AD85 AF85 AH85 AJ85 AL85 H86 J86 L86 N86 P86 R86 T86 V86 X86 Z86 AB86 AD86 AF86 AH86 AJ86 AL86 H87 J87 L87 N87 P87 R87 T87 V87 X87 Z87 AB87 AD87 AF87 AH87 AJ87 AL87 H88 J88 L88 N88 P88 R88 T88 V88 X88 Z88 AB88 AD88 AF88 AH88 AJ88 AL88 H89 J89 L89 N89 P89 R89 T89 V89 X89 Z89 AB89 AD89 AF89 AH89 AJ89 AL89 H90 J90 L90 N90 P90 R90 T90 V90 X90 Z90 AB90 AD90 AF90 AH90 AJ90 AL90 H91 J91 L91 N91 P91 R91 T91 V91 X91 Z91 AB91 AD91 AF91 AH91 AJ91 AL91 H92 J92 L92 N92 P92 R92 T92 V92 X92 Z92 AB92 AD92 AF92 AH92 AJ92 AL92 H93 J93 L93 N93 P93 R93 T93 V93 X93 Z93 AB93 AD93 AF93 AH93 AJ93 AL93 H94 J94 L94 N94 P94 R94 T94 V94 X94 Z94 AB94 AD94 AF94 AH94 AJ94 AL94 H95 J95 L95 N95 P95 R95 T95 V95 X95 Z95 AB95 AD95 AF95 AH95 AJ95 AL95 H96 J96 L96 N96 P96 R96 T96 V96 X96 Z96 AB96 AD96 AF96 AH96 AJ96 AL96 H97 J97 L97 N97 P97 R97 T97 V97 X97 Z97 AB97 AD97 AF97 AH97 AJ97 AL97 H98:H665 J98:J665 L98:L665 N98:N665 P98:P665 R98:R665 T98:T665 V98:V665 X98:X665 Z98:Z665 AB98:AB665 AD98:AD665 AF98:AF665 AH98:AH665 AJ98:AJ665 AL98:AL665 H33 J33 L33 N33 P33 R33 T33 V33 X33 Z33 AB33 AD33 AF33 AH33 AJ33 AL33 H34 J34 L34 N34 P34 R34 T34 V34 X34 Z34 AB34 AD34 AF34 AH34 AJ34 AL3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W4 W7 W10 W11 W14 Y4 Y7 Y10 Y11 Y14 AA4 AA7 AA10 AA11 AA14 AC4 AC7 AC10 AC11 AC14 AE4 AE7 AE10 AE11 AE14 AG4 AG7 AG10 AG11 AG14 AI4 AI7 AI10 AI11 AI14 AK4 AK7 AK10 AK11 AK14 G40 I40 K40 M40 O40 Q40 S40 U40 W40 Y40 AA40 AC40 AE40 AG40 AI40 AK40 G41 I41 K41 M41 O41 Q41 S41 U41 W41 Y41 AA41 AC41 AE41 AG41 AI41 AK41 G43 I43 K43 M43 O43 Q43 S43 U43 W43 Y43 AA43 AC43 AE43 AG43 AI43 AK43 G44 I44 K44 M44 O44 Q44 S44 U44 W44 Y44 AA44 AC44 AE44 AG44 AI44 AK44 G46 I46 K46 M46 O46 Q46 S46 U46 W46 Y46 AA46 AC46 AE46 AG46 AI46 AK46 G47 I47 K47 M47 O47 Q47 S47 U47 W47 Y47 AA47 AC47 AE47 AG47 AI47 AK47 G49 I49 K49 M49 O49 Q49 S49 U49 W49 Y49 AA49 AC49 AE49 AG49 AI49 AK49 G50 I50 K50 M50 O50 Q50 S50 U50 W50 Y50 AA50 AC50 AE50 AG50 AI50 AK50 G52 I52 K52 M52 O52 Q52 S52 U52 W52 Y52 AA52 AC52 AE52 AG52 AI52 AK52 G53 I53 K53 M53 O53 Q53 S53 U53 W53 Y53 AA53 AC53 AE53 AG53 AI53 AK53 G55 I55 K55 M55 O55 Q55 S55 U55 W55 Y55 AA55 AC55 AE55 AG55 AI55 AK55 G56 I56 K56 M56 O56 Q56 S56 U56 W56 Y56 AA56 AC56 AE56 AG56 AI56 AK56 G58 I58 K58 M58 O58 Q58 S58 U58 W58 Y58 AA58 AC58 AE58 AG58 AI58 AK58 G59 I59 K59 M59 O59 Q59 S59 U59 W59 Y59 AA59 AC59 AE59 AG59 AI59 AK59 G61 I61 K61 M61 O61 Q61 S61 U61 W61 Y61 AA61 AC61 AE61 AG61 AI61 AK61 G62 I62 K62 M62 O62 Q62 S62 U62 W62 Y62 AA62 AC62 AE62 AG62 AI62 AK62 G64 I64 K64 M64 O64 Q64 S64 U64 W64 Y64 AA64 AC64 AE64 AG64 AI64 AK64 G65 I65 K65 M65 O65 Q65 S65 U65 W65 Y65 AA65 AC65 AE65 AG65 AI65 AK65 G67 I67 K67 M67 O67 Q67 S67 U67 W67 Y67 AA67 AC67 AE67 AG67 AI67 AK67 G68 I68 K68 M68 O68 Q68 S68 U68 W68 Y68 AA68 AC68 AE68 AG68 AI68 AK68 G70 I70 K70 M70 O70 Q70 S70 U70 W70 Y70 AA70 AC70 AE70 AG70 AI70 AK70 G71 I71 K71 M71 O71 Q71 S71 U71 W71 Y71 AA71 AC71 AE71 AG71 AI71 AK71 G73 I73 K73 M73 O73 Q73 S73 U73 W73 Y73 AA73 AC73 AE73 AG73 AI73 AK73 G74 I74 K74 M74 O74 Q74 S74 U74 W74 Y74 AA74 AC74 AE74 AG74 AI74 AK74 G76 I76 K76 M76 O76 Q76 S76 U76 W76 Y76 AA76 AC76 AE76 AG76 AI76 AK76 G77 I77 K77 M77 O77 Q77 S77 U77 W77 Y77 AA77 AC77 AE77 AG77 AI77 AK77 G79 I79 K79 M79 O79 Q79 S79 U79 W79 Y79 AA79 AC79 AE79 AG79 AI79 AK79 G80 I80 K80 M80 O80 Q80 S80 U80 W80 Y80 AA80 AC80 AE80 AG80 AI80 AK80 G82 I82 K82 M82 O82 Q82 S82 U82 W82 Y82 AA82 AC82 AE82 AG82 AI82 AK82 G83 I83 K83 M83 O83 Q83 S83 U83 W83 Y83 AA83 AC83 AE83 AG83 AI83 AK83 G85 I85 K85 M85 O85 Q85 S85 U85 W85 Y85 AA85 AC85 AE85 AG85 AI85 AK85 G86 I86 K86 M86 O86 Q86 S86 U86 W86 Y86 AA86 AC86 AE86 AG86 AI86 AK86 G88 I88 K88 M88 O88 Q88 S88 U88 W88 Y88 AA88 AC88 AE88 AG88 AI88 AK88 G89 I89 K89 M89 O89 Q89 S89 U89 W89 Y89 AA89 AC89 AE89 AG89 AI89 AK89 G91 I91 K91 M91 O91 Q91 S91 U91 W91 Y91 AA91 AC91 AE91 AG91 AI91 AK91 G92 I92 K92 M92 O92 Q92 S92 U92 W92 Y92 AA92 AC92 AE92 AG92 AI92 AK92 G94 I94 K94 M94 O94 Q94 S94 U94 W94 Y94 AA94 AC94 AE94 AG94 AI94 AK94 G95 I95 K95 M95 O95 Q95 S95 U95 W95 Y95 AA95 AC95 AE95 AG95 AI95 AK95 G97 I97 K97 M97 O97 Q97 S97 U97 W97 Y97 AA97 AC97 AE97 AG97 AI97 AK97 G98 G100:G101 G103:G104 G106:G107 G109:G110 G112:G113 G115:G116 G118:G119 G121:G122 G124:G125 G127:G128 G130:G131 G133:G134 G136:G137 G139:G140 G142:G143 G145:G146 G148:G149 G151:G152 G154:G155 G157:G158 G160:G161 G163:G164 G166:G167 G169:G170 G172:G173 G175:G176 G178:G179 G181:G182 G184:G185 G187:G188 G190:G191 G193:G194 G196:G197 G199:G200 G202:G203 G205:G206 G208:G209 G211:G212 G214:G215 G217:G218 G220:G221 G223:G224 G226:G227 G229:G230 G232:G233 G235:G236 G238:G239 G241:G242 G244:G245 G247:G248 G250:G251 G253:G254 G256:G257 G259:G260 G262:G263 G265:G266 G268:G269 G271:G272 G274:G275 G277:G278 G280:G281 G283:G284 G286:G287 G289:G290 G292:G293 G295:G296 G298:G299 G301:G302 G304:G305 G307:G308 G310:G311 G313:G314 G316:G317 G319:G320 G322:G323 G325:G326 G328:G329 G331:G332 G334:G335 G337:G338 G340:G341 G343:G344 G346:G347 G349:G350 G352:G353 G355:G356 G358:G359 G361:G362 G364:G365 G367:G368 G370:G371 G373:G374 G376:G377 G379:G380 G382:G383 G385:G386 G388:G389 G391:G392 G394:G395 G397:G398 G400:G401 G403:G404 G406:G407 G409:G410 G412:G413 G415:G416 G418:G419 G421:G422 G424:G425 G427:G428 G430:G431 G433:G434 G436:G437 G439:G440 G442:G443 G445:G446 G448:G449 G451:G452 G454:G455 G457:G458 G460:G461 G463:G464 G466:G467 G469:G470 G472:G473 G475:G476 G478:G479 G481:G482 G484:G485 G487:G488 G490:G491 G493:G494 G496:G497 G499:G500 G502:G503 G505:G506 G508:G509 G511:G512 G514:G515 G517:G518 G520:G521 G523:G524 G526:G527 G529:G530 G532:G533 G535:G536 G538:G539 G541:G542 G544:G545 G547:G548 G550:G551 G553:G554 G556:G557 G559:G560 G562:G563 G565:G566 G568:G569 G571:G572 G574:G575 G577:G578 G580:G581 G583:G584 G586:G587 G589:G590 G592:G593 G595:G596 G598:G599 G601:G602 G604:G605 G607:G608 G610:G611 G613:G614 G616:G617 G619:G620 G622:G623 G625:G626 G628:G629 G631:G632 G634:G635 G637:G638 G640:G641 G643:G644 G646:G647 G649:G650 G652:G653 G655:G656 G658:G659 G661:G662 G664:G665 I98 I100:I101 I103:I104 I106:I107 I109:I110 I112:I113 I115:I116 I118:I119 I121:I122 I124:I125 I127:I128 I130:I131 I133:I134 I136:I137 I139:I140 I142:I143 I145:I146 I148:I149 I151:I152 I154:I155 I157:I158 I160:I161 I163:I164 I166:I167 I169:I170 I172:I173 I175:I176 I178:I179 I181:I182 I184:I185 I187:I188 I190:I191 I193:I194 I196:I197 I199:I200 I202:I203 I205:I206 I208:I209 I211:I212 I214:I215 I217:I218 I220:I221 I223:I224 I226:I227 I229:I230 I232:I233 I235:I236 I238:I239 I241:I242 I244:I245 I247:I248 I250:I251 I253:I254 I256:I257 I259:I260 I262:I263 I265:I266 I268:I269 I271:I272 I274:I275 I277:I278 I280:I281 I283:I284 I286:I287 I289:I290 I292:I293 I295:I296 I298:I299 I301:I302 I304:I305 I307:I308 I310:I311 I313:I314 I316:I317 I319:I320 I322:I323 I325:I326 I328:I329 I331:I332 I334:I335 I337:I338 I340:I341 I343:I344 I346:I347 I349:I350 I352:I353 I355:I356 I358:I359 I361:I362 I364:I365 I367:I368 I370:I371 I373:I374 I376:I377 I379:I380 I382:I383 I385:I386 I388:I389 I391:I392 I394:I395 I397:I398 I400:I401 I403:I404 I406:I407 I409:I410 I412:I413 I415:I416 I418:I419 I421:I422 I424:I425 I427:I428 I430:I431 I433:I434 I436:I437 I439:I440 I442:I443 I445:I446 I448:I449 I451:I452 I454:I455 I457:I458 I460:I461 I463:I464 I466:I467 I469:I470 I472:I473 I475:I476 I478:I479 I481:I482 I484:I485 I487:I488 I490:I491 I493:I494 I496:I497 I499:I500 I502:I503 I505:I506 I508:I509 I511:I512 I514:I515 I517:I518 I520:I521 I523:I524 I526:I527 I529:I530 I532:I533 I535:I536 I538:I539 I541:I542 I544:I545 I547:I548 I550:I551 I553:I554 I556:I557 I559:I560 I562:I563 I565:I566 I568:I569 I571:I572 I574:I575 I577:I578 I580:I581 I583:I584 I586:I587 I589:I590 I592:I593 I595:I596 I598:I599 I601:I602 I604:I605 I607:I608 I610:I611 I613:I614 I616:I617 I619:I620 I622:I623 I625:I626 I628:I629 I631:I632 I634:I635 I637:I638 I640:I641 I643:I644 I646:I647 I649:I650 I652:I653 I655:I656 I658:I659 I661:I662 I664:I665 K98 K100:K101 K103:K104 K106:K107 K109:K110 K112:K113 K115:K116 K118:K119 K121:K122 K124:K125 K127:K128 K130:K131 K133:K134 K136:K137 K139:K140 K142:K143 K145:K146 K148:K149 K151:K152 K154:K155 K157:K158 K160:K161 K163:K164 K166:K167 K169:K170 K172:K173 K175:K176 K178:K179 K181:K182 K184:K185 K187:K188 K190:K191 K193:K194 K196:K197 K199:K200 K202:K203 K205:K206 K208:K209 K211:K212 K214:K215 K217:K218 K220:K221 K223:K224 K226:K227 K229:K230 K232:K233 K235:K236 K238:K239 K241:K242 K244:K245 K247:K248 K250:K251 K253:K254 K256:K257 K259:K260 K262:K263 K265:K266 K268:K269 K271:K272 K274:K275 K277:K278 K280:K281 K283:K284 K286:K287 K289:K290 K292:K293 K295:K296 K298:K299 K301:K302 K304:K305 K307:K308 K310:K311 K313:K314 K316:K317 K319:K320 K322:K323 K325:K326 K328:K329 K331:K332 K334:K335 K337:K338 K340:K341 K343:K344 K346:K347 K349:K350 K352:K353 K355:K356 K358:K359 K361:K362 K364:K365 K367:K368 K370:K371 K373:K374 K376:K377 K379:K380 K382:K383 K385:K386 K388:K389 K391:K392 K394:K395 K397:K398 K400:K401 K403:K404 K406:K407 K409:K410 K412:K413 K415:K416 K418:K419 K421:K422 K424:K425 K427:K428 K430:K431 K433:K434 K436:K437 K439:K440 K442:K443 K445:K446 K448:K449 K451:K452 K454:K455 K457:K458 K460:K461 K463:K464 K466:K467 K469:K470 K472:K473 K475:K476 K478:K479 K481:K482 K484:K485 K487:K488 K490:K491 K493:K494 K496:K497 K499:K500 K502:K503 K505:K506 K508:K509 K511:K512 K514:K515 K517:K518 K520:K521 K523:K524 K526:K527 K529:K530 K532:K533 K535:K536 K538:K539 K541:K542 K544:K545 K547:K548 K550:K551 K553:K554 K556:K557 K559:K560 K562:K563 K565:K566 K568:K569 K571:K572 K574:K575 K577:K578 K580:K581 K583:K584 K586:K587 K589:K590 K592:K593 K595:K596 K598:K599 K601:K602 K604:K605 K607:K608 K610:K611 K613:K614 K616:K617 K619:K620 K622:K623 K625:K626 K628:K629 K631:K632 K634:K635 K637:K638 K640:K641 K643:K644 K646:K647 K649:K650 K652:K653 K655:K656 K658:K659 K661:K662 K664:K665 M98 M100:M101 M103:M104 M106:M107 M109:M110 M112:M113 M115:M116 M118:M119 M121:M122 M124:M125 M127:M128 M130:M131 M133:M134 M136:M137 M139:M140 M142:M143 M145:M146 M148:M149 M151:M152 M154:M155 M157:M158 M160:M161 M163:M164 M166:M167 M169:M170 M172:M173 M175:M176 M178:M179 M181:M182 M184:M185 M187:M188 M190:M191 M193:M194 M196:M197 M199:M200 M202:M203 M205:M206 M208:M209 M211:M212 M214:M215 M217:M218 M220:M221 M223:M224 M226:M227 M229:M230 M232:M233 M235:M236 M238:M239 M241:M242 M244:M245 M247:M248 M250:M251 M253:M254 M256:M257 M259:M260 M262:M263 M265:M266 M268:M269 M271:M272 M274:M275 M277:M278 M280:M281 M283:M284 M286:M287 M289:M290 M292:M293 M295:M296 M298:M299 M301:M302 M304:M305 M307:M308 M310:M311 M313:M314 M316:M317 M319:M320 M322:M323 M325:M326 M328:M329 M331:M332 M334:M335 M337:M338 M340:M341 M343:M344 M346:M347 M349:M350 M352:M353 M355:M356 M358:M359 M361:M362 M364:M365 M367:M368 M370:M371 M373:M374 M376:M377 M379:M380 M382:M383 M385:M386 M388:M389 M391:M392 M394:M395 M397:M398 M400:M401 M403:M404 M406:M407 M409:M410 M412:M413 M415:M416 M418:M419 M421:M422 M424:M425 M427:M428 M430:M431 M433:M434 M436:M437 M439:M440 M442:M443 M445:M446 M448:M449 M451:M452 M454:M455 M457:M458 M460:M461 M463:M464 M466:M467 M469:M470 M472:M473 M475:M476 M478:M479 M481:M482 M484:M485 M487:M488 M490:M491 M493:M494 M496:M497 M499:M500 M502:M503 M505:M506 M508:M509 M511:M512 M514:M515 M517:M518 M520:M521 M523:M524 M526:M527 M529:M530 M532:M533 M535:M536 M538:M539 M541:M542 M544:M545 M547:M548 M550:M551 M553:M554 M556:M557 M559:M560 M562:M563 M565:M566 M568:M569 M571:M572 M574:M575 M577:M578 M580:M581 M583:M584 M586:M587 M589:M590 M592:M593 M595:M596 M598:M599 M601:M602 M604:M605 M607:M608 M610:M611 M613:M614 M616:M617 M619:M620 M622:M623 M625:M626 M628:M629 M631:M632 M634:M635 M637:M638 M640:M641 M643:M644 M646:M647 M649:M650 M652:M653 M655:M656 M658:M659 M661:M662 M664:M665 O98 O100:O101 O103:O104 O106:O107 O109:O110 O112:O113 O115:O116 O118:O119 O121:O122 O124:O125 O127:O128 O130:O131 O133:O134 O136:O137 O139:O140 O142:O143 O145:O146 O148:O149 O151:O152 O154:O155 O157:O158 O160:O161 O163:O164 O166:O167 O169:O170 O172:O173 O175:O176 O178:O179 O181:O182 O184:O185 O187:O188 O190:O191 O193:O194 O196:O197 O199:O200 O202:O203 O205:O206 O208:O209 O211:O212 O214:O215 O217:O218 O220:O221 O223:O224 O226:O227 O229:O230 O232:O233 O235:O236 O238:O239 O241:O242 O244:O245 O247:O248 O250:O251 O253:O254 O256:O257 O259:O260 O262:O263 O265:O266 O268:O269 O271:O272 O274:O275 O277:O278 O280:O281 O283:O284 O286:O287 O289:O290 O292:O293 O295:O296 O298:O299 O301:O302 O304:O305 O307:O308 O310:O311 O313:O314 O316:O317 O319:O320 O322:O323 O325:O326 O328:O329 O331:O332 O334:O335 O337:O338 O340:O341 O343:O344 O346:O347 O349:O350 O352:O353 O355:O356 O358:O359 O361:O362 O364:O365 O367:O368 O370:O371 O373:O374 O376:O377 O379:O380 O382:O383 O385:O386 O388:O389 O391:O392 O394:O395 O397:O398 O400:O401 O403:O404 O406:O407 O409:O410 O412:O413 O415:O416 O418:O419 O421:O422 O424:O425 O427:O428 O430:O431 O433:O434 O436:O437 O439:O440 O442:O443 O445:O446 O448:O449 O451:O452 O454:O455 O457:O458 O460:O461 O463:O464 O466:O467 O469:O470 O472:O473 O475:O476 O478:O479 O481:O482 O484:O485 O487:O488 O490:O491 O493:O494 O496:O497 O499:O500 O502:O503 O505:O506 O508:O509 O511:O512 O514:O515 O517:O518 O520:O521 O523:O524 O526:O527 O529:O530 O532:O533 O535:O536 O538:O539 O541:O542 O544:O545 O547:O548 O550:O551 O553:O554 O556:O557 O559:O560 O562:O563 O565:O566 O568:O569 O571:O572 O574:O575 O577:O578 O580:O581 O583:O584 O586:O587 O589:O590 O592:O593 O595:O596 O598:O599 O601:O602 O604:O605 O607:O608 O610:O611 O613:O614 O616:O617 O619:O620 O622:O623 O625:O626 O628:O629 O631:O632 O634:O635 O637:O638 O640:O641 O643:O644 O646:O647 O649:O650 O652:O653 O655:O656 O658:O659 O661:O662 O664:O665 Q98 Q100:Q101 Q103:Q104 Q106:Q107 Q109:Q110 Q112:Q113 Q115:Q116 Q118:Q119 Q121:Q122 Q124:Q125 Q127:Q128 Q130:Q131 Q133:Q134 Q136:Q137 Q139:Q140 Q142:Q143 Q145:Q146 Q148:Q149 Q151:Q152 Q154:Q155 Q157:Q158 Q160:Q161 Q163:Q164 Q166:Q167 Q169:Q170 Q172:Q173 Q175:Q176 Q178:Q179 Q181:Q182 Q184:Q185 Q187:Q188 Q190:Q191 Q193:Q194 Q196:Q197 Q199:Q200 Q202:Q203 Q205:Q206 Q208:Q209 Q211:Q212 Q214:Q215 Q217:Q218 Q220:Q221 Q223:Q224 Q226:Q227 Q229:Q230 Q232:Q233 Q235:Q236 Q238:Q239 Q241:Q242 Q244:Q245 Q247:Q248 Q250:Q251 Q253:Q254 Q256:Q257 Q259:Q260 Q262:Q263 Q265:Q266 Q268:Q269 Q271:Q272 Q274:Q275 Q277:Q278 Q280:Q281 Q283:Q284 Q286:Q287 Q289:Q290 Q292:Q293 Q295:Q296 Q298:Q299 Q301:Q302 Q304:Q305 Q307:Q308 Q310:Q311 Q313:Q314 Q316:Q317 Q319:Q320 Q322:Q323 Q325:Q326 Q328:Q329 Q331:Q332 Q334:Q335 Q337:Q338 Q340:Q341 Q343:Q344 Q346:Q347 Q349:Q350 Q352:Q353 Q355:Q356 Q358:Q359 Q361:Q362 Q364:Q365 Q367:Q368 Q370:Q371 Q373:Q374 Q376:Q377 Q379:Q380 Q382:Q383 Q385:Q386 Q388:Q389 Q391:Q392 Q394:Q395 Q397:Q398 Q400:Q401 Q403:Q404 Q406:Q407 Q409:Q410 Q412:Q413 Q415:Q416 Q418:Q419 Q421:Q422 Q424:Q425 Q427:Q428 Q430:Q431 Q433:Q434 Q436:Q437 Q439:Q440 Q442:Q443 Q445:Q446 Q448:Q449 Q451:Q452 Q454:Q455 Q457:Q458 Q460:Q461 Q463:Q464 Q466:Q467 Q469:Q470 Q472:Q473 Q475:Q476 Q478:Q479 Q481:Q482 Q484:Q485 Q487:Q488 Q490:Q491 Q493:Q494 Q496:Q497 Q499:Q500 Q502:Q503 Q505:Q506 Q508:Q509 Q511:Q512 Q514:Q515 Q517:Q518 Q520:Q521 Q523:Q524 Q526:Q527 Q529:Q530 Q532:Q533 Q535:Q536 Q538:Q539 Q541:Q542 Q544:Q545 Q547:Q548 Q550:Q551 Q553:Q554 Q556:Q557 Q559:Q560 Q562:Q563 Q565:Q566 Q568:Q569 Q571:Q572 Q574:Q575 Q577:Q578 Q580:Q581 Q583:Q584 Q586:Q587 Q589:Q590 Q592:Q593 Q595:Q596 Q598:Q599 Q601:Q602 Q604:Q605 Q607:Q608 Q610:Q611 Q613:Q614 Q616:Q617 Q619:Q620 Q622:Q623 Q625:Q626 Q628:Q629 Q631:Q632 Q634:Q635 Q637:Q638 Q640:Q641 Q643:Q644 Q646:Q647 Q649:Q650 Q652:Q653 Q655:Q656 Q658:Q659 Q661:Q662 Q664:Q665 S98 S100:S101 S103:S104 S106:S107 S109:S110 S112:S113 S115:S116 S118:S119 S121:S122 S124:S125 S127:S128 S130:S131 S133:S134 S136:S137 S139:S140 S142:S143 S145:S146 S148:S149 S151:S152 S154:S155 S157:S158 S160:S161 S163:S164 S166:S167 S169:S170 S172:S173 S175:S176 S178:S179 S181:S182 S184:S185 S187:S188 S190:S191 S193:S194 S196:S197 S199:S200 S202:S203 S205:S206 S208:S209 S211:S212 S214:S215 S217:S218 S220:S221 S223:S224 S226:S227 S229:S230 S232:S233 S235:S236 S238:S239 S241:S242 S244:S245 S247:S248 S250:S251 S253:S254 S256:S257 S259:S260 S262:S263 S265:S266 S268:S269 S271:S272 S274:S275 S277:S278 S280:S281 S283:S284 S286:S287 S289:S290 S292:S293 S295:S296 S298:S299 S301:S302 S304:S305 S307:S308 S310:S311 S313:S314 S316:S317 S319:S320 S322:S323 S325:S326 S328:S329 S331:S332 S334:S335 S337:S338 S340:S341 S343:S344 S346:S347 S349:S350 S352:S353 S355:S356 S358:S359 S361:S362 S364:S365 S367:S368 S370:S371 S373:S374 S376:S377 S379:S380 S382:S383 S385:S386 S388:S389 S391:S392 S394:S395 S397:S398 S400:S401 S403:S404 S406:S407 S409:S410 S412:S413 S415:S416 S418:S419 S421:S422 S424:S425 S427:S428 S430:S431 S433:S434 S436:S437 S439:S440 S442:S443 S445:S446 S448:S449 S451:S452 S454:S455 S457:S458 S460:S461 S463:S464 S466:S467 S469:S470 S472:S473 S475:S476 S478:S479 S481:S482 S484:S485 S487:S488 S490:S491 S493:S494 S496:S497 S499:S500 S502:S503 S505:S506 S508:S509 S511:S512 S514:S515 S517:S518 S520:S521 S523:S524 S526:S527 S529:S530 S532:S533 S535:S536 S538:S539 S541:S542 S544:S545 S547:S548 S550:S551 S553:S554 S556:S557 S559:S560 S562:S563 S565:S566 S568:S569 S571:S572 S574:S575 S577:S578 S580:S581 S583:S584 S586:S587 S589:S590 S592:S593 S595:S596 S598:S599 S601:S602 S604:S605 S607:S608 S610:S611 S613:S614 S616:S617 S619:S620 S622:S623 S625:S626 S628:S629 S631:S632 S634:S635 S637:S638 S640:S641 S643:S644 S646:S647 S649:S650 S652:S653 S655:S656 S658:S659 S661:S662 S664:S665 U98 U100:U101 U103:U104 U106:U107 U109:U110 U112:U113 U115:U116 U118:U119 U121:U122 U124:U125 U127:U128 U130:U131 U133:U134 U136:U137 U139:U140 U142:U143 U145:U146 U148:U149 U151:U152 U154:U155 U157:U158 U160:U161 U163:U164 U166:U167 U169:U170 U172:U173 U175:U176 U178:U179 U181:U182 U184:U185 U187:U188 U190:U191 U193:U194 U196:U197 U199:U200 U202:U203 U205:U206 U208:U209 U211:U212 U214:U215 U217:U218 U220:U221 U223:U224 U226:U227 U229:U230 U232:U233 U235:U236 U238:U239 U241:U242 U244:U245 U247:U248 U250:U251 U253:U254 U256:U257 U259:U260 U262:U263 U265:U266 U268:U269 U271:U272 U274:U275 U277:U278 U280:U281 U283:U284 U286:U287 U289:U290 U292:U293 U295:U296 U298:U299 U301:U302 U304:U305 U307:U308 U310:U311 U313:U314 U316:U317 U319:U320 U322:U323 U325:U326 U328:U329 U331:U332 U334:U335 U337:U338 U340:U341 U343:U344 U346:U347 U349:U350 U352:U353 U355:U356 U358:U359 U361:U362 U364:U365 U367:U368 U370:U371 U373:U374 U376:U377 U379:U380 U382:U383 U385:U386 U388:U389 U391:U392 U394:U395 U397:U398 U400:U401 U403:U404 U406:U407 U409:U410 U412:U413 U415:U416 U418:U419 U421:U422 U424:U425 U427:U428 U430:U431 U433:U434 U436:U437 U439:U440 U442:U443 U445:U446 U448:U449 U451:U452 U454:U455 U457:U458 U460:U461 U463:U464 U466:U467 U469:U470 U472:U473 U475:U476 U478:U479 U481:U482 U484:U485 U487:U488 U490:U491 U493:U494 U496:U497 U499:U500 U502:U503 U505:U506 U508:U509 U511:U512 U514:U515 U517:U518 U520:U521 U523:U524 U526:U527 U529:U530 U532:U533 U535:U536 U538:U539 U541:U542 U544:U545 U547:U548 U550:U551 U553:U554 U556:U557 U559:U560 U562:U563 U565:U566 U568:U569 U571:U572 U574:U575 U577:U578 U580:U581 U583:U584 U586:U587 U589:U590 U592:U593 U595:U596 U598:U599 U601:U602 U604:U605 U607:U608 U610:U611 U613:U614 U616:U617 U619:U620 U622:U623 U625:U626 U628:U629 U631:U632 U634:U635 U637:U638 U640:U641 U643:U644 U646:U647 U649:U650 U652:U653 U655:U656 U658:U659 U661:U662 U664:U665 W98 W100:W101 W103:W104 W106:W107 W109:W110 W112:W113 W115:W116 W118:W119 W121:W122 W124:W125 W127:W128 W130:W131 W133:W134 W136:W137 W139:W140 W142:W143 W145:W146 W148:W149 W151:W152 W154:W155 W157:W158 W160:W161 W163:W164 W166:W167 W169:W170 W172:W173 W175:W176 W178:W179 W181:W182 W184:W185 W187:W188 W190:W191 W193:W194 W196:W197 W199:W200 W202:W203 W205:W206 W208:W209 W211:W212 W214:W215 W217:W218 W220:W221 W223:W224 W226:W227 W229:W230 W232:W233 W235:W236 W238:W239 W241:W242 W244:W245 W247:W248 W250:W251 W253:W254 W256:W257 W259:W260 W262:W263 W265:W266 W268:W269 W271:W272 W274:W275 W277:W278 W280:W281 W283:W284 W286:W287 W289:W290 W292:W293 W295:W296 W298:W299 W301:W302 W304:W305 W307:W308 W310:W311 W313:W314 W316:W317 W319:W320 W322:W323 W325:W326 W328:W329 W331:W332 W334:W335 W337:W338 W340:W341 W343:W344 W346:W347 W349:W350 W352:W353 W355:W356 W358:W359 W361:W362 W364:W365 W367:W368 W370:W371 W373:W374 W376:W377 W379:W380 W382:W383 W385:W386 W388:W389 W391:W392 W394:W395 W397:W398 W400:W401 W403:W404 W406:W407 W409:W410 W412:W413 W415:W416 W418:W419 W421:W422 W424:W425 W427:W428 W430:W431 W433:W434 W436:W437 W439:W440 W442:W443 W445:W446 W448:W449 W451:W452 W454:W455 W457:W458 W460:W461 W463:W464 W466:W467 W469:W470 W472:W473 W475:W476 W478:W479 W481:W482 W484:W485 W487:W488 W490:W491 W493:W494 W496:W497 W499:W500 W502:W503 W505:W506 W508:W509 W511:W512 W514:W515 W517:W518 W520:W521 W523:W524 W526:W527 W529:W530 W532:W533 W535:W536 W538:W539 W541:W542 W544:W545 W547:W548 W550:W551 W553:W554 W556:W557 W559:W560 W562:W563 W565:W566 W568:W569 W571:W572 W574:W575 W577:W578 W580:W581 W583:W584 W586:W587 W589:W590 W592:W593 W595:W596 W598:W599 W601:W602 W604:W605 W607:W608 W610:W611 W613:W614 W616:W617 W619:W620 W622:W623 W625:W626 W628:W629 W631:W632 W634:W635 W637:W638 W640:W641 W643:W644 W646:W647 W649:W650 W652:W653 W655:W656 W658:W659 W661:W662 W664:W665 Y98 Y100:Y101 Y103:Y104 Y106:Y107 Y109:Y110 Y112:Y113 Y115:Y116 Y118:Y119 Y121:Y122 Y124:Y125 Y127:Y128 Y130:Y131 Y133:Y134 Y136:Y137 Y139:Y140 Y142:Y143 Y145:Y146 Y148:Y149 Y151:Y152 Y154:Y155 Y157:Y158 Y160:Y161 Y163:Y164 Y166:Y167 Y169:Y170 Y172:Y173 Y175:Y176 Y178:Y179 Y181:Y182 Y184:Y185 Y187:Y188 Y190:Y191 Y193:Y194 Y196:Y197 Y199:Y200 Y202:Y203 Y205:Y206 Y208:Y209 Y211:Y212 Y214:Y215 Y217:Y218 Y220:Y221 Y223:Y224 Y226:Y227 Y229:Y230 Y232:Y233 Y235:Y236 Y238:Y239 Y241:Y242 Y244:Y245 Y247:Y248 Y250:Y251 Y253:Y254 Y256:Y257 Y259:Y260 Y262:Y263 Y265:Y266 Y268:Y269 Y271:Y272 Y274:Y275 Y277:Y278 Y280:Y281 Y283:Y284 Y286:Y287 Y289:Y290 Y292:Y293 Y295:Y296 Y298:Y299 Y301:Y302 Y304:Y305 Y307:Y308 Y310:Y311 Y313:Y314 Y316:Y317 Y319:Y320 Y322:Y323 Y325:Y326 Y328:Y329 Y331:Y332 Y334:Y335 Y337:Y338 Y340:Y341 Y343:Y344 Y346:Y347 Y349:Y350 Y352:Y353 Y355:Y356 Y358:Y359 Y361:Y362 Y364:Y365 Y367:Y368 Y370:Y371 Y373:Y374 Y376:Y377 Y379:Y380 Y382:Y383 Y385:Y386 Y388:Y389 Y391:Y392 Y394:Y395 Y397:Y398 Y400:Y401 Y403:Y404 Y406:Y407 Y409:Y410 Y412:Y413 Y415:Y416 Y418:Y419 Y421:Y422 Y424:Y425 Y427:Y428 Y430:Y431 Y433:Y434 Y436:Y437 Y439:Y440 Y442:Y443 Y445:Y446 Y448:Y449 Y451:Y452 Y454:Y455 Y457:Y458 Y460:Y461 Y463:Y464 Y466:Y467 Y469:Y470 Y472:Y473 Y475:Y476 Y478:Y479 Y481:Y482 Y484:Y485 Y487:Y488 Y490:Y491 Y493:Y494 Y496:Y497 Y499:Y500 Y502:Y503 Y505:Y506 Y508:Y509 Y511:Y512 Y514:Y515 Y517:Y518 Y520:Y521 Y523:Y524 Y526:Y527 Y529:Y530 Y532:Y533 Y535:Y536 Y538:Y539 Y541:Y542 Y544:Y545 Y547:Y548 Y550:Y551 Y553:Y554 Y556:Y557 Y559:Y560 Y562:Y563 Y565:Y566 Y568:Y569 Y571:Y572 Y574:Y575 Y577:Y578 Y580:Y581 Y583:Y584 Y586:Y587 Y589:Y590 Y592:Y593 Y595:Y596 Y598:Y599 Y601:Y602 Y604:Y605 Y607:Y608 Y610:Y611 Y613:Y614 Y616:Y617 Y619:Y620 Y622:Y623 Y625:Y626 Y628:Y629 Y631:Y632 Y634:Y635 Y637:Y638 Y640:Y641 Y643:Y644 Y646:Y647 Y649:Y650 Y652:Y653 Y655:Y656 Y658:Y659 Y661:Y662 Y664:Y665 AA98 AA100:AA101 AA103:AA104 AA106:AA107 AA109:AA110 AA112:AA113 AA115:AA116 AA118:AA119 AA121:AA122 AA124:AA125 AA127:AA128 AA130:AA131 AA133:AA134 AA136:AA137 AA139:AA140 AA142:AA143 AA145:AA146 AA148:AA149 AA151:AA152 AA154:AA155 AA157:AA158 AA160:AA161 AA163:AA164 AA166:AA167 AA169:AA170 AA172:AA173 AA175:AA176 AA178:AA179 AA181:AA182 AA184:AA185 AA187:AA188 AA190:AA191 AA193:AA194 AA196:AA197 AA199:AA200 AA202:AA203 AA205:AA206 AA208:AA209 AA211:AA212 AA214:AA215 AA217:AA218 AA220:AA221 AA223:AA224 AA226:AA227 AA229:AA230 AA232:AA233 AA235:AA236 AA238:AA239 AA241:AA242 AA244:AA245 AA247:AA248 AA250:AA251 AA253:AA254 AA256:AA257 AA259:AA260 AA262:AA263 AA265:AA266 AA268:AA269 AA271:AA272 AA274:AA275 AA277:AA278 AA280:AA281 AA283:AA284 AA286:AA287 AA289:AA290 AA292:AA293 AA295:AA296 AA298:AA299 AA301:AA302 AA304:AA305 AA307:AA308 AA310:AA311 AA313:AA314 AA316:AA317 AA319:AA320 AA322:AA323 AA325:AA326 AA328:AA329 AA331:AA332 AA334:AA335 AA337:AA338 AA340:AA341 AA343:AA344 AA346:AA347 AA349:AA350 AA352:AA353 AA355:AA356 AA358:AA359 AA361:AA362 AA364:AA365 AA367:AA368 AA370:AA371 AA373:AA374 AA376:AA377 AA379:AA380 AA382:AA383 AA385:AA386 AA388:AA389 AA391:AA392 AA394:AA395 AA397:AA398 AA400:AA401 AA403:AA404 AA406:AA407 AA409:AA410 AA412:AA413 AA415:AA416 AA418:AA419 AA421:AA422 AA424:AA425 AA427:AA428 AA430:AA431 AA433:AA434 AA436:AA437 AA439:AA440 AA442:AA443 AA445:AA446 AA448:AA449 AA451:AA452 AA454:AA455 AA457:AA458 AA460:AA461 AA463:AA464 AA466:AA467 AA469:AA470 AA472:AA473 AA475:AA476 AA478:AA479 AA481:AA482 AA484:AA485 AA487:AA488 AA490:AA491 AA493:AA494 AA496:AA497 AA499:AA500 AA502:AA503 AA505:AA506 AA508:AA509 AA511:AA512 AA514:AA515 AA517:AA518 AA520:AA521 AA523:AA524 AA526:AA527 AA529:AA530 AA532:AA533 AA535:AA536 AA538:AA539 AA541:AA542 AA544:AA545 AA547:AA548 AA550:AA551 AA553:AA554 AA556:AA557 AA559:AA560 AA562:AA563 AA565:AA566 AA568:AA569 AA571:AA572 AA574:AA575 AA577:AA578 AA580:AA581 AA583:AA584 AA586:AA587 AA589:AA590 AA592:AA593 AA595:AA596 AA598:AA599 AA601:AA602 AA604:AA605 AA607:AA608 AA610:AA611 AA613:AA614 AA616:AA617 AA619:AA620 AA622:AA623 AA625:AA626 AA628:AA629 AA631:AA632 AA634:AA635 AA637:AA638 AA640:AA641 AA643:AA644 AA646:AA647 AA649:AA650 AA652:AA653 AA655:AA656 AA658:AA659 AA661:AA662 AA664:AA665 AC98 AC100:AC101 AC103:AC104 AC106:AC107 AC109:AC110 AC112:AC113 AC115:AC116 AC118:AC119 AC121:AC122 AC124:AC125 AC127:AC128 AC130:AC131 AC133:AC134 AC136:AC137 AC139:AC140 AC142:AC143 AC145:AC146 AC148:AC149 AC151:AC152 AC154:AC155 AC157:AC158 AC160:AC161 AC163:AC164 AC166:AC167 AC169:AC170 AC172:AC173 AC175:AC176 AC178:AC179 AC181:AC182 AC184:AC185 AC187:AC188 AC190:AC191 AC193:AC194 AC196:AC197 AC199:AC200 AC202:AC203 AC205:AC206 AC208:AC209 AC211:AC212 AC214:AC215 AC217:AC218 AC220:AC221 AC223:AC224 AC226:AC227 AC229:AC230 AC232:AC233 AC235:AC236 AC238:AC239 AC241:AC242 AC244:AC245 AC247:AC248 AC250:AC251 AC253:AC254 AC256:AC257 AC259:AC260 AC262:AC263 AC265:AC266 AC268:AC269 AC271:AC272 AC274:AC275 AC277:AC278 AC280:AC281 AC283:AC284 AC286:AC287 AC289:AC290 AC292:AC293 AC295:AC296 AC298:AC299 AC301:AC302 AC304:AC305 AC307:AC308 AC310:AC311 AC313:AC314 AC316:AC317 AC319:AC320 AC322:AC323 AC325:AC326 AC328:AC329 AC331:AC332 AC334:AC335 AC337:AC338 AC340:AC341 AC343:AC344 AC346:AC347 AC349:AC350 AC352:AC353 AC355:AC356 AC358:AC359 AC361:AC362 AC364:AC365 AC367:AC368 AC370:AC371 AC373:AC374 AC376:AC377 AC379:AC380 AC382:AC383 AC385:AC386 AC388:AC389 AC391:AC392 AC394:AC395 AC397:AC398 AC400:AC401 AC403:AC404 AC406:AC407 AC409:AC410 AC412:AC413 AC415:AC416 AC418:AC419 AC421:AC422 AC424:AC425 AC427:AC428 AC430:AC431 AC433:AC434 AC436:AC437 AC439:AC440 AC442:AC443 AC445:AC446 AC448:AC449 AC451:AC452 AC454:AC455 AC457:AC458 AC460:AC461 AC463:AC464 AC466:AC467 AC469:AC470 AC472:AC473 AC475:AC476 AC478:AC479 AC481:AC482 AC484:AC485 AC487:AC488 AC490:AC491 AC493:AC494 AC496:AC497 AC499:AC500 AC502:AC503 AC505:AC506 AC508:AC509 AC511:AC512 AC514:AC515 AC517:AC518 AC520:AC521 AC523:AC524 AC526:AC527 AC529:AC530 AC532:AC533 AC535:AC536 AC538:AC539 AC541:AC542 AC544:AC545 AC547:AC548 AC550:AC551 AC553:AC554 AC556:AC557 AC559:AC560 AC562:AC563 AC565:AC566 AC568:AC569 AC571:AC572 AC574:AC575 AC577:AC578 AC580:AC581 AC583:AC584 AC586:AC587 AC589:AC590 AC592:AC593 AC595:AC596 AC598:AC599 AC601:AC602 AC604:AC605 AC607:AC608 AC610:AC611 AC613:AC614 AC616:AC617 AC619:AC620 AC622:AC623 AC625:AC626 AC628:AC629 AC631:AC632 AC634:AC635 AC637:AC638 AC640:AC641 AC643:AC644 AC646:AC647 AC649:AC650 AC652:AC653 AC655:AC656 AC658:AC659 AC661:AC662 AC664:AC665 AE98 AE100:AE101 AE103:AE104 AE106:AE107 AE109:AE110 AE112:AE113 AE115:AE116 AE118:AE119 AE121:AE122 AE124:AE125 AE127:AE128 AE130:AE131 AE133:AE134 AE136:AE137 AE139:AE140 AE142:AE143 AE145:AE146 AE148:AE149 AE151:AE152 AE154:AE155 AE157:AE158 AE160:AE161 AE163:AE164 AE166:AE167 AE169:AE170 AE172:AE173 AE175:AE176 AE178:AE179 AE181:AE182 AE184:AE185 AE187:AE188 AE190:AE191 AE193:AE194 AE196:AE197 AE199:AE200 AE202:AE203 AE205:AE206 AE208:AE209 AE211:AE212 AE214:AE215 AE217:AE218 AE220:AE221 AE223:AE224 AE226:AE227 AE229:AE230 AE232:AE233 AE235:AE236 AE238:AE239 AE241:AE242 AE244:AE245 AE247:AE248 AE250:AE251 AE253:AE254 AE256:AE257 AE259:AE260 AE262:AE263 AE265:AE266 AE268:AE269 AE271:AE272 AE274:AE275 AE277:AE278 AE280:AE281 AE283:AE284 AE286:AE287 AE289:AE290 AE292:AE293 AE295:AE296 AE298:AE299 AE301:AE302 AE304:AE305 AE307:AE308 AE310:AE311 AE313:AE314 AE316:AE317 AE319:AE320 AE322:AE323 AE325:AE326 AE328:AE329 AE331:AE332 AE334:AE335 AE337:AE338 AE340:AE341 AE343:AE344 AE346:AE347 AE349:AE350 AE352:AE353 AE355:AE356 AE358:AE359 AE361:AE362 AE364:AE365 AE367:AE368 AE370:AE371 AE373:AE374 AE376:AE377 AE379:AE380 AE382:AE383 AE385:AE386 AE388:AE389 AE391:AE392 AE394:AE395 AE397:AE398 AE400:AE401 AE403:AE404 AE406:AE407 AE409:AE410 AE412:AE413 AE415:AE416 AE418:AE419 AE421:AE422 AE424:AE425 AE427:AE428 AE430:AE431 AE433:AE434 AE436:AE437 AE439:AE440 AE442:AE443 AE445:AE446 AE448:AE449 AE451:AE452 AE454:AE455 AE457:AE458 AE460:AE461 AE463:AE464 AE466:AE467 AE469:AE470 AE472:AE473 AE475:AE476 AE478:AE479 AE481:AE482 AE484:AE485 AE487:AE488 AE490:AE491 AE493:AE494 AE496:AE497 AE499:AE500 AE502:AE503 AE505:AE506 AE508:AE509 AE511:AE512 AE514:AE515 AE517:AE518 AE520:AE521 AE523:AE524 AE526:AE527 AE529:AE530 AE532:AE533 AE535:AE536 AE538:AE539 AE541:AE542 AE544:AE545 AE547:AE548 AE550:AE551 AE553:AE554 AE556:AE557 AE559:AE560 AE562:AE563 AE565:AE566 AE568:AE569 AE571:AE572 AE574:AE575 AE577:AE578 AE580:AE581 AE583:AE584 AE586:AE587 AE589:AE590 AE592:AE593 AE595:AE596 AE598:AE599 AE601:AE602 AE604:AE605 AE607:AE608 AE610:AE611 AE613:AE614 AE616:AE617 AE619:AE620 AE622:AE623 AE625:AE626 AE628:AE629 AE631:AE632 AE634:AE635 AE637:AE638 AE640:AE641 AE643:AE644 AE646:AE647 AE649:AE650 AE652:AE653 AE655:AE656 AE658:AE659 AE661:AE662 AE664:AE665 AG98 AG100:AG101 AG103:AG104 AG106:AG107 AG109:AG110 AG112:AG113 AG115:AG116 AG118:AG119 AG121:AG122 AG124:AG125 AG127:AG128 AG130:AG131 AG133:AG134 AG136:AG137 AG139:AG140 AG142:AG143 AG145:AG146 AG148:AG149 AG151:AG152 AG154:AG155 AG157:AG158 AG160:AG161 AG163:AG164 AG166:AG167 AG169:AG170 AG172:AG173 AG175:AG176 AG178:AG179 AG181:AG182 AG184:AG185 AG187:AG188 AG190:AG191 AG193:AG194 AG196:AG197 AG199:AG200 AG202:AG203 AG205:AG206 AG208:AG209 AG211:AG212 AG214:AG215 AG217:AG218 AG220:AG221 AG223:AG224 AG226:AG227 AG229:AG230 AG232:AG233 AG235:AG236 AG238:AG239 AG241:AG242 AG244:AG245 AG247:AG248 AG250:AG251 AG253:AG254 AG256:AG257 AG259:AG260 AG262:AG263 AG265:AG266 AG268:AG269 AG271:AG272 AG274:AG275 AG277:AG278 AG280:AG281 AG283:AG284 AG286:AG287 AG289:AG290 AG292:AG293 AG295:AG296 AG298:AG299 AG301:AG302 AG304:AG305 AG307:AG308 AG310:AG311 AG313:AG314 AG316:AG317 AG319:AG320 AG322:AG323 AG325:AG326 AG328:AG329 AG331:AG332 AG334:AG335 AG337:AG338 AG340:AG341 AG343:AG344 AG346:AG347 AG349:AG350 AG352:AG353 AG355:AG356 AG358:AG359 AG361:AG362 AG364:AG365 AG367:AG368 AG370:AG371 AG373:AG374 AG376:AG377 AG379:AG380 AG382:AG383 AG385:AG386 AG388:AG389 AG391:AG392 AG394:AG395 AG397:AG398 AG400:AG401 AG403:AG404 AG406:AG407 AG409:AG410 AG412:AG413 AG415:AG416 AG418:AG419 AG421:AG422 AG424:AG425 AG427:AG428 AG430:AG431 AG433:AG434 AG436:AG437 AG439:AG440 AG442:AG443 AG445:AG446 AG448:AG449 AG451:AG452 AG454:AG455 AG457:AG458 AG460:AG461 AG463:AG464 AG466:AG467 AG469:AG470 AG472:AG473 AG475:AG476 AG478:AG479 AG481:AG482 AG484:AG485 AG487:AG488 AG490:AG491 AG493:AG494 AG496:AG497 AG499:AG500 AG502:AG503 AG505:AG506 AG508:AG509 AG511:AG512 AG514:AG515 AG517:AG518 AG520:AG521 AG523:AG524 AG526:AG527 AG529:AG530 AG532:AG533 AG535:AG536 AG538:AG539 AG541:AG542 AG544:AG545 AG547:AG548 AG550:AG551 AG553:AG554 AG556:AG557 AG559:AG560 AG562:AG563 AG565:AG566 AG568:AG569 AG571:AG572 AG574:AG575 AG577:AG578 AG580:AG581 AG583:AG584 AG586:AG587 AG589:AG590 AG592:AG593 AG595:AG596 AG598:AG599 AG601:AG602 AG604:AG605 AG607:AG608 AG610:AG611 AG613:AG614 AG616:AG617 AG619:AG620 AG622:AG623 AG625:AG626 AG628:AG629 AG631:AG632 AG634:AG635 AG637:AG638 AG640:AG641 AG643:AG644 AG646:AG647 AG649:AG650 AG652:AG653 AG655:AG656 AG658:AG659 AG661:AG662 AG664:AG665 AI98 AI100:AI101 AI103:AI104 AI106:AI107 AI109:AI110 AI112:AI113 AI115:AI116 AI118:AI119 AI121:AI122 AI124:AI125 AI127:AI128 AI130:AI131 AI133:AI134 AI136:AI137 AI139:AI140 AI142:AI143 AI145:AI146 AI148:AI149 AI151:AI152 AI154:AI155 AI157:AI158 AI160:AI161 AI163:AI164 AI166:AI167 AI169:AI170 AI172:AI173 AI175:AI176 AI178:AI179 AI181:AI182 AI184:AI185 AI187:AI188 AI190:AI191 AI193:AI194 AI196:AI197 AI199:AI200 AI202:AI203 AI205:AI206 AI208:AI209 AI211:AI212 AI214:AI215 AI217:AI218 AI220:AI221 AI223:AI224 AI226:AI227 AI229:AI230 AI232:AI233 AI235:AI236 AI238:AI239 AI241:AI242 AI244:AI245 AI247:AI248 AI250:AI251 AI253:AI254 AI256:AI257 AI259:AI260 AI262:AI263 AI265:AI266 AI268:AI269 AI271:AI272 AI274:AI275 AI277:AI278 AI280:AI281 AI283:AI284 AI286:AI287 AI289:AI290 AI292:AI293 AI295:AI296 AI298:AI299 AI301:AI302 AI304:AI305 AI307:AI308 AI310:AI311 AI313:AI314 AI316:AI317 AI319:AI320 AI322:AI323 AI325:AI326 AI328:AI329 AI331:AI332 AI334:AI335 AI337:AI338 AI340:AI341 AI343:AI344 AI346:AI347 AI349:AI350 AI352:AI353 AI355:AI356 AI358:AI359 AI361:AI362 AI364:AI365 AI367:AI368 AI370:AI371 AI373:AI374 AI376:AI377 AI379:AI380 AI382:AI383 AI385:AI386 AI388:AI389 AI391:AI392 AI394:AI395 AI397:AI398 AI400:AI401 AI403:AI404 AI406:AI407 AI409:AI410 AI412:AI413 AI415:AI416 AI418:AI419 AI421:AI422 AI424:AI425 AI427:AI428 AI430:AI431 AI433:AI434 AI436:AI437 AI439:AI440 AI442:AI443 AI445:AI446 AI448:AI449 AI451:AI452 AI454:AI455 AI457:AI458 AI460:AI461 AI463:AI464 AI466:AI467 AI469:AI470 AI472:AI473 AI475:AI476 AI478:AI479 AI481:AI482 AI484:AI485 AI487:AI488 AI490:AI491 AI493:AI494 AI496:AI497 AI499:AI500 AI502:AI503 AI505:AI506 AI508:AI509 AI511:AI512 AI514:AI515 AI517:AI518 AI520:AI521 AI523:AI524 AI526:AI527 AI529:AI530 AI532:AI533 AI535:AI536 AI538:AI539 AI541:AI542 AI544:AI545 AI547:AI548 AI550:AI551 AI553:AI554 AI556:AI557 AI559:AI560 AI562:AI563 AI565:AI566 AI568:AI569 AI571:AI572 AI574:AI575 AI577:AI578 AI580:AI581 AI583:AI584 AI586:AI587 AI589:AI590 AI592:AI593 AI595:AI596 AI598:AI599 AI601:AI602 AI604:AI605 AI607:AI608 AI610:AI611 AI613:AI614 AI616:AI617 AI619:AI620 AI622:AI623 AI625:AI626 AI628:AI629 AI631:AI632 AI634:AI635 AI637:AI638 AI640:AI641 AI643:AI644 AI646:AI647 AI649:AI650 AI652:AI653 AI655:AI656 AI658:AI659 AI661:AI662 AI664:AI665 AK98 AK100:AK101 AK103:AK104 AK106:AK107 AK109:AK110 AK112:AK113 AK115:AK116 AK118:AK119 AK121:AK122 AK124:AK125 AK127:AK128 AK130:AK131 AK133:AK134 AK136:AK137 AK139:AK140 AK142:AK143 AK145:AK146 AK148:AK149 AK151:AK152 AK154:AK155 AK157:AK158 AK160:AK161 AK163:AK164 AK166:AK167 AK169:AK170 AK172:AK173 AK175:AK176 AK178:AK179 AK181:AK182 AK184:AK185 AK187:AK188 AK190:AK191 AK193:AK194 AK196:AK197 AK199:AK200 AK202:AK203 AK205:AK206 AK208:AK209 AK211:AK212 AK214:AK215 AK217:AK218 AK220:AK221 AK223:AK224 AK226:AK227 AK229:AK230 AK232:AK233 AK235:AK236 AK238:AK239 AK241:AK242 AK244:AK245 AK247:AK248 AK250:AK251 AK253:AK254 AK256:AK257 AK259:AK260 AK262:AK263 AK265:AK266 AK268:AK269 AK271:AK272 AK274:AK275 AK277:AK278 AK280:AK281 AK283:AK284 AK286:AK287 AK289:AK290 AK292:AK293 AK295:AK296 AK298:AK299 AK301:AK302 AK304:AK305 AK307:AK308 AK310:AK311 AK313:AK314 AK316:AK317 AK319:AK320 AK322:AK323 AK325:AK326 AK328:AK329 AK331:AK332 AK334:AK335 AK337:AK338 AK340:AK341 AK343:AK344 AK346:AK347 AK349:AK350 AK352:AK353 AK355:AK356 AK358:AK359 AK361:AK362 AK364:AK365 AK367:AK368 AK370:AK371 AK373:AK374 AK376:AK377 AK379:AK380 AK382:AK383 AK385:AK386 AK388:AK389 AK391:AK392 AK394:AK395 AK397:AK398 AK400:AK401 AK403:AK404 AK406:AK407 AK409:AK410 AK412:AK413 AK415:AK416 AK418:AK419 AK421:AK422 AK424:AK425 AK427:AK428 AK430:AK431 AK433:AK434 AK436:AK437 AK439:AK440 AK442:AK443 AK445:AK446 AK448:AK449 AK451:AK452 AK454:AK455 AK457:AK458 AK460:AK461 AK463:AK464 AK466:AK467 AK469:AK470 AK472:AK473 AK475:AK476 AK478:AK479 AK481:AK482 AK484:AK485 AK487:AK488 AK490:AK491 AK493:AK494 AK496:AK497 AK499:AK500 AK502:AK503 AK505:AK506 AK508:AK509 AK511:AK512 AK514:AK515 AK517:AK518 AK520:AK521 AK523:AK524 AK526:AK527 AK529:AK530 AK532:AK533 AK535:AK536 AK538:AK539 AK541:AK542 AK544:AK545 AK547:AK548 AK550:AK551 AK553:AK554 AK556:AK557 AK559:AK560 AK562:AK563 AK565:AK566 AK568:AK569 AK571:AK572 AK574:AK575 AK577:AK578 AK580:AK581 AK583:AK584 AK586:AK587 AK589:AK590 AK592:AK593 AK595:AK596 AK598:AK599 AK601:AK602 AK604:AK605 AK607:AK608 AK610:AK611 AK613:AK614 AK616:AK617 AK619:AK620 AK622:AK623 AK625:AK626 AK628:AK629 AK631:AK632 AK634:AK635 AK637:AK638 AK640:AK641 AK643:AK644 AK646:AK647 AK649:AK650 AK652:AK653 AK655:AK656 AK658:AK659 AK661:AK662 AK664:AK665 G34 I34 K34 M34 O34 Q34 S34 U34 W34 Y34 AA34 AC34 AE34 AG34 AI34 AK3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W3 W6 W9 W13 Y3 Y6 Y9 Y13 AA3 AA6 AA9 AA13 AC3 AC6 AC9 AC13 AE3 AE6 AE9 AE13 AG3 AG6 AG9 AG13 AI3 AI6 AI9 AI13 AK3 AK6 AK9 AK13 G39 I39 K39 M39 O39 Q39 S39 U39 W39 Y39 AA39 AC39 AE39 AG39 AI39 AK39 G42 I42 K42 M42 O42 Q42 S42 U42 W42 Y42 AA42 AC42 AE42 AG42 AI42 AK42 G45 I45 K45 M45 O45 Q45 S45 U45 W45 Y45 AA45 AC45 AE45 AG45 AI45 AK45 G48 I48 K48 M48 O48 Q48 S48 U48 W48 Y48 AA48 AC48 AE48 AG48 AI48 AK48 G51 I51 K51 M51 O51 Q51 S51 U51 W51 Y51 AA51 AC51 AE51 AG51 AI51 AK51 G54 I54 K54 M54 O54 Q54 S54 U54 W54 Y54 AA54 AC54 AE54 AG54 AI54 AK54 G57 I57 K57 M57 O57 Q57 S57 U57 W57 Y57 AA57 AC57 AE57 AG57 AI57 AK57 G60 I60 K60 M60 O60 Q60 S60 U60 W60 Y60 AA60 AC60 AE60 AG60 AI60 AK60 G63 I63 K63 M63 O63 Q63 S63 U63 W63 Y63 AA63 AC63 AE63 AG63 AI63 AK63 G66 I66 K66 M66 O66 Q66 S66 U66 W66 Y66 AA66 AC66 AE66 AG66 AI66 AK66 G69 I69 K69 M69 O69 Q69 S69 U69 W69 Y69 AA69 AC69 AE69 AG69 AI69 AK69 G72 I72 K72 M72 O72 Q72 S72 U72 W72 Y72 AA72 AC72 AE72 AG72 AI72 AK72 G75 I75 K75 M75 O75 Q75 S75 U75 W75 Y75 AA75 AC75 AE75 AG75 AI75 AK75 G78 I78 K78 M78 O78 Q78 S78 U78 W78 Y78 AA78 AC78 AE78 AG78 AI78 AK78 G81 I81 K81 M81 O81 Q81 S81 U81 W81 Y81 AA81 AC81 AE81 AG81 AI81 AK81 G84 I84 K84 M84 O84 Q84 S84 U84 W84 Y84 AA84 AC84 AE84 AG84 AI84 AK84 G87 I87 K87 M87 O87 Q87 S87 U87 W87 Y87 AA87 AC87 AE87 AG87 AI87 AK87 G90 I90 K90 M90 O90 Q90 S90 U90 W90 Y90 AA90 AC90 AE90 AG90 AI90 AK90 G93 I93 K93 M93 O93 Q93 S93 U93 W93 Y93 AA93 AC93 AE93 AG93 AI93 AK93 G96 I96 K96 M96 O96 Q96 S96 U96 W96 Y96 AA96 AC96 AE96 AG96 AI96 AK96 G33 I33 K33 M33 O33 Q33 S33 U33 W33 Y33 AA33 AC33 AE33 AG33 AI33 AK33 G99 I99 K99 M99 O99 Q99 S99 U99 W99 Y99 AA99 AC99 AE99 AG99 AI99 AK99 G102 I102 K102 M102 O102 Q102 S102 U102 W102 Y102 AA102 AC102 AE102 AG102 AI102 AK102 G105 I105 K105 M105 O105 Q105 S105 U105 W105 Y105 AA105 AC105 AE105 AG105 AI105 AK105 G108 I108 K108 M108 O108 Q108 S108 U108 W108 Y108 AA108 AC108 AE108 AG108 AI108 AK108 G111 I111 K111 M111 O111 Q111 S111 U111 W111 Y111 AA111 AC111 AE111 AG111 AI111 AK111 G114 I114 K114 M114 O114 Q114 S114 U114 W114 Y114 AA114 AC114 AE114 AG114 AI114 AK114 G117 I117 K117 M117 O117 Q117 S117 U117 W117 Y117 AA117 AC117 AE117 AG117 AI117 AK117 G120 I120 K120 M120 O120 Q120 S120 U120 W120 Y120 AA120 AC120 AE120 AG120 AI120 AK120 G123 I123 K123 M123 O123 Q123 S123 U123 W123 Y123 AA123 AC123 AE123 AG123 AI123 AK123 G126 I126 K126 M126 O126 Q126 S126 U126 W126 Y126 AA126 AC126 AE126 AG126 AI126 AK126 G129 I129 K129 M129 O129 Q129 S129 U129 W129 Y129 AA129 AC129 AE129 AG129 AI129 AK129 G132 I132 K132 M132 O132 Q132 S132 U132 W132 Y132 AA132 AC132 AE132 AG132 AI132 AK132 G135 I135 K135 M135 O135 Q135 S135 U135 W135 Y135 AA135 AC135 AE135 AG135 AI135 AK135 G138 I138 K138 M138 O138 Q138 S138 U138 W138 Y138 AA138 AC138 AE138 AG138 AI138 AK138 G141 I141 K141 M141 O141 Q141 S141 U141 W141 Y141 AA141 AC141 AE141 AG141 AI141 AK141 G144 I144 K144 M144 O144 Q144 S144 U144 W144 Y144 AA144 AC144 AE144 AG144 AI144 AK144 G147 I147 K147 M147 O147 Q147 S147 U147 W147 Y147 AA147 AC147 AE147 AG147 AI147 AK147 G150 I150 K150 M150 O150 Q150 S150 U150 W150 Y150 AA150 AC150 AE150 AG150 AI150 AK150 G153 I153 K153 M153 O153 Q153 S153 U153 W153 Y153 AA153 AC153 AE153 AG153 AI153 AK153 G156 I156 K156 M156 O156 Q156 S156 U156 W156 Y156 AA156 AC156 AE156 AG156 AI156 AK156 G159 I159 K159 M159 O159 Q159 S159 U159 W159 Y159 AA159 AC159 AE159 AG159 AI159 AK159 G162 I162 K162 M162 O162 Q162 S162 U162 W162 Y162 AA162 AC162 AE162 AG162 AI162 AK162 G165 I165 K165 M165 O165 Q165 S165 U165 W165 Y165 AA165 AC165 AE165 AG165 AI165 AK165 G168 I168 K168 M168 O168 Q168 S168 U168 W168 Y168 AA168 AC168 AE168 AG168 AI168 AK168 G171 I171 K171 M171 O171 Q171 S171 U171 W171 Y171 AA171 AC171 AE171 AG171 AI171 AK171 G174 I174 K174 M174 O174 Q174 S174 U174 W174 Y174 AA174 AC174 AE174 AG174 AI174 AK174 G177 I177 K177 M177 O177 Q177 S177 U177 W177 Y177 AA177 AC177 AE177 AG177 AI177 AK177 G180 I180 K180 M180 O180 Q180 S180 U180 W180 Y180 AA180 AC180 AE180 AG180 AI180 AK180 G183 I183 K183 M183 O183 Q183 S183 U183 W183 Y183 AA183 AC183 AE183 AG183 AI183 AK183 G186 I186 K186 M186 O186 Q186 S186 U186 W186 Y186 AA186 AC186 AE186 AG186 AI186 AK186 G189 I189 K189 M189 O189 Q189 S189 U189 W189 Y189 AA189 AC189 AE189 AG189 AI189 AK189 G192 I192 K192 M192 O192 Q192 S192 U192 W192 Y192 AA192 AC192 AE192 AG192 AI192 AK192 G195 I195 K195 M195 O195 Q195 S195 U195 W195 Y195 AA195 AC195 AE195 AG195 AI195 AK195 G198 I198 K198 M198 O198 Q198 S198 U198 W198 Y198 AA198 AC198 AE198 AG198 AI198 AK198 G201 I201 K201 M201 O201 Q201 S201 U201 W201 Y201 AA201 AC201 AE201 AG201 AI201 AK201 G204 I204 K204 M204 O204 Q204 S204 U204 W204 Y204 AA204 AC204 AE204 AG204 AI204 AK204 G207 I207 K207 M207 O207 Q207 S207 U207 W207 Y207 AA207 AC207 AE207 AG207 AI207 AK207 G210 I210 K210 M210 O210 Q210 S210 U210 W210 Y210 AA210 AC210 AE210 AG210 AI210 AK210 G213 I213 K213 M213 O213 Q213 S213 U213 W213 Y213 AA213 AC213 AE213 AG213 AI213 AK213 G216 I216 K216 M216 O216 Q216 S216 U216 W216 Y216 AA216 AC216 AE216 AG216 AI216 AK216 G219 I219 K219 M219 O219 Q219 S219 U219 W219 Y219 AA219 AC219 AE219 AG219 AI219 AK219 G222 I222 K222 M222 O222 Q222 S222 U222 W222 Y222 AA222 AC222 AE222 AG222 AI222 AK222 G225 I225 K225 M225 O225 Q225 S225 U225 W225 Y225 AA225 AC225 AE225 AG225 AI225 AK225 G228 I228 K228 M228 O228 Q228 S228 U228 W228 Y228 AA228 AC228 AE228 AG228 AI228 AK228 G231 I231 K231 M231 O231 Q231 S231 U231 W231 Y231 AA231 AC231 AE231 AG231 AI231 AK231 G234 I234 K234 M234 O234 Q234 S234 U234 W234 Y234 AA234 AC234 AE234 AG234 AI234 AK234 G237 I237 K237 M237 O237 Q237 S237 U237 W237 Y237 AA237 AC237 AE237 AG237 AI237 AK237 G240 I240 K240 M240 O240 Q240 S240 U240 W240 Y240 AA240 AC240 AE240 AG240 AI240 AK240 G243 I243 K243 M243 O243 Q243 S243 U243 W243 Y243 AA243 AC243 AE243 AG243 AI243 AK243 G246 I246 K246 M246 O246 Q246 S246 U246 W246 Y246 AA246 AC246 AE246 AG246 AI246 AK246 G249 I249 K249 M249 O249 Q249 S249 U249 W249 Y249 AA249 AC249 AE249 AG249 AI249 AK249 G252 I252 K252 M252 O252 Q252 S252 U252 W252 Y252 AA252 AC252 AE252 AG252 AI252 AK252 G255 I255 K255 M255 O255 Q255 S255 U255 W255 Y255 AA255 AC255 AE255 AG255 AI255 AK255 G258 I258 K258 M258 O258 Q258 S258 U258 W258 Y258 AA258 AC258 AE258 AG258 AI258 AK258 G261 I261 K261 M261 O261 Q261 S261 U261 W261 Y261 AA261 AC261 AE261 AG261 AI261 AK261 G264 I264 K264 M264 O264 Q264 S264 U264 W264 Y264 AA264 AC264 AE264 AG264 AI264 AK264 G267 I267 K267 M267 O267 Q267 S267 U267 W267 Y267 AA267 AC267 AE267 AG267 AI267 AK267 G270 I270 K270 M270 O270 Q270 S270 U270 W270 Y270 AA270 AC270 AE270 AG270 AI270 AK270 G273 I273 K273 M273 O273 Q273 S273 U273 W273 Y273 AA273 AC273 AE273 AG273 AI273 AK273 G276 I276 K276 M276 O276 Q276 S276 U276 W276 Y276 AA276 AC276 AE276 AG276 AI276 AK276 G279 I279 K279 M279 O279 Q279 S279 U279 W279 Y279 AA279 AC279 AE279 AG279 AI279 AK279 G282 I282 K282 M282 O282 Q282 S282 U282 W282 Y282 AA282 AC282 AE282 AG282 AI282 AK282 G285 I285 K285 M285 O285 Q285 S285 U285 W285 Y285 AA285 AC285 AE285 AG285 AI285 AK285 G288 I288 K288 M288 O288 Q288 S288 U288 W288 Y288 AA288 AC288 AE288 AG288 AI288 AK288 G291 I291 K291 M291 O291 Q291 S291 U291 W291 Y291 AA291 AC291 AE291 AG291 AI291 AK291 G294 I294 K294 M294 O294 Q294 S294 U294 W294 Y294 AA294 AC294 AE294 AG294 AI294 AK294 G297 I297 K297 M297 O297 Q297 S297 U297 W297 Y297 AA297 AC297 AE297 AG297 AI297 AK297 G300 I300 K300 M300 O300 Q300 S300 U300 W300 Y300 AA300 AC300 AE300 AG300 AI300 AK300 G303 I303 K303 M303 O303 Q303 S303 U303 W303 Y303 AA303 AC303 AE303 AG303 AI303 AK303 G306 I306 K306 M306 O306 Q306 S306 U306 W306 Y306 AA306 AC306 AE306 AG306 AI306 AK306 G309 I309 K309 M309 O309 Q309 S309 U309 W309 Y309 AA309 AC309 AE309 AG309 AI309 AK309 G312 I312 K312 M312 O312 Q312 S312 U312 W312 Y312 AA312 AC312 AE312 AG312 AI312 AK312 G315 I315 K315 M315 O315 Q315 S315 U315 W315 Y315 AA315 AC315 AE315 AG315 AI315 AK315 G318 I318 K318 M318 O318 Q318 S318 U318 W318 Y318 AA318 AC318 AE318 AG318 AI318 AK318 G321 I321 K321 M321 O321 Q321 S321 U321 W321 Y321 AA321 AC321 AE321 AG321 AI321 AK321 G324 I324 K324 M324 O324 Q324 S324 U324 W324 Y324 AA324 AC324 AE324 AG324 AI324 AK324 G327 I327 K327 M327 O327 Q327 S327 U327 W327 Y327 AA327 AC327 AE327 AG327 AI327 AK327 G330 I330 K330 M330 O330 Q330 S330 U330 W330 Y330 AA330 AC330 AE330 AG330 AI330 AK330 G333 I333 K333 M333 O333 Q333 S333 U333 W333 Y333 AA333 AC333 AE333 AG333 AI333 AK333 G336 I336 K336 M336 O336 Q336 S336 U336 W336 Y336 AA336 AC336 AE336 AG336 AI336 AK336 G339 I339 K339 M339 O339 Q339 S339 U339 W339 Y339 AA339 AC339 AE339 AG339 AI339 AK339 G342 I342 K342 M342 O342 Q342 S342 U342 W342 Y342 AA342 AC342 AE342 AG342 AI342 AK342 G345 I345 K345 M345 O345 Q345 S345 U345 W345 Y345 AA345 AC345 AE345 AG345 AI345 AK345 G348 I348 K348 M348 O348 Q348 S348 U348 W348 Y348 AA348 AC348 AE348 AG348 AI348 AK348 G351 I351 K351 M351 O351 Q351 S351 U351 W351 Y351 AA351 AC351 AE351 AG351 AI351 AK351 G354 I354 K354 M354 O354 Q354 S354 U354 W354 Y354 AA354 AC354 AE354 AG354 AI354 AK354 G357 I357 K357 M357 O357 Q357 S357 U357 W357 Y357 AA357 AC357 AE357 AG357 AI357 AK357 G360 I360 K360 M360 O360 Q360 S360 U360 W360 Y360 AA360 AC360 AE360 AG360 AI360 AK360 G363 I363 K363 M363 O363 Q363 S363 U363 W363 Y363 AA363 AC363 AE363 AG363 AI363 AK363 G366 I366 K366 M366 O366 Q366 S366 U366 W366 Y366 AA366 AC366 AE366 AG366 AI366 AK366 G369 I369 K369 M369 O369 Q369 S369 U369 W369 Y369 AA369 AC369 AE369 AG369 AI369 AK369 G372 I372 K372 M372 O372 Q372 S372 U372 W372 Y372 AA372 AC372 AE372 AG372 AI372 AK372 G375 I375 K375 M375 O375 Q375 S375 U375 W375 Y375 AA375 AC375 AE375 AG375 AI375 AK375 G378 I378 K378 M378 O378 Q378 S378 U378 W378 Y378 AA378 AC378 AE378 AG378 AI378 AK378 G381 I381 K381 M381 O381 Q381 S381 U381 W381 Y381 AA381 AC381 AE381 AG381 AI381 AK381 G384 I384 K384 M384 O384 Q384 S384 U384 W384 Y384 AA384 AC384 AE384 AG384 AI384 AK384 G387 I387 K387 M387 O387 Q387 S387 U387 W387 Y387 AA387 AC387 AE387 AG387 AI387 AK387 G390 I390 K390 M390 O390 Q390 S390 U390 W390 Y390 AA390 AC390 AE390 AG390 AI390 AK390 G393 I393 K393 M393 O393 Q393 S393 U393 W393 Y393 AA393 AC393 AE393 AG393 AI393 AK393 G396 I396 K396 M396 O396 Q396 S396 U396 W396 Y396 AA396 AC396 AE396 AG396 AI396 AK396 G399 I399 K399 M399 O399 Q399 S399 U399 W399 Y399 AA399 AC399 AE399 AG399 AI399 AK399 G402 I402 K402 M402 O402 Q402 S402 U402 W402 Y402 AA402 AC402 AE402 AG402 AI402 AK402 G405 I405 K405 M405 O405 Q405 S405 U405 W405 Y405 AA405 AC405 AE405 AG405 AI405 AK405 G408 I408 K408 M408 O408 Q408 S408 U408 W408 Y408 AA408 AC408 AE408 AG408 AI408 AK408 G411 I411 K411 M411 O411 Q411 S411 U411 W411 Y411 AA411 AC411 AE411 AG411 AI411 AK411 G414 I414 K414 M414 O414 Q414 S414 U414 W414 Y414 AA414 AC414 AE414 AG414 AI414 AK414 G417 I417 K417 M417 O417 Q417 S417 U417 W417 Y417 AA417 AC417 AE417 AG417 AI417 AK417 G420 I420 K420 M420 O420 Q420 S420 U420 W420 Y420 AA420 AC420 AE420 AG420 AI420 AK420 G423 I423 K423 M423 O423 Q423 S423 U423 W423 Y423 AA423 AC423 AE423 AG423 AI423 AK423 G426 I426 K426 M426 O426 Q426 S426 U426 W426 Y426 AA426 AC426 AE426 AG426 AI426 AK426 G429 I429 K429 M429 O429 Q429 S429 U429 W429 Y429 AA429 AC429 AE429 AG429 AI429 AK429 G432 I432 K432 M432 O432 Q432 S432 U432 W432 Y432 AA432 AC432 AE432 AG432 AI432 AK432 G435 I435 K435 M435 O435 Q435 S435 U435 W435 Y435 AA435 AC435 AE435 AG435 AI435 AK435 G438 I438 K438 M438 O438 Q438 S438 U438 W438 Y438 AA438 AC438 AE438 AG438 AI438 AK438 G441 I441 K441 M441 O441 Q441 S441 U441 W441 Y441 AA441 AC441 AE441 AG441 AI441 AK441 G444 I444 K444 M444 O444 Q444 S444 U444 W444 Y444 AA444 AC444 AE444 AG444 AI444 AK444 G447 I447 K447 M447 O447 Q447 S447 U447 W447 Y447 AA447 AC447 AE447 AG447 AI447 AK447 G450 I450 K450 M450 O450 Q450 S450 U450 W450 Y450 AA450 AC450 AE450 AG450 AI450 AK450 G453 I453 K453 M453 O453 Q453 S453 U453 W453 Y453 AA453 AC453 AE453 AG453 AI453 AK453 G456 I456 K456 M456 O456 Q456 S456 U456 W456 Y456 AA456 AC456 AE456 AG456 AI456 AK456 G459 I459 K459 M459 O459 Q459 S459 U459 W459 Y459 AA459 AC459 AE459 AG459 AI459 AK459 G462 I462 K462 M462 O462 Q462 S462 U462 W462 Y462 AA462 AC462 AE462 AG462 AI462 AK462 G465 I465 K465 M465 O465 Q465 S465 U465 W465 Y465 AA465 AC465 AE465 AG465 AI465 AK465 G468 I468 K468 M468 O468 Q468 S468 U468 W468 Y468 AA468 AC468 AE468 AG468 AI468 AK468 G471 I471 K471 M471 O471 Q471 S471 U471 W471 Y471 AA471 AC471 AE471 AG471 AI471 AK471 G474 I474 K474 M474 O474 Q474 S474 U474 W474 Y474 AA474 AC474 AE474 AG474 AI474 AK474 G477 I477 K477 M477 O477 Q477 S477 U477 W477 Y477 AA477 AC477 AE477 AG477 AI477 AK477 G480 I480 K480 M480 O480 Q480 S480 U480 W480 Y480 AA480 AC480 AE480 AG480 AI480 AK480 G483 I483 K483 M483 O483 Q483 S483 U483 W483 Y483 AA483 AC483 AE483 AG483 AI483 AK483 G486 I486 K486 M486 O486 Q486 S486 U486 W486 Y486 AA486 AC486 AE486 AG486 AI486 AK486 G489 I489 K489 M489 O489 Q489 S489 U489 W489 Y489 AA489 AC489 AE489 AG489 AI489 AK489 G492 I492 K492 M492 O492 Q492 S492 U492 W492 Y492 AA492 AC492 AE492 AG492 AI492 AK492 G495 I495 K495 M495 O495 Q495 S495 U495 W495 Y495 AA495 AC495 AE495 AG495 AI495 AK495 G498 I498 K498 M498 O498 Q498 S498 U498 W498 Y498 AA498 AC498 AE498 AG498 AI498 AK498 G501 I501 K501 M501 O501 Q501 S501 U501 W501 Y501 AA501 AC501 AE501 AG501 AI501 AK501 G504 I504 K504 M504 O504 Q504 S504 U504 W504 Y504 AA504 AC504 AE504 AG504 AI504 AK504 G507 I507 K507 M507 O507 Q507 S507 U507 W507 Y507 AA507 AC507 AE507 AG507 AI507 AK507 G510 I510 K510 M510 O510 Q510 S510 U510 W510 Y510 AA510 AC510 AE510 AG510 AI510 AK510 G513 I513 K513 M513 O513 Q513 S513 U513 W513 Y513 AA513 AC513 AE513 AG513 AI513 AK513 G516 I516 K516 M516 O516 Q516 S516 U516 W516 Y516 AA516 AC516 AE516 AG516 AI516 AK516 G519 I519 K519 M519 O519 Q519 S519 U519 W519 Y519 AA519 AC519 AE519 AG519 AI519 AK519 G522 I522 K522 M522 O522 Q522 S522 U522 W522 Y522 AA522 AC522 AE522 AG522 AI522 AK522 G525 I525 K525 M525 O525 Q525 S525 U525 W525 Y525 AA525 AC525 AE525 AG525 AI525 AK525 G528 I528 K528 M528 O528 Q528 S528 U528 W528 Y528 AA528 AC528 AE528 AG528 AI528 AK528 G531 I531 K531 M531 O531 Q531 S531 U531 W531 Y531 AA531 AC531 AE531 AG531 AI531 AK531 G534 I534 K534 M534 O534 Q534 S534 U534 W534 Y534 AA534 AC534 AE534 AG534 AI534 AK534 G537 I537 K537 M537 O537 Q537 S537 U537 W537 Y537 AA537 AC537 AE537 AG537 AI537 AK537 G540 I540 K540 M540 O540 Q540 S540 U540 W540 Y540 AA540 AC540 AE540 AG540 AI540 AK540 G543 I543 K543 M543 O543 Q543 S543 U543 W543 Y543 AA543 AC543 AE543 AG543 AI543 AK543 G546 I546 K546 M546 O546 Q546 S546 U546 W546 Y546 AA546 AC546 AE546 AG546 AI546 AK546 G549 I549 K549 M549 O549 Q549 S549 U549 W549 Y549 AA549 AC549 AE549 AG549 AI549 AK549 G552 I552 K552 M552 O552 Q552 S552 U552 W552 Y552 AA552 AC552 AE552 AG552 AI552 AK552 G555 I555 K555 M555 O555 Q555 S555 U555 W555 Y555 AA555 AC555 AE555 AG555 AI555 AK555 G558 I558 K558 M558 O558 Q558 S558 U558 W558 Y558 AA558 AC558 AE558 AG558 AI558 AK558 G561 I561 K561 M561 O561 Q561 S561 U561 W561 Y561 AA561 AC561 AE561 AG561 AI561 AK561 G564 I564 K564 M564 O564 Q564 S564 U564 W564 Y564 AA564 AC564 AE564 AG564 AI564 AK564 G567 I567 K567 M567 O567 Q567 S567 U567 W567 Y567 AA567 AC567 AE567 AG567 AI567 AK567 G570 I570 K570 M570 O570 Q570 S570 U570 W570 Y570 AA570 AC570 AE570 AG570 AI570 AK570 G573 I573 K573 M573 O573 Q573 S573 U573 W573 Y573 AA573 AC573 AE573 AG573 AI573 AK573 G576 I576 K576 M576 O576 Q576 S576 U576 W576 Y576 AA576 AC576 AE576 AG576 AI576 AK576 G579 I579 K579 M579 O579 Q579 S579 U579 W579 Y579 AA579 AC579 AE579 AG579 AI579 AK579 G582 I582 K582 M582 O582 Q582 S582 U582 W582 Y582 AA582 AC582 AE582 AG582 AI582 AK582 G585 I585 K585 M585 O585 Q585 S585 U585 W585 Y585 AA585 AC585 AE585 AG585 AI585 AK585 G588 I588 K588 M588 O588 Q588 S588 U588 W588 Y588 AA588 AC588 AE588 AG588 AI588 AK588 G591 I591 K591 M591 O591 Q591 S591 U591 W591 Y591 AA591 AC591 AE591 AG591 AI591 AK591 G594 I594 K594 M594 O594 Q594 S594 U594 W594 Y594 AA594 AC594 AE594 AG594 AI594 AK594 G597 I597 K597 M597 O597 Q597 S597 U597 W597 Y597 AA597 AC597 AE597 AG597 AI597 AK597 G600 I600 K600 M600 O600 Q600 S600 U600 W600 Y600 AA600 AC600 AE600 AG600 AI600 AK600 G603 I603 K603 M603 O603 Q603 S603 U603 W603 Y603 AA603 AC603 AE603 AG603 AI603 AK603 G606 I606 K606 M606 O606 Q606 S606 U606 W606 Y606 AA606 AC606 AE606 AG606 AI606 AK606 G609 I609 K609 M609 O609 Q609 S609 U609 W609 Y609 AA609 AC609 AE609 AG609 AI609 AK609 G612 I612 K612 M612 O612 Q612 S612 U612 W612 Y612 AA612 AC612 AE612 AG612 AI612 AK612 G615 I615 K615 M615 O615 Q615 S615 U615 W615 Y615 AA615 AC615 AE615 AG615 AI615 AK615 G618 I618 K618 M618 O618 Q618 S618 U618 W618 Y618 AA618 AC618 AE618 AG618 AI618 AK618 G621 I621 K621 M621 O621 Q621 S621 U621 W621 Y621 AA621 AC621 AE621 AG621 AI621 AK621 G624 I624 K624 M624 O624 Q624 S624 U624 W624 Y624 AA624 AC624 AE624 AG624 AI624 AK624 G627 I627 K627 M627 O627 Q627 S627 U627 W627 Y627 AA627 AC627 AE627 AG627 AI627 AK627 G630 I630 K630 M630 O630 Q630 S630 U630 W630 Y630 AA630 AC630 AE630 AG630 AI630 AK630 G633 I633 K633 M633 O633 Q633 S633 U633 W633 Y633 AA633 AC633 AE633 AG633 AI633 AK633 G636 I636 K636 M636 O636 Q636 S636 U636 W636 Y636 AA636 AC636 AE636 AG636 AI636 AK636 G639 I639 K639 M639 O639 Q639 S639 U639 W639 Y639 AA639 AC639 AE639 AG639 AI639 AK639 G642 I642 K642 M642 O642 Q642 S642 U642 W642 Y642 AA642 AC642 AE642 AG642 AI642 AK642 G645 I645 K645 M645 O645 Q645 S645 U645 W645 Y645 AA645 AC645 AE645 AG645 AI645 AK645 G648 I648 K648 M648 O648 Q648 S648 U648 W648 Y648 AA648 AC648 AE648 AG648 AI648 AK648 G651 I651 K651 M651 O651 Q651 S651 U651 W651 Y651 AA651 AC651 AE651 AG651 AI651 AK651 G654 I654 K654 M654 O654 Q654 S654 U654 W654 Y654 AA654 AC654 AE654 AG654 AI654 AK654 G657 I657 K657 M657 O657 Q657 S657 U657 W657 Y657 AA657 AC657 AE657 AG657 AI657 AK657 G660 I660 K660 M660 O660 Q660 S660 U660 W660 Y660 AA660 AC660 AE660 AG660 AI660 AK660 G663 I663 K663 M663 O663 Q663 S663 U663 W663 Y663 AA663 AC663 AE663 AG663 AI663 AK66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665DEB-1353-04B9-F2FC-0.C3564032}"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90" width="6.7109375" hidden="1" customWidth="1"/>
    <col min="4" max="4" style="1390" width="6.7109375" hidden="1" customWidth="1"/>
    <col min="5" max="5" style="1659" width="3.00390625" customWidth="1"/>
    <col min="6" max="6" style="1659" width="6.00390625" customWidth="1"/>
    <col min="7" max="7" style="1659" width="37.00390625" customWidth="1"/>
    <col min="8" max="8" style="1659" width="16.00390625" customWidth="1"/>
    <col min="9" max="10" style="1659" width="19.00390625" customWidth="1"/>
    <col min="11" max="11" style="1659" width="24.00390625" customWidth="1"/>
    <col min="12" max="13" style="1659" width="25.00390625" customWidth="1"/>
    <col min="14" max="16" style="1659" width="17.00390625" customWidth="1"/>
    <col min="17" max="24" style="1659" width="19.00390625" customWidth="1"/>
    <col min="25" max="25" style="1659" width="7.00390625" customWidth="1"/>
    <col min="26" max="26" style="1659" width="3.00390625" customWidth="1"/>
    <col min="27" max="27" style="1659" width="6.00390625" customWidth="1"/>
    <col min="28" max="28" style="1659" width="34.00390625" customWidth="1"/>
    <col min="29" max="30" style="1659" width="8.00390625" customWidth="1"/>
    <col min="31" max="31" style="1659" width="9.140625" hidden="1"/>
  </cols>
  <sheetData>
    <row s="1390" customFormat="1" customHeight="1" ht="10.5" hidden="1">
      <c r="A1" s="919"/>
      <c r="B1" s="919"/>
      <c r="C1" s="919"/>
      <c r="E1" s="561"/>
      <c r="H1" s="1184"/>
      <c r="AE1" s="441" t="s">
        <v>14</v>
      </c>
    </row>
    <row customHeight="1" ht="10.5" hidden="1">
      <c r="AE2" s="782">
        <v>0</v>
      </c>
    </row>
    <row s="1656" customFormat="1" customHeight="1" ht="10.5" hidden="1">
      <c r="A3" s="919"/>
      <c r="B3" s="919"/>
      <c r="C3" s="919"/>
      <c r="D3" s="441"/>
      <c r="E3" s="386"/>
      <c r="G3" s="1656" t="s">
        <v>1300</v>
      </c>
      <c r="H3" s="1180"/>
      <c r="AE3" s="783">
        <v>0</v>
      </c>
    </row>
    <row customHeight="1" ht="3">
      <c r="AE4" s="782">
        <v>3</v>
      </c>
    </row>
    <row customHeight="1" ht="27.299999999999997">
      <c r="F5" s="227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72"/>
      <c r="H5" s="2272"/>
      <c r="I5" s="2272"/>
      <c r="J5" s="2272"/>
      <c r="K5" s="2272"/>
      <c r="M5" s="606"/>
      <c r="AB5" s="930"/>
      <c r="AE5" s="782">
        <v>26</v>
      </c>
    </row>
    <row s="1659" customFormat="1" customHeight="1" ht="16.8">
      <c r="A6" s="1190"/>
      <c r="B6" s="1190"/>
      <c r="C6" s="1190"/>
      <c r="D6" s="1184"/>
      <c r="E6" s="1659"/>
      <c r="F6" s="2273" t="str">
        <f>IF(org=0,"Не определено",org)</f>
        <v>АО "ДГК"</v>
      </c>
      <c r="G6" s="2273"/>
      <c r="H6" s="2273"/>
      <c r="I6" s="2273"/>
      <c r="J6" s="2273"/>
      <c r="K6" s="2273"/>
      <c r="M6" s="606"/>
      <c r="AB6" s="1172"/>
      <c r="AE6" s="1655">
        <v>16</v>
      </c>
    </row>
    <row customHeight="1" ht="10.5">
      <c r="AE7" s="782">
        <v>10</v>
      </c>
    </row>
    <row customHeight="1" ht="10.5">
      <c r="A8" s="1075"/>
      <c r="B8" s="1075"/>
      <c r="C8" s="1075"/>
      <c r="F8" s="2125" t="s">
        <v>384</v>
      </c>
      <c r="G8" s="2126"/>
      <c r="H8" s="2126"/>
      <c r="I8" s="2126"/>
      <c r="J8" s="2126"/>
      <c r="K8" s="2126"/>
      <c r="L8" s="2126"/>
      <c r="M8" s="2126"/>
      <c r="N8" s="2126"/>
      <c r="O8" s="2126"/>
      <c r="P8" s="2126"/>
      <c r="Q8" s="2126"/>
      <c r="R8" s="2126"/>
      <c r="S8" s="2126"/>
      <c r="T8" s="2126"/>
      <c r="U8" s="2126"/>
      <c r="V8" s="2126"/>
      <c r="W8" s="2126"/>
      <c r="X8" s="2126"/>
      <c r="Y8" s="2126"/>
      <c r="Z8" s="2126"/>
      <c r="AA8" s="2126"/>
      <c r="AB8" s="2127"/>
      <c r="AE8" s="782">
        <v>10</v>
      </c>
    </row>
    <row customHeight="1" ht="43.050000000000004">
      <c r="A9" s="929"/>
      <c r="B9" s="929"/>
      <c r="C9" s="929"/>
      <c r="F9" s="2151" t="s">
        <v>88</v>
      </c>
      <c r="G9" s="2151" t="s">
        <v>1300</v>
      </c>
      <c r="H9" s="2199" t="s">
        <v>1301</v>
      </c>
      <c r="I9" s="2151" t="s">
        <v>1302</v>
      </c>
      <c r="J9" s="2151" t="s">
        <v>1303</v>
      </c>
      <c r="K9" s="2151" t="s">
        <v>1304</v>
      </c>
      <c r="L9" s="2151" t="s">
        <v>1305</v>
      </c>
      <c r="M9" s="2151" t="s">
        <v>1306</v>
      </c>
      <c r="N9" s="2233" t="s">
        <v>1307</v>
      </c>
      <c r="O9" s="2233"/>
      <c r="P9" s="2233"/>
      <c r="Q9" s="2423" t="s">
        <v>1308</v>
      </c>
      <c r="R9" s="2424"/>
      <c r="S9" s="2424"/>
      <c r="T9" s="2425"/>
      <c r="U9" s="2423" t="s">
        <v>1309</v>
      </c>
      <c r="V9" s="2424"/>
      <c r="W9" s="2424"/>
      <c r="X9" s="2425"/>
      <c r="Y9" s="2125" t="s">
        <v>1310</v>
      </c>
      <c r="Z9" s="2126"/>
      <c r="AA9" s="2126"/>
      <c r="AB9" s="2127"/>
      <c r="AE9" s="782">
        <v>41</v>
      </c>
    </row>
    <row customHeight="1" ht="43.050000000000004">
      <c r="A10" s="929"/>
      <c r="B10" s="929"/>
      <c r="C10" s="929"/>
      <c r="F10" s="2199"/>
      <c r="G10" s="2199"/>
      <c r="H10" s="2256"/>
      <c r="I10" s="2199"/>
      <c r="J10" s="2199"/>
      <c r="K10" s="2199"/>
      <c r="L10" s="2199"/>
      <c r="M10" s="2199"/>
      <c r="N10" s="927" t="s">
        <v>1311</v>
      </c>
      <c r="O10" s="927" t="s">
        <v>1312</v>
      </c>
      <c r="P10" s="928" t="s">
        <v>1313</v>
      </c>
      <c r="Q10" s="939" t="s">
        <v>89</v>
      </c>
      <c r="R10" s="939" t="s">
        <v>1314</v>
      </c>
      <c r="S10" s="939" t="s">
        <v>1315</v>
      </c>
      <c r="T10" s="940" t="s">
        <v>1316</v>
      </c>
      <c r="U10" s="939" t="s">
        <v>89</v>
      </c>
      <c r="V10" s="939" t="s">
        <v>1317</v>
      </c>
      <c r="W10" s="939" t="s">
        <v>1315</v>
      </c>
      <c r="X10" s="940" t="s">
        <v>1316</v>
      </c>
      <c r="Y10" s="325" t="s">
        <v>1318</v>
      </c>
      <c r="Z10" s="2125" t="s">
        <v>88</v>
      </c>
      <c r="AA10" s="2127"/>
      <c r="AB10" s="1073" t="s">
        <v>1319</v>
      </c>
      <c r="AE10" s="782">
        <v>41</v>
      </c>
    </row>
    <row s="1666" customFormat="1" customHeight="1" ht="5.25" hidden="1">
      <c r="A11" s="1076"/>
      <c r="B11" s="1076"/>
      <c r="C11" s="1076"/>
      <c r="E11" s="1074"/>
      <c r="F11" s="2430" t="s">
        <v>460</v>
      </c>
      <c r="G11" s="2427"/>
      <c r="H11" s="2426"/>
      <c r="I11" s="2426"/>
      <c r="J11" s="2426"/>
      <c r="K11" s="2428"/>
      <c r="L11" s="2428"/>
      <c r="M11" s="2428"/>
      <c r="N11" s="2426"/>
      <c r="O11" s="2426"/>
      <c r="P11" s="2151"/>
      <c r="Q11" s="2203"/>
      <c r="R11" s="2203"/>
      <c r="S11" s="2203"/>
      <c r="T11" s="2426"/>
      <c r="U11" s="2203"/>
      <c r="V11" s="2203"/>
      <c r="W11" s="2203"/>
      <c r="X11" s="2426"/>
      <c r="Y11" s="2132"/>
      <c r="Z11" s="2132"/>
      <c r="AA11" s="2132"/>
      <c r="AB11" s="2132"/>
      <c r="AD11" s="535" t="s">
        <v>1320</v>
      </c>
      <c r="AE11" s="535">
        <v>0</v>
      </c>
    </row>
    <row s="1666" customFormat="1" customHeight="1" ht="5.25" hidden="1">
      <c r="A12" s="920"/>
      <c r="B12" s="920"/>
      <c r="C12" s="920"/>
      <c r="E12" s="542"/>
      <c r="F12" s="2430"/>
      <c r="G12" s="2427"/>
      <c r="H12" s="2426"/>
      <c r="I12" s="2426"/>
      <c r="J12" s="2426"/>
      <c r="K12" s="2428"/>
      <c r="L12" s="2428"/>
      <c r="M12" s="2428"/>
      <c r="N12" s="2426"/>
      <c r="O12" s="2426"/>
      <c r="P12" s="2151"/>
      <c r="Q12" s="2203"/>
      <c r="R12" s="2203"/>
      <c r="S12" s="2203"/>
      <c r="T12" s="2426"/>
      <c r="U12" s="2203"/>
      <c r="V12" s="2203"/>
      <c r="W12" s="2203"/>
      <c r="X12" s="2426"/>
      <c r="Y12" s="2429"/>
      <c r="Z12" s="2429"/>
      <c r="AA12" s="2429"/>
      <c r="AB12" s="2429"/>
      <c r="AE12" s="535">
        <v>0</v>
      </c>
    </row>
    <row customHeight="1" ht="10.5">
      <c r="F13" s="926"/>
      <c r="G13" s="674" t="s">
        <v>1321</v>
      </c>
      <c r="H13" s="1192"/>
      <c r="I13" s="596"/>
      <c r="J13" s="596"/>
      <c r="K13" s="596"/>
      <c r="L13" s="596"/>
      <c r="M13" s="596"/>
      <c r="N13" s="596"/>
      <c r="O13" s="596"/>
      <c r="P13" s="596"/>
      <c r="Q13" s="596"/>
      <c r="R13" s="596"/>
      <c r="S13" s="596"/>
      <c r="T13" s="596"/>
      <c r="U13" s="596"/>
      <c r="V13" s="596"/>
      <c r="W13" s="596"/>
      <c r="X13" s="596"/>
      <c r="Y13" s="596"/>
      <c r="Z13" s="720"/>
      <c r="AA13" s="720"/>
      <c r="AB13" s="941"/>
      <c r="AE13" s="782">
        <v>10</v>
      </c>
    </row>
    <row customHeight="1" ht="10.5">
      <c r="AE14" s="782">
        <v>10</v>
      </c>
    </row>
    <row s="1666" customFormat="1" customHeight="1" ht="10.5">
      <c r="A15" s="1191"/>
      <c r="B15" s="1191"/>
      <c r="C15" s="1191"/>
      <c r="E15" s="542"/>
      <c r="H15" s="535">
        <f>_xlfn.IFERROR(MATCH("нет",IP_MAIN_DIFFERENTIATION_EVENTS_FLAG,0),0)</f>
        <v>0</v>
      </c>
      <c r="AE15" s="535">
        <v>10</v>
      </c>
    </row>
    <row customHeight="1" ht="10.5" hidden="1">
      <c r="A16" s="919" t="s">
        <v>82</v>
      </c>
      <c r="B16" s="919">
        <v>0</v>
      </c>
      <c r="C16" s="919">
        <v>0</v>
      </c>
      <c r="D16" s="441">
        <v>0</v>
      </c>
      <c r="E16" s="533">
        <v>3</v>
      </c>
      <c r="F16" s="782">
        <v>6</v>
      </c>
      <c r="G16" s="782">
        <v>37</v>
      </c>
      <c r="H16" s="1179">
        <v>16</v>
      </c>
      <c r="I16" s="782">
        <v>19</v>
      </c>
      <c r="J16" s="782">
        <v>19</v>
      </c>
      <c r="K16" s="782">
        <v>24</v>
      </c>
      <c r="L16" s="782">
        <v>25</v>
      </c>
      <c r="M16" s="782">
        <v>25</v>
      </c>
      <c r="N16" s="782">
        <v>17</v>
      </c>
      <c r="O16" s="782">
        <v>17</v>
      </c>
      <c r="P16" s="782">
        <v>17</v>
      </c>
      <c r="Q16" s="782">
        <v>19</v>
      </c>
      <c r="R16" s="782">
        <v>19</v>
      </c>
      <c r="S16" s="782">
        <v>19</v>
      </c>
      <c r="T16" s="782">
        <v>19</v>
      </c>
      <c r="U16" s="782">
        <v>19</v>
      </c>
      <c r="V16" s="782">
        <v>19</v>
      </c>
      <c r="W16" s="782">
        <v>19</v>
      </c>
      <c r="X16" s="782">
        <v>19</v>
      </c>
      <c r="Y16" s="782">
        <v>7</v>
      </c>
      <c r="Z16" s="782">
        <v>3</v>
      </c>
      <c r="AA16" s="782">
        <v>6</v>
      </c>
      <c r="AB16" s="782">
        <v>34</v>
      </c>
      <c r="AC16" s="782">
        <v>8</v>
      </c>
      <c r="AD16" s="782">
        <v>8</v>
      </c>
      <c r="AE16" s="782">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540709-0D28-0303-7F28-0.B6A579FF}"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90" width="4.140625" hidden="1" customWidth="1"/>
    <col min="4" max="4" style="1390" width="4.140625" hidden="1" customWidth="1"/>
    <col min="5" max="5" style="1659" width="3.00390625" customWidth="1"/>
    <col min="6" max="6" style="1659" width="14.00390625" customWidth="1"/>
    <col min="7" max="7" style="1659" width="3.00390625" customWidth="1"/>
    <col min="8" max="8" style="1659" width="7.00390625" customWidth="1"/>
    <col min="9" max="10" style="1659" width="16.00390625" customWidth="1"/>
    <col min="11" max="11" style="1659" width="25.00390625" customWidth="1"/>
    <col min="12" max="12" style="1659" width="7.00390625" customWidth="1"/>
    <col min="13" max="13" style="1659" width="15.00390625" customWidth="1"/>
    <col min="14" max="14" style="1659" width="3.00390625" customWidth="1"/>
    <col min="15" max="15" style="1659" width="4.00390625" customWidth="1"/>
    <col min="16" max="16" style="1659" width="8.00390625" customWidth="1"/>
    <col min="17" max="17" style="1659" width="21.00390625" customWidth="1"/>
    <col min="18" max="18" style="1659" width="14.00390625" customWidth="1"/>
    <col min="19" max="20" style="1659" width="17.00390625" customWidth="1"/>
    <col min="21" max="21" style="1659" width="9.00390625" customWidth="1"/>
    <col min="22" max="22" style="1659" width="12.00390625" customWidth="1"/>
    <col min="23" max="23" style="1659" width="9.00390625" customWidth="1"/>
    <col min="24" max="24" style="1659" width="21.00390625" customWidth="1"/>
    <col min="25" max="25" style="1659" width="12.00390625" customWidth="1"/>
    <col min="26" max="26" style="1659" width="3.00390625" customWidth="1"/>
    <col min="27" max="27" style="1659" width="6.00390625" customWidth="1"/>
    <col min="28" max="28" style="1659" width="38.00390625" customWidth="1"/>
    <col min="29" max="29" style="1659" width="15.00390625" customWidth="1"/>
    <col min="30" max="30" style="1659" width="37.57421875" hidden="1" customWidth="1"/>
    <col min="31" max="31" style="1659" width="15.7109375" hidden="1" customWidth="1"/>
    <col min="32" max="34" style="1659" width="16.00390625" customWidth="1"/>
    <col min="35" max="37" style="1659" width="16.7109375" hidden="1" customWidth="1"/>
    <col min="38" max="58" style="1659" width="8.00390625" customWidth="1"/>
    <col min="59" max="59" style="1659" width="9.140625" hidden="1"/>
  </cols>
  <sheetData>
    <row s="1390" customFormat="1" customHeight="1" ht="10.5" hidden="1">
      <c r="A1" s="919"/>
      <c r="B1" s="919"/>
      <c r="C1" s="919"/>
      <c r="E1" s="561"/>
      <c r="H1" s="1184"/>
      <c r="L1" s="1152"/>
      <c r="M1" s="1152"/>
      <c r="AD1" s="1152"/>
      <c r="AH1" s="1171"/>
      <c r="AI1" s="1164"/>
      <c r="BG1" s="441" t="s">
        <v>14</v>
      </c>
    </row>
    <row customHeight="1" ht="10.5" hidden="1">
      <c r="BG2" s="782">
        <v>0</v>
      </c>
    </row>
    <row s="1656" customFormat="1" customHeight="1" ht="10.5" hidden="1">
      <c r="A3" s="919"/>
      <c r="B3" s="919"/>
      <c r="C3" s="919"/>
      <c r="D3" s="441"/>
      <c r="E3" s="386"/>
      <c r="H3" s="1180"/>
      <c r="L3" s="1150"/>
      <c r="M3" s="1150"/>
      <c r="AD3" s="1150"/>
      <c r="AH3" s="1169"/>
      <c r="AI3" s="1162"/>
      <c r="BG3" s="783">
        <v>0</v>
      </c>
    </row>
    <row customHeight="1" ht="3">
      <c r="BG4" s="782">
        <v>3</v>
      </c>
    </row>
    <row customHeight="1" ht="27.299999999999997">
      <c r="F5" s="227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72"/>
      <c r="H5" s="2272"/>
      <c r="I5" s="2272"/>
      <c r="J5" s="2272"/>
      <c r="K5" s="2272"/>
      <c r="L5" s="1159"/>
      <c r="M5" s="1159"/>
      <c r="AG5" s="930"/>
      <c r="AH5" s="1172"/>
      <c r="BG5" s="782">
        <v>26</v>
      </c>
    </row>
    <row customHeight="1" ht="10.5">
      <c r="F6" s="2200" t="str">
        <f>IF(org=0,"Не определено",org)</f>
        <v>АО "ДГК"</v>
      </c>
      <c r="G6" s="2200"/>
      <c r="H6" s="2200"/>
      <c r="I6" s="2200"/>
      <c r="J6" s="2200"/>
      <c r="K6" s="2200"/>
      <c r="L6" s="1160"/>
      <c r="M6" s="1160"/>
      <c r="BG6" s="782">
        <v>10</v>
      </c>
    </row>
    <row customHeight="1" ht="11.549999999999999">
      <c r="E7" s="932"/>
      <c r="F7" s="943"/>
      <c r="G7" s="943"/>
      <c r="H7" s="1208"/>
      <c r="I7" s="943"/>
      <c r="J7" s="943"/>
      <c r="K7" s="945"/>
      <c r="L7" s="1157"/>
      <c r="M7" s="1157"/>
      <c r="N7" s="943"/>
      <c r="O7" s="943"/>
      <c r="P7" s="943"/>
      <c r="Q7" s="945"/>
      <c r="R7" s="943"/>
      <c r="S7" s="943"/>
      <c r="T7" s="943"/>
      <c r="U7" s="943"/>
      <c r="V7" s="943"/>
      <c r="W7" s="943"/>
      <c r="X7" s="943"/>
      <c r="Y7" s="943"/>
      <c r="Z7" s="943"/>
      <c r="AA7" s="943"/>
      <c r="AB7" s="943"/>
      <c r="AC7" s="944"/>
      <c r="AD7" s="1156"/>
      <c r="AE7" s="944"/>
      <c r="AF7" s="943"/>
      <c r="AG7" s="943"/>
      <c r="AH7" s="1174"/>
      <c r="AI7" s="1167"/>
      <c r="AJ7" s="943"/>
      <c r="AK7" s="943"/>
      <c r="AL7" s="934"/>
      <c r="AM7" s="934"/>
      <c r="AN7" s="934"/>
      <c r="AO7" s="931"/>
      <c r="AP7" s="931"/>
      <c r="AQ7" s="931"/>
      <c r="AR7" s="931"/>
      <c r="AS7" s="931"/>
      <c r="AT7" s="931"/>
      <c r="AU7" s="931"/>
      <c r="AV7" s="931"/>
      <c r="AW7" s="931"/>
      <c r="AX7" s="931"/>
      <c r="AY7" s="931"/>
      <c r="AZ7" s="931"/>
      <c r="BA7" s="931"/>
      <c r="BB7" s="931"/>
      <c r="BC7" s="931"/>
      <c r="BD7" s="931"/>
      <c r="BE7" s="931"/>
      <c r="BF7" s="931"/>
      <c r="BG7" s="782">
        <v>11</v>
      </c>
    </row>
    <row customHeight="1" ht="10.5">
      <c r="E8" s="932"/>
      <c r="F8" s="2439" t="s">
        <v>384</v>
      </c>
      <c r="G8" s="2440"/>
      <c r="H8" s="2440"/>
      <c r="I8" s="2440"/>
      <c r="J8" s="2440"/>
      <c r="K8" s="2440"/>
      <c r="L8" s="2440"/>
      <c r="M8" s="2440"/>
      <c r="N8" s="2440"/>
      <c r="O8" s="2440"/>
      <c r="P8" s="2440"/>
      <c r="Q8" s="2440"/>
      <c r="R8" s="2440"/>
      <c r="S8" s="2440"/>
      <c r="T8" s="2440"/>
      <c r="U8" s="2440"/>
      <c r="V8" s="2440"/>
      <c r="W8" s="2440"/>
      <c r="X8" s="2440"/>
      <c r="Y8" s="2440"/>
      <c r="Z8" s="2440"/>
      <c r="AA8" s="2440"/>
      <c r="AB8" s="2440"/>
      <c r="AC8" s="2440"/>
      <c r="AD8" s="2440"/>
      <c r="AE8" s="2440"/>
      <c r="AF8" s="2440"/>
      <c r="AG8" s="2440"/>
      <c r="AH8" s="2440"/>
      <c r="AI8" s="2440"/>
      <c r="AJ8" s="2440"/>
      <c r="AK8" s="2441"/>
      <c r="AL8" s="933"/>
      <c r="AM8" s="931"/>
      <c r="AN8" s="931"/>
      <c r="AO8" s="931"/>
      <c r="AP8" s="931"/>
      <c r="AQ8" s="931"/>
      <c r="AR8" s="931"/>
      <c r="AS8" s="931"/>
      <c r="AT8" s="931"/>
      <c r="AU8" s="931"/>
      <c r="AV8" s="931"/>
      <c r="AW8" s="931"/>
      <c r="AX8" s="931"/>
      <c r="AY8" s="931"/>
      <c r="AZ8" s="931"/>
      <c r="BA8" s="931"/>
      <c r="BB8" s="931"/>
      <c r="BC8" s="931"/>
      <c r="BD8" s="931"/>
      <c r="BE8" s="931"/>
      <c r="BF8" s="931"/>
      <c r="BG8" s="782">
        <v>10</v>
      </c>
    </row>
    <row customHeight="1" ht="24">
      <c r="A9" s="929"/>
      <c r="B9" s="929"/>
      <c r="C9" s="929"/>
      <c r="E9" s="932"/>
      <c r="F9" s="2432" t="s">
        <v>1322</v>
      </c>
      <c r="G9" s="2433" t="s">
        <v>1323</v>
      </c>
      <c r="H9" s="2434"/>
      <c r="I9" s="2151" t="s">
        <v>1324</v>
      </c>
      <c r="J9" s="2151"/>
      <c r="K9" s="2151" t="s">
        <v>1325</v>
      </c>
      <c r="L9" s="2151"/>
      <c r="M9" s="2151"/>
      <c r="N9" s="2151"/>
      <c r="O9" s="2151"/>
      <c r="P9" s="2151"/>
      <c r="Q9" s="2151"/>
      <c r="R9" s="2151"/>
      <c r="S9" s="2151"/>
      <c r="T9" s="2151"/>
      <c r="U9" s="2151"/>
      <c r="V9" s="2151"/>
      <c r="W9" s="2151"/>
      <c r="X9" s="2151"/>
      <c r="Y9" s="2151"/>
      <c r="Z9" s="2216" t="s">
        <v>1326</v>
      </c>
      <c r="AA9" s="2217"/>
      <c r="AB9" s="2151" t="s">
        <v>1327</v>
      </c>
      <c r="AC9" s="2151"/>
      <c r="AD9" s="2151"/>
      <c r="AE9" s="2151"/>
      <c r="AF9" s="2199" t="s">
        <v>1328</v>
      </c>
      <c r="AG9" s="2151" t="s">
        <v>1329</v>
      </c>
      <c r="AH9" s="2151"/>
      <c r="AI9" s="2199" t="s">
        <v>1330</v>
      </c>
      <c r="AJ9" s="2151" t="s">
        <v>1331</v>
      </c>
      <c r="AK9" s="2151"/>
      <c r="AL9" s="1166"/>
      <c r="AM9" s="931"/>
      <c r="AN9" s="931"/>
      <c r="AO9" s="931"/>
      <c r="AP9" s="931"/>
      <c r="AQ9" s="931"/>
      <c r="AR9" s="931"/>
      <c r="AS9" s="931"/>
      <c r="AT9" s="931"/>
      <c r="AU9" s="931"/>
      <c r="AV9" s="931"/>
      <c r="AW9" s="931"/>
      <c r="AX9" s="931"/>
      <c r="AY9" s="931"/>
      <c r="AZ9" s="931"/>
      <c r="BA9" s="931"/>
      <c r="BB9" s="931"/>
      <c r="BC9" s="931"/>
      <c r="BD9" s="931"/>
      <c r="BE9" s="931"/>
      <c r="BF9" s="931"/>
      <c r="BG9" s="782">
        <v>23</v>
      </c>
    </row>
    <row customHeight="1" ht="25.2">
      <c r="A10" s="929"/>
      <c r="B10" s="929"/>
      <c r="C10" s="929"/>
      <c r="E10" s="936"/>
      <c r="F10" s="2432"/>
      <c r="G10" s="2435"/>
      <c r="H10" s="2436"/>
      <c r="I10" s="2151"/>
      <c r="J10" s="2151"/>
      <c r="K10" s="2151" t="s">
        <v>1332</v>
      </c>
      <c r="L10" s="2125" t="s">
        <v>1333</v>
      </c>
      <c r="M10" s="2127"/>
      <c r="N10" s="2151" t="s">
        <v>1334</v>
      </c>
      <c r="O10" s="2151"/>
      <c r="P10" s="2151"/>
      <c r="Q10" s="2151"/>
      <c r="R10" s="2151"/>
      <c r="S10" s="2151"/>
      <c r="T10" s="2151"/>
      <c r="U10" s="2151"/>
      <c r="V10" s="2151"/>
      <c r="W10" s="2151"/>
      <c r="X10" s="2151"/>
      <c r="Y10" s="2151"/>
      <c r="Z10" s="2218"/>
      <c r="AA10" s="2219"/>
      <c r="AB10" s="2151"/>
      <c r="AC10" s="2151"/>
      <c r="AD10" s="2151"/>
      <c r="AE10" s="2151"/>
      <c r="AF10" s="2223"/>
      <c r="AG10" s="2151"/>
      <c r="AH10" s="2151"/>
      <c r="AI10" s="2223"/>
      <c r="AJ10" s="2151"/>
      <c r="AK10" s="2151"/>
      <c r="AL10" s="1166"/>
      <c r="AM10" s="937"/>
      <c r="AN10" s="937"/>
      <c r="AO10" s="937"/>
      <c r="AP10" s="937"/>
      <c r="AQ10" s="937"/>
      <c r="AR10" s="937"/>
      <c r="AS10" s="937"/>
      <c r="AT10" s="937"/>
      <c r="AU10" s="937"/>
      <c r="AV10" s="937"/>
      <c r="AW10" s="937"/>
      <c r="AX10" s="937"/>
      <c r="AY10" s="937"/>
      <c r="AZ10" s="937"/>
      <c r="BA10" s="937"/>
      <c r="BB10" s="937"/>
      <c r="BC10" s="937"/>
      <c r="BD10" s="937"/>
      <c r="BE10" s="937"/>
      <c r="BF10" s="937"/>
      <c r="BG10" s="782">
        <v>24</v>
      </c>
    </row>
    <row s="1659" customFormat="1" customHeight="1" ht="25.2">
      <c r="A11" s="1153"/>
      <c r="B11" s="1153"/>
      <c r="C11" s="1153"/>
      <c r="D11" s="1152"/>
      <c r="E11" s="1154"/>
      <c r="F11" s="2432"/>
      <c r="G11" s="2435"/>
      <c r="H11" s="2436"/>
      <c r="I11" s="2151"/>
      <c r="J11" s="2151"/>
      <c r="K11" s="2151"/>
      <c r="L11" s="2199" t="s">
        <v>1335</v>
      </c>
      <c r="M11" s="2199" t="s">
        <v>1336</v>
      </c>
      <c r="N11" s="2151" t="s">
        <v>1337</v>
      </c>
      <c r="O11" s="2151"/>
      <c r="P11" s="2442" t="s">
        <v>1318</v>
      </c>
      <c r="Q11" s="2442" t="s">
        <v>1338</v>
      </c>
      <c r="R11" s="2442" t="s">
        <v>1339</v>
      </c>
      <c r="S11" s="2442" t="s">
        <v>1340</v>
      </c>
      <c r="T11" s="2442"/>
      <c r="U11" s="2442"/>
      <c r="V11" s="2442"/>
      <c r="W11" s="2442"/>
      <c r="X11" s="2442"/>
      <c r="Y11" s="2442"/>
      <c r="Z11" s="2218"/>
      <c r="AA11" s="2219"/>
      <c r="AB11" s="2151" t="s">
        <v>1341</v>
      </c>
      <c r="AC11" s="2151"/>
      <c r="AD11" s="2125" t="s">
        <v>1342</v>
      </c>
      <c r="AE11" s="2127"/>
      <c r="AF11" s="2223"/>
      <c r="AG11" s="2151"/>
      <c r="AH11" s="2151"/>
      <c r="AI11" s="2223"/>
      <c r="AJ11" s="2151"/>
      <c r="AK11" s="2151"/>
      <c r="AL11" s="1166"/>
      <c r="AM11" s="1151"/>
      <c r="AN11" s="1151"/>
      <c r="AO11" s="1151"/>
      <c r="AP11" s="1151"/>
      <c r="AQ11" s="1151"/>
      <c r="AR11" s="1151"/>
      <c r="AS11" s="1151"/>
      <c r="AT11" s="1151"/>
      <c r="AU11" s="1151"/>
      <c r="AV11" s="1151"/>
      <c r="AW11" s="1151"/>
      <c r="AX11" s="1151"/>
      <c r="AY11" s="1151"/>
      <c r="AZ11" s="1151"/>
      <c r="BA11" s="1151"/>
      <c r="BB11" s="1151"/>
      <c r="BC11" s="1151"/>
      <c r="BD11" s="1151"/>
      <c r="BE11" s="1151"/>
      <c r="BF11" s="1151"/>
      <c r="BG11" s="1149">
        <v>24</v>
      </c>
    </row>
    <row customHeight="1" ht="35.699999999999996">
      <c r="A12" s="929"/>
      <c r="B12" s="929"/>
      <c r="C12" s="929"/>
      <c r="E12" s="932"/>
      <c r="F12" s="2432"/>
      <c r="G12" s="2437"/>
      <c r="H12" s="2438"/>
      <c r="I12" s="1177" t="s">
        <v>89</v>
      </c>
      <c r="J12" s="1177" t="s">
        <v>1343</v>
      </c>
      <c r="K12" s="2151"/>
      <c r="L12" s="2256"/>
      <c r="M12" s="2256"/>
      <c r="N12" s="2151"/>
      <c r="O12" s="2151"/>
      <c r="P12" s="2442"/>
      <c r="Q12" s="2442"/>
      <c r="R12" s="2442"/>
      <c r="S12" s="1158" t="s">
        <v>86</v>
      </c>
      <c r="T12" s="1158" t="s">
        <v>87</v>
      </c>
      <c r="U12" s="1158" t="s">
        <v>85</v>
      </c>
      <c r="V12" s="1158" t="s">
        <v>1344</v>
      </c>
      <c r="W12" s="1158" t="s">
        <v>85</v>
      </c>
      <c r="X12" s="1158" t="s">
        <v>1345</v>
      </c>
      <c r="Y12" s="1158" t="s">
        <v>1346</v>
      </c>
      <c r="Z12" s="2224"/>
      <c r="AA12" s="2225"/>
      <c r="AB12" s="1165" t="s">
        <v>1347</v>
      </c>
      <c r="AC12" s="1165" t="s">
        <v>1348</v>
      </c>
      <c r="AD12" s="1165" t="s">
        <v>1347</v>
      </c>
      <c r="AE12" s="1165" t="s">
        <v>1348</v>
      </c>
      <c r="AF12" s="2256"/>
      <c r="AG12" s="1178" t="s">
        <v>1349</v>
      </c>
      <c r="AH12" s="1178" t="s">
        <v>1350</v>
      </c>
      <c r="AI12" s="2256"/>
      <c r="AJ12" s="1178" t="s">
        <v>1349</v>
      </c>
      <c r="AK12" s="1178" t="s">
        <v>1350</v>
      </c>
      <c r="AL12" s="1166"/>
      <c r="AM12" s="931"/>
      <c r="AN12" s="931"/>
      <c r="AO12" s="931"/>
      <c r="AP12" s="931"/>
      <c r="AQ12" s="931"/>
      <c r="AR12" s="931"/>
      <c r="AS12" s="931"/>
      <c r="AT12" s="931"/>
      <c r="AU12" s="931"/>
      <c r="AV12" s="931"/>
      <c r="AW12" s="931"/>
      <c r="AX12" s="931"/>
      <c r="AY12" s="931"/>
      <c r="AZ12" s="931"/>
      <c r="BA12" s="931"/>
      <c r="BB12" s="931"/>
      <c r="BC12" s="931"/>
      <c r="BD12" s="931"/>
      <c r="BE12" s="931"/>
      <c r="BF12" s="931"/>
      <c r="BG12" s="782">
        <v>34</v>
      </c>
    </row>
    <row customHeight="1" ht="1.05">
      <c r="E13" s="932"/>
      <c r="F13" s="1148">
        <v>0</v>
      </c>
      <c r="G13" s="1148"/>
      <c r="H13" s="1148"/>
      <c r="I13" s="1148"/>
      <c r="J13" s="1148"/>
      <c r="K13" s="1155"/>
      <c r="L13" s="1155"/>
      <c r="M13" s="1155"/>
      <c r="N13" s="1155"/>
      <c r="O13" s="1155"/>
      <c r="P13" s="1155"/>
      <c r="Q13" s="1155"/>
      <c r="R13" s="1155"/>
      <c r="S13" s="1155"/>
      <c r="T13" s="1155"/>
      <c r="U13" s="1155"/>
      <c r="V13" s="1155"/>
      <c r="W13" s="1155"/>
      <c r="X13" s="1155"/>
      <c r="Y13" s="1155"/>
      <c r="Z13" s="1155"/>
      <c r="AA13" s="1155"/>
      <c r="AB13" s="1155"/>
      <c r="AC13" s="1155"/>
      <c r="AD13" s="1155"/>
      <c r="AE13" s="1155"/>
      <c r="AF13" s="1155"/>
      <c r="AG13" s="1155"/>
      <c r="AH13" s="1173"/>
      <c r="AI13" s="1166"/>
      <c r="AJ13" s="1155"/>
      <c r="AK13" s="1155"/>
      <c r="AL13" s="933"/>
      <c r="AM13" s="931"/>
      <c r="AN13" s="931"/>
      <c r="AO13" s="931"/>
      <c r="AP13" s="931"/>
      <c r="AQ13" s="931"/>
      <c r="AR13" s="931"/>
      <c r="AS13" s="931"/>
      <c r="AT13" s="931"/>
      <c r="AU13" s="931"/>
      <c r="AV13" s="931"/>
      <c r="AW13" s="931"/>
      <c r="AX13" s="931"/>
      <c r="AY13" s="931"/>
      <c r="AZ13" s="931"/>
      <c r="BA13" s="931"/>
      <c r="BB13" s="931"/>
      <c r="BC13" s="931"/>
      <c r="BD13" s="931"/>
      <c r="BE13" s="931"/>
      <c r="BF13" s="931"/>
      <c r="BG13" s="782">
        <v>1</v>
      </c>
    </row>
    <row customHeight="1" ht="10.5">
      <c r="E14" s="931"/>
      <c r="F14" s="942"/>
      <c r="G14" s="942"/>
      <c r="H14" s="1196"/>
      <c r="I14" s="942"/>
      <c r="J14" s="942"/>
      <c r="K14" s="942"/>
      <c r="L14" s="1155"/>
      <c r="M14" s="1155"/>
      <c r="N14" s="942"/>
      <c r="O14" s="942"/>
      <c r="P14" s="942"/>
      <c r="Q14" s="942"/>
      <c r="R14" s="942"/>
      <c r="S14" s="942"/>
      <c r="T14" s="942"/>
      <c r="U14" s="942"/>
      <c r="V14" s="942"/>
      <c r="W14" s="942"/>
      <c r="X14" s="942"/>
      <c r="Y14" s="942"/>
      <c r="Z14" s="942"/>
      <c r="AA14" s="942"/>
      <c r="AB14" s="942"/>
      <c r="AC14" s="942"/>
      <c r="AD14" s="1155"/>
      <c r="AE14" s="942"/>
      <c r="AF14" s="942"/>
      <c r="AG14" s="942"/>
      <c r="AH14" s="1173"/>
      <c r="AI14" s="1166"/>
      <c r="AJ14" s="942"/>
      <c r="AK14" s="942"/>
      <c r="AL14" s="931"/>
      <c r="AM14" s="931"/>
      <c r="AN14" s="931"/>
      <c r="AO14" s="931"/>
      <c r="AP14" s="931"/>
      <c r="AQ14" s="931"/>
      <c r="AR14" s="931"/>
      <c r="AS14" s="931"/>
      <c r="AT14" s="931"/>
      <c r="AU14" s="931"/>
      <c r="AV14" s="931"/>
      <c r="AW14" s="931"/>
      <c r="AX14" s="931"/>
      <c r="AY14" s="931"/>
      <c r="AZ14" s="931"/>
      <c r="BA14" s="931"/>
      <c r="BB14" s="931"/>
      <c r="BC14" s="931"/>
      <c r="BD14" s="931"/>
      <c r="BE14" s="931"/>
      <c r="BF14" s="931"/>
      <c r="BG14" s="782">
        <v>10</v>
      </c>
    </row>
    <row customHeight="1" ht="13.5">
      <c r="E15" s="931"/>
      <c r="F15" s="938" t="s">
        <v>1351</v>
      </c>
      <c r="G15" s="938"/>
      <c r="H15" s="1195"/>
      <c r="I15" s="938"/>
      <c r="J15" s="938"/>
      <c r="K15" s="935"/>
      <c r="L15" s="1151"/>
      <c r="M15" s="1151"/>
      <c r="N15" s="937"/>
      <c r="O15" s="937"/>
      <c r="P15" s="937"/>
      <c r="Q15" s="937"/>
      <c r="R15" s="937"/>
      <c r="S15" s="937"/>
      <c r="T15" s="937"/>
      <c r="U15" s="937"/>
      <c r="V15" s="937"/>
      <c r="W15" s="937"/>
      <c r="X15" s="937"/>
      <c r="Y15" s="937"/>
      <c r="Z15" s="935"/>
      <c r="AA15" s="935"/>
      <c r="AB15" s="935"/>
      <c r="AC15" s="935"/>
      <c r="AD15" s="1151"/>
      <c r="AE15" s="935"/>
      <c r="AF15" s="935"/>
      <c r="AG15" s="935"/>
      <c r="AH15" s="1170"/>
      <c r="AI15" s="1163"/>
      <c r="AJ15" s="935"/>
      <c r="AK15" s="935"/>
      <c r="AL15" s="931"/>
      <c r="AM15" s="931"/>
      <c r="AN15" s="931"/>
      <c r="AO15" s="931"/>
      <c r="AP15" s="931"/>
      <c r="AQ15" s="931"/>
      <c r="AR15" s="931"/>
      <c r="AS15" s="931"/>
      <c r="AT15" s="931"/>
      <c r="AU15" s="931"/>
      <c r="AV15" s="931"/>
      <c r="AW15" s="931"/>
      <c r="AX15" s="931"/>
      <c r="AY15" s="931"/>
      <c r="AZ15" s="931"/>
      <c r="BA15" s="931"/>
      <c r="BB15" s="931"/>
      <c r="BC15" s="931"/>
      <c r="BD15" s="931"/>
      <c r="BE15" s="931"/>
      <c r="BF15" s="931"/>
      <c r="BG15" s="782">
        <v>13</v>
      </c>
    </row>
    <row customHeight="1" ht="10.5">
      <c r="BG16" s="782">
        <v>10</v>
      </c>
    </row>
    <row customHeight="1" ht="10.5">
      <c r="E17" s="931"/>
      <c r="F17" s="2431"/>
      <c r="G17" s="2431"/>
      <c r="H17" s="2431"/>
      <c r="I17" s="2431"/>
      <c r="J17" s="2431"/>
      <c r="K17" s="935"/>
      <c r="L17" s="1151"/>
      <c r="M17" s="1151"/>
      <c r="N17" s="937"/>
      <c r="O17" s="937"/>
      <c r="P17" s="937"/>
      <c r="Q17" s="937"/>
      <c r="R17" s="937"/>
      <c r="S17" s="937"/>
      <c r="T17" s="937"/>
      <c r="U17" s="937"/>
      <c r="V17" s="937"/>
      <c r="W17" s="937"/>
      <c r="X17" s="937"/>
      <c r="Y17" s="937"/>
      <c r="Z17" s="935"/>
      <c r="AA17" s="935"/>
      <c r="AB17" s="935"/>
      <c r="AC17" s="935"/>
      <c r="AD17" s="1151"/>
      <c r="AE17" s="935"/>
      <c r="AF17" s="935"/>
      <c r="AG17" s="935"/>
      <c r="AH17" s="1170"/>
      <c r="AI17" s="1163"/>
      <c r="AJ17" s="935"/>
      <c r="AK17" s="935"/>
      <c r="AL17" s="931"/>
      <c r="AM17" s="931"/>
      <c r="AN17" s="931"/>
      <c r="AO17" s="931"/>
      <c r="AP17" s="931"/>
      <c r="AQ17" s="931"/>
      <c r="AR17" s="931"/>
      <c r="AS17" s="931"/>
      <c r="AT17" s="931"/>
      <c r="AU17" s="931"/>
      <c r="AV17" s="931"/>
      <c r="AW17" s="931"/>
      <c r="AX17" s="931"/>
      <c r="AY17" s="931"/>
      <c r="AZ17" s="931"/>
      <c r="BA17" s="931"/>
      <c r="BB17" s="931"/>
      <c r="BC17" s="931"/>
      <c r="BD17" s="931"/>
      <c r="BE17" s="931"/>
      <c r="BF17" s="931"/>
      <c r="BG17" s="782">
        <v>10</v>
      </c>
    </row>
    <row customHeight="1" ht="10.5">
      <c r="E18" s="931"/>
      <c r="F18" s="2431"/>
      <c r="G18" s="2431"/>
      <c r="H18" s="2431"/>
      <c r="I18" s="2431"/>
      <c r="J18" s="2431"/>
      <c r="K18" s="935"/>
      <c r="L18" s="1151"/>
      <c r="M18" s="1151"/>
      <c r="N18" s="937"/>
      <c r="O18" s="937"/>
      <c r="P18" s="937"/>
      <c r="Q18" s="937"/>
      <c r="R18" s="937"/>
      <c r="S18" s="937"/>
      <c r="T18" s="937"/>
      <c r="U18" s="937"/>
      <c r="V18" s="937"/>
      <c r="W18" s="937"/>
      <c r="X18" s="937"/>
      <c r="Y18" s="937"/>
      <c r="Z18" s="935"/>
      <c r="AA18" s="935"/>
      <c r="AB18" s="935"/>
      <c r="AC18" s="935"/>
      <c r="AD18" s="1151"/>
      <c r="AE18" s="935"/>
      <c r="AF18" s="935"/>
      <c r="AG18" s="935"/>
      <c r="AH18" s="1170"/>
      <c r="AI18" s="1163"/>
      <c r="AJ18" s="935"/>
      <c r="AK18" s="935"/>
      <c r="AL18" s="931"/>
      <c r="AM18" s="931"/>
      <c r="AN18" s="931"/>
      <c r="AO18" s="931"/>
      <c r="AP18" s="931"/>
      <c r="AQ18" s="931"/>
      <c r="AR18" s="931"/>
      <c r="AS18" s="931"/>
      <c r="AT18" s="931"/>
      <c r="AU18" s="931"/>
      <c r="AV18" s="931"/>
      <c r="AW18" s="931"/>
      <c r="AX18" s="931"/>
      <c r="AY18" s="931"/>
      <c r="AZ18" s="931"/>
      <c r="BA18" s="931"/>
      <c r="BB18" s="931"/>
      <c r="BC18" s="931"/>
      <c r="BD18" s="931"/>
      <c r="BE18" s="931"/>
      <c r="BF18" s="931"/>
      <c r="BG18" s="782">
        <v>10</v>
      </c>
    </row>
    <row customHeight="1" ht="10.5">
      <c r="E19" s="931"/>
      <c r="F19" s="2431"/>
      <c r="G19" s="2431"/>
      <c r="H19" s="2431"/>
      <c r="I19" s="2431"/>
      <c r="J19" s="2431"/>
      <c r="K19" s="935"/>
      <c r="L19" s="1151"/>
      <c r="M19" s="1151"/>
      <c r="N19" s="937"/>
      <c r="O19" s="937"/>
      <c r="P19" s="937"/>
      <c r="Q19" s="937"/>
      <c r="R19" s="937"/>
      <c r="S19" s="937"/>
      <c r="T19" s="937"/>
      <c r="U19" s="937"/>
      <c r="V19" s="937"/>
      <c r="W19" s="937"/>
      <c r="X19" s="937"/>
      <c r="Y19" s="937"/>
      <c r="Z19" s="935"/>
      <c r="AA19" s="935"/>
      <c r="AB19" s="935"/>
      <c r="AC19" s="935"/>
      <c r="AD19" s="1151"/>
      <c r="AE19" s="935"/>
      <c r="AF19" s="935"/>
      <c r="AG19" s="935"/>
      <c r="AH19" s="1170"/>
      <c r="AI19" s="1163"/>
      <c r="AJ19" s="935"/>
      <c r="AK19" s="935"/>
      <c r="AL19" s="931"/>
      <c r="AM19" s="931"/>
      <c r="AN19" s="931"/>
      <c r="AO19" s="931"/>
      <c r="AP19" s="931"/>
      <c r="AQ19" s="931"/>
      <c r="AR19" s="931"/>
      <c r="AS19" s="931"/>
      <c r="AT19" s="931"/>
      <c r="AU19" s="931"/>
      <c r="AV19" s="931"/>
      <c r="AW19" s="931"/>
      <c r="AX19" s="931"/>
      <c r="AY19" s="931"/>
      <c r="AZ19" s="931"/>
      <c r="BA19" s="931"/>
      <c r="BB19" s="931"/>
      <c r="BC19" s="931"/>
      <c r="BD19" s="931"/>
      <c r="BE19" s="931"/>
      <c r="BF19" s="931"/>
      <c r="BG19" s="782">
        <v>10</v>
      </c>
    </row>
    <row customHeight="1" ht="10.5" hidden="1">
      <c r="A20" s="919" t="s">
        <v>82</v>
      </c>
      <c r="B20" s="919">
        <v>0</v>
      </c>
      <c r="C20" s="919">
        <v>0</v>
      </c>
      <c r="D20" s="441">
        <v>0</v>
      </c>
      <c r="E20" s="533">
        <v>3</v>
      </c>
      <c r="F20" s="782">
        <v>14</v>
      </c>
      <c r="G20" s="782">
        <v>3</v>
      </c>
      <c r="H20" s="1179">
        <v>7</v>
      </c>
      <c r="I20" s="782">
        <v>16</v>
      </c>
      <c r="J20" s="782">
        <v>16</v>
      </c>
      <c r="K20" s="782">
        <v>25</v>
      </c>
      <c r="L20" s="1149">
        <v>7</v>
      </c>
      <c r="M20" s="1149">
        <v>15</v>
      </c>
      <c r="N20" s="782">
        <v>3</v>
      </c>
      <c r="O20" s="782">
        <v>4</v>
      </c>
      <c r="P20" s="782">
        <v>8</v>
      </c>
      <c r="Q20" s="782">
        <v>21</v>
      </c>
      <c r="R20" s="782">
        <v>14</v>
      </c>
      <c r="S20" s="782">
        <v>17</v>
      </c>
      <c r="T20" s="782">
        <v>17</v>
      </c>
      <c r="U20" s="782">
        <v>9</v>
      </c>
      <c r="V20" s="782">
        <v>12</v>
      </c>
      <c r="W20" s="782">
        <v>9</v>
      </c>
      <c r="X20" s="782">
        <v>21</v>
      </c>
      <c r="Y20" s="782">
        <v>12</v>
      </c>
      <c r="Z20" s="782">
        <v>3</v>
      </c>
      <c r="AA20" s="782">
        <v>6</v>
      </c>
      <c r="AB20" s="782">
        <v>38</v>
      </c>
      <c r="AC20" s="782">
        <v>15</v>
      </c>
      <c r="AD20" s="1149">
        <v>0</v>
      </c>
      <c r="AE20" s="782">
        <v>0</v>
      </c>
      <c r="AF20" s="782">
        <v>16</v>
      </c>
      <c r="AG20" s="782">
        <v>16</v>
      </c>
      <c r="AH20" s="1168">
        <v>16</v>
      </c>
      <c r="AI20" s="1161">
        <v>0</v>
      </c>
      <c r="AJ20" s="782">
        <v>0</v>
      </c>
      <c r="AK20" s="782">
        <v>0</v>
      </c>
      <c r="AL20" s="782">
        <v>8</v>
      </c>
      <c r="AM20" s="782">
        <v>8</v>
      </c>
      <c r="AN20" s="782">
        <v>8</v>
      </c>
      <c r="AO20" s="782">
        <v>8</v>
      </c>
      <c r="AP20" s="782">
        <v>8</v>
      </c>
      <c r="AQ20" s="782">
        <v>8</v>
      </c>
      <c r="AR20" s="782">
        <v>8</v>
      </c>
      <c r="AS20" s="782">
        <v>8</v>
      </c>
      <c r="AT20" s="782">
        <v>8</v>
      </c>
      <c r="AU20" s="782">
        <v>8</v>
      </c>
      <c r="AV20" s="782">
        <v>8</v>
      </c>
      <c r="AW20" s="782">
        <v>8</v>
      </c>
      <c r="AX20" s="782">
        <v>8</v>
      </c>
      <c r="AY20" s="782">
        <v>8</v>
      </c>
      <c r="AZ20" s="782">
        <v>8</v>
      </c>
      <c r="BA20" s="782">
        <v>8</v>
      </c>
      <c r="BB20" s="782">
        <v>8</v>
      </c>
      <c r="BC20" s="782">
        <v>8</v>
      </c>
      <c r="BD20" s="782">
        <v>8</v>
      </c>
      <c r="BE20" s="782">
        <v>8</v>
      </c>
      <c r="BF20" s="782">
        <v>8</v>
      </c>
      <c r="BG20" s="782">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61996D-6296-8F61-5C03-0.85ADA3A2}"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90" width="4.140625" hidden="1" customWidth="1"/>
    <col min="4" max="4" style="1390" width="4.140625" hidden="1" customWidth="1"/>
    <col min="5" max="5" style="1659" width="3.00390625" customWidth="1"/>
    <col min="6" max="6" style="1659" width="6.00390625" customWidth="1"/>
    <col min="7" max="7" style="1659" width="60.00390625" customWidth="1"/>
    <col min="8" max="9" style="1659" width="21.7109375" hidden="1" customWidth="1"/>
    <col min="10" max="10" style="1659" width="0.140625" customWidth="1"/>
    <col min="11" max="11" style="1659" width="1.00390625" customWidth="1"/>
    <col min="12" max="22" style="1659" width="8.00390625" customWidth="1"/>
    <col min="23" max="23" style="1659" width="9.140625" hidden="1"/>
  </cols>
  <sheetData>
    <row s="1390" customFormat="1" customHeight="1" ht="10.5" hidden="1">
      <c r="A1" s="1190"/>
      <c r="B1" s="1190"/>
      <c r="C1" s="1190"/>
      <c r="E1" s="561"/>
      <c r="W1" s="1184" t="s">
        <v>14</v>
      </c>
    </row>
    <row customHeight="1" ht="10.5" hidden="1">
      <c r="W2" s="1179">
        <v>0</v>
      </c>
    </row>
    <row s="1656" customFormat="1" customHeight="1" ht="10.5" hidden="1">
      <c r="A3" s="1190"/>
      <c r="B3" s="1190"/>
      <c r="C3" s="1190"/>
      <c r="D3" s="1184"/>
      <c r="E3" s="386"/>
      <c r="W3" s="1180">
        <v>0</v>
      </c>
    </row>
    <row customHeight="1" ht="3">
      <c r="W4" s="1179">
        <v>3</v>
      </c>
    </row>
    <row customHeight="1" ht="27.299999999999997">
      <c r="F5" s="227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72"/>
      <c r="H5" s="2272"/>
      <c r="I5" s="2272"/>
      <c r="J5" s="2272"/>
      <c r="W5" s="1179">
        <v>26</v>
      </c>
    </row>
    <row customHeight="1" ht="10.5">
      <c r="F6" s="2200" t="str">
        <f>IF(org=0,"Не определено",org)</f>
        <v>АО "ДГК"</v>
      </c>
      <c r="G6" s="2200"/>
      <c r="H6" s="2200"/>
      <c r="I6" s="2200"/>
      <c r="J6" s="2200"/>
      <c r="W6" s="1179">
        <v>10</v>
      </c>
    </row>
    <row customHeight="1" ht="11.549999999999999">
      <c r="E7" s="1194"/>
      <c r="F7" s="1251"/>
      <c r="G7" s="1251"/>
      <c r="H7" s="1251"/>
      <c r="I7" s="1251"/>
      <c r="J7" s="1251"/>
      <c r="K7" s="1181"/>
      <c r="L7" s="1181"/>
      <c r="M7" s="1181"/>
      <c r="N7" s="1181"/>
      <c r="O7" s="1181"/>
      <c r="P7" s="1181"/>
      <c r="Q7" s="1181"/>
      <c r="R7" s="1181"/>
      <c r="S7" s="1181"/>
      <c r="T7" s="1181"/>
      <c r="U7" s="1181"/>
      <c r="V7" s="1181"/>
      <c r="W7" s="1179">
        <v>11</v>
      </c>
    </row>
    <row s="1666" customFormat="1" customHeight="1" ht="4.2">
      <c r="A8" s="1191"/>
      <c r="B8" s="1191"/>
      <c r="C8" s="1191"/>
      <c r="E8" s="1252"/>
      <c r="F8" s="1253"/>
      <c r="G8" s="1253"/>
      <c r="H8" s="1253"/>
      <c r="I8" s="1253"/>
      <c r="J8" s="1253"/>
      <c r="K8" s="1252"/>
      <c r="L8" s="1252"/>
      <c r="M8" s="1252"/>
      <c r="N8" s="1252"/>
      <c r="O8" s="1252"/>
      <c r="P8" s="1252"/>
      <c r="Q8" s="1252"/>
      <c r="R8" s="1252"/>
      <c r="S8" s="1252"/>
      <c r="T8" s="1252"/>
      <c r="U8" s="1252"/>
      <c r="V8" s="1252"/>
      <c r="W8" s="535">
        <v>4</v>
      </c>
    </row>
    <row customHeight="1" ht="10.5">
      <c r="E9" s="1194"/>
      <c r="F9" s="2443" t="s">
        <v>384</v>
      </c>
      <c r="G9" s="2444"/>
      <c r="H9" s="2444"/>
      <c r="I9" s="2444"/>
      <c r="J9" s="2444"/>
      <c r="K9" s="1264"/>
      <c r="L9" s="1181"/>
      <c r="M9" s="1181"/>
      <c r="N9" s="1181"/>
      <c r="O9" s="1181"/>
      <c r="P9" s="1181"/>
      <c r="Q9" s="1181"/>
      <c r="R9" s="1181"/>
      <c r="S9" s="1181"/>
      <c r="T9" s="1181"/>
      <c r="U9" s="1181"/>
      <c r="V9" s="1181"/>
      <c r="W9" s="1179">
        <v>10</v>
      </c>
    </row>
    <row customHeight="1" ht="25.2">
      <c r="E10" s="1181"/>
      <c r="F10" s="2447" t="s">
        <v>88</v>
      </c>
      <c r="G10" s="2452" t="s">
        <v>1352</v>
      </c>
      <c r="H10" s="2450" t="s">
        <v>1353</v>
      </c>
      <c r="I10" s="2450"/>
      <c r="J10" s="2450"/>
      <c r="K10" s="1257"/>
      <c r="L10" s="1181"/>
      <c r="M10" s="1181"/>
      <c r="N10" s="1181"/>
      <c r="O10" s="1181"/>
      <c r="P10" s="1181"/>
      <c r="Q10" s="1181"/>
      <c r="R10" s="1181"/>
      <c r="S10" s="1181"/>
      <c r="T10" s="1181"/>
      <c r="U10" s="1181"/>
      <c r="V10" s="1181"/>
      <c r="W10" s="1179">
        <v>24</v>
      </c>
    </row>
    <row customHeight="1" ht="25.5">
      <c r="E11" s="1181"/>
      <c r="F11" s="2448"/>
      <c r="G11" s="2452"/>
      <c r="H11" s="2451">
        <f>INDEX(IP_MAIN_LIST_NAME_IP,MATCH(H8,IP_MAIN_LIST_IP_ID,0))&amp;" ("&amp;INDEX(IP_MAIN_START_DATE,MATCH(H8,IP_MAIN_LIST_IP_ID,0))&amp;"-"&amp;INDEX(IP_MAIN_END_DATE,MATCH(H8,IP_MAIN_LIST_IP_ID,0))&amp;")"</f>
      </c>
      <c r="I11" s="2451"/>
      <c r="J11" s="2451"/>
      <c r="K11" s="1257"/>
      <c r="L11" s="1181"/>
      <c r="M11" s="1181"/>
      <c r="N11" s="1181"/>
      <c r="O11" s="1181"/>
      <c r="P11" s="1181"/>
      <c r="Q11" s="1181"/>
      <c r="R11" s="1181"/>
      <c r="S11" s="1181"/>
      <c r="T11" s="1181"/>
      <c r="U11" s="1181"/>
      <c r="V11" s="1181"/>
      <c r="W11" s="1179">
        <v>24</v>
      </c>
    </row>
    <row customHeight="1" ht="10.5">
      <c r="F12" s="2449"/>
      <c r="G12" s="2452"/>
      <c r="H12" s="1250" t="s">
        <v>1354</v>
      </c>
      <c r="I12" s="1256"/>
      <c r="J12" s="1250"/>
      <c r="K12" s="1258"/>
      <c r="W12" s="1179">
        <v>10</v>
      </c>
    </row>
    <row customHeight="1" ht="10.5" hidden="1">
      <c r="F13" s="1250">
        <v>1</v>
      </c>
      <c r="G13" s="1250">
        <v>2</v>
      </c>
      <c r="H13" s="1250">
        <v>3</v>
      </c>
      <c r="I13" s="1250">
        <v>4</v>
      </c>
      <c r="J13" s="1250">
        <v>5</v>
      </c>
      <c r="K13" s="1258"/>
      <c r="W13" s="1179">
        <v>0</v>
      </c>
    </row>
    <row customHeight="1" ht="11.549999999999999">
      <c r="F14" s="1249" t="s">
        <v>1355</v>
      </c>
      <c r="G14" s="2445" t="s">
        <v>1356</v>
      </c>
      <c r="H14" s="2445"/>
      <c r="I14" s="2445"/>
      <c r="J14" s="2445"/>
      <c r="K14" s="1258"/>
      <c r="W14" s="1179">
        <v>11</v>
      </c>
    </row>
    <row customHeight="1" ht="11.549999999999999">
      <c r="F15" s="1254">
        <v>1</v>
      </c>
      <c r="G15" s="714" t="s">
        <v>1357</v>
      </c>
      <c r="H15" s="1260">
        <f>SUM(I15:J15)</f>
        <v>0</v>
      </c>
      <c r="I15" s="1260">
        <f>SUM(I16:I27)</f>
        <v>0</v>
      </c>
      <c r="J15" s="1249"/>
      <c r="K15" s="1258"/>
      <c r="W15" s="1179">
        <v>11</v>
      </c>
    </row>
    <row customHeight="1" ht="24">
      <c r="F16" s="1254" t="s">
        <v>1050</v>
      </c>
      <c r="G16" s="1261" t="s">
        <v>1358</v>
      </c>
      <c r="H16" s="1260">
        <f>SUM(I16:J16)</f>
        <v>0</v>
      </c>
      <c r="I16" s="1259"/>
      <c r="J16" s="1249"/>
      <c r="K16" s="1258"/>
      <c r="W16" s="1179">
        <v>23</v>
      </c>
    </row>
    <row customHeight="1" ht="24">
      <c r="F17" s="1254" t="s">
        <v>1359</v>
      </c>
      <c r="G17" s="1261" t="s">
        <v>1360</v>
      </c>
      <c r="H17" s="1260">
        <f>SUM(I17:J17)</f>
        <v>0</v>
      </c>
      <c r="I17" s="1259"/>
      <c r="J17" s="1249"/>
      <c r="K17" s="1258"/>
      <c r="W17" s="1179">
        <v>23</v>
      </c>
    </row>
    <row customHeight="1" ht="35.699999999999996">
      <c r="F18" s="1254" t="s">
        <v>1361</v>
      </c>
      <c r="G18" s="1261" t="s">
        <v>1362</v>
      </c>
      <c r="H18" s="1260">
        <f>SUM(I18:J18)</f>
        <v>0</v>
      </c>
      <c r="I18" s="1259"/>
      <c r="J18" s="1249"/>
      <c r="K18" s="1258"/>
      <c r="W18" s="1179">
        <v>34</v>
      </c>
    </row>
    <row customHeight="1" ht="35.699999999999996">
      <c r="F19" s="1254" t="s">
        <v>1363</v>
      </c>
      <c r="G19" s="1261" t="s">
        <v>1364</v>
      </c>
      <c r="H19" s="1260">
        <f>SUM(I19:J19)</f>
        <v>0</v>
      </c>
      <c r="I19" s="1259"/>
      <c r="J19" s="1249"/>
      <c r="K19" s="1258"/>
      <c r="W19" s="1179">
        <v>34</v>
      </c>
    </row>
    <row customHeight="1" ht="48.29999999999999">
      <c r="F20" s="1254" t="s">
        <v>1365</v>
      </c>
      <c r="G20" s="1261" t="s">
        <v>1366</v>
      </c>
      <c r="H20" s="1260">
        <f>SUM(I20:J20)</f>
        <v>0</v>
      </c>
      <c r="I20" s="1259"/>
      <c r="J20" s="1249"/>
      <c r="K20" s="1258"/>
      <c r="W20" s="1179">
        <v>46</v>
      </c>
    </row>
    <row customHeight="1" ht="35.699999999999996">
      <c r="F21" s="1254" t="s">
        <v>1367</v>
      </c>
      <c r="G21" s="1261" t="s">
        <v>1368</v>
      </c>
      <c r="H21" s="1260">
        <f>SUM(I21:J21)</f>
        <v>0</v>
      </c>
      <c r="I21" s="1259"/>
      <c r="J21" s="1249"/>
      <c r="K21" s="1258"/>
      <c r="W21" s="1179">
        <v>34</v>
      </c>
    </row>
    <row customHeight="1" ht="35.699999999999996">
      <c r="F22" s="1254" t="s">
        <v>1369</v>
      </c>
      <c r="G22" s="1261" t="s">
        <v>1370</v>
      </c>
      <c r="H22" s="1260">
        <f>SUM(I22:J22)</f>
        <v>0</v>
      </c>
      <c r="I22" s="1259"/>
      <c r="J22" s="1249"/>
      <c r="K22" s="1258"/>
      <c r="W22" s="1179">
        <v>34</v>
      </c>
    </row>
    <row customHeight="1" ht="24">
      <c r="F23" s="1254" t="s">
        <v>1371</v>
      </c>
      <c r="G23" s="1261" t="s">
        <v>1372</v>
      </c>
      <c r="H23" s="1260">
        <f>SUM(I23:J23)</f>
        <v>0</v>
      </c>
      <c r="I23" s="1259"/>
      <c r="J23" s="1249"/>
      <c r="K23" s="1258"/>
      <c r="W23" s="1179">
        <v>23</v>
      </c>
    </row>
    <row customHeight="1" ht="24">
      <c r="F24" s="1254" t="s">
        <v>1373</v>
      </c>
      <c r="G24" s="1261" t="s">
        <v>1374</v>
      </c>
      <c r="H24" s="1260">
        <f>SUM(I24:J24)</f>
        <v>0</v>
      </c>
      <c r="I24" s="1259"/>
      <c r="J24" s="1249"/>
      <c r="K24" s="1258"/>
      <c r="W24" s="1179">
        <v>23</v>
      </c>
    </row>
    <row customHeight="1" ht="35.699999999999996">
      <c r="F25" s="1254" t="s">
        <v>1375</v>
      </c>
      <c r="G25" s="1261" t="s">
        <v>1376</v>
      </c>
      <c r="H25" s="1260">
        <f>SUM(I25:J25)</f>
        <v>0</v>
      </c>
      <c r="I25" s="1259"/>
      <c r="J25" s="1249"/>
      <c r="K25" s="1258"/>
      <c r="W25" s="1179">
        <v>34</v>
      </c>
    </row>
    <row customHeight="1" ht="35.699999999999996">
      <c r="F26" s="1254" t="s">
        <v>1377</v>
      </c>
      <c r="G26" s="1261" t="s">
        <v>1378</v>
      </c>
      <c r="H26" s="1260">
        <f>SUM(I26:J26)</f>
        <v>0</v>
      </c>
      <c r="I26" s="1259"/>
      <c r="J26" s="1249"/>
      <c r="K26" s="1258"/>
      <c r="W26" s="1179">
        <v>34</v>
      </c>
    </row>
    <row customHeight="1" ht="11.549999999999999">
      <c r="F27" s="1254" t="s">
        <v>1379</v>
      </c>
      <c r="G27" s="1261" t="s">
        <v>1380</v>
      </c>
      <c r="H27" s="1260">
        <f>SUM(I27:J27)</f>
        <v>0</v>
      </c>
      <c r="I27" s="1259"/>
      <c r="J27" s="1249"/>
      <c r="K27" s="1258"/>
      <c r="W27" s="1179">
        <v>11</v>
      </c>
    </row>
    <row customHeight="1" ht="11.549999999999999">
      <c r="F28" s="1254">
        <v>2</v>
      </c>
      <c r="G28" s="714" t="s">
        <v>1381</v>
      </c>
      <c r="H28" s="1260">
        <f>SUM(I28:J28)</f>
        <v>0</v>
      </c>
      <c r="I28" s="1260">
        <f>SUM(I29:I31)</f>
        <v>0</v>
      </c>
      <c r="J28" s="1249"/>
      <c r="K28" s="1258"/>
      <c r="W28" s="1179">
        <v>11</v>
      </c>
    </row>
    <row customHeight="1" ht="11.549999999999999">
      <c r="F29" s="1254" t="s">
        <v>806</v>
      </c>
      <c r="G29" s="1261" t="s">
        <v>1382</v>
      </c>
      <c r="H29" s="1260">
        <f>SUM(I29:J29)</f>
        <v>0</v>
      </c>
      <c r="I29" s="1259"/>
      <c r="J29" s="1249"/>
      <c r="K29" s="1258"/>
      <c r="W29" s="1179">
        <v>11</v>
      </c>
    </row>
    <row customHeight="1" ht="11.549999999999999">
      <c r="F30" s="1254" t="s">
        <v>391</v>
      </c>
      <c r="G30" s="1261" t="s">
        <v>1383</v>
      </c>
      <c r="H30" s="1260">
        <f>SUM(I30:J30)</f>
        <v>0</v>
      </c>
      <c r="I30" s="1259"/>
      <c r="J30" s="1249"/>
      <c r="K30" s="1258"/>
      <c r="W30" s="1179">
        <v>11</v>
      </c>
    </row>
    <row customHeight="1" ht="11.549999999999999">
      <c r="F31" s="1254" t="s">
        <v>394</v>
      </c>
      <c r="G31" s="1261" t="s">
        <v>1384</v>
      </c>
      <c r="H31" s="1260">
        <f>SUM(I31:J31)</f>
        <v>0</v>
      </c>
      <c r="I31" s="1259"/>
      <c r="J31" s="1249"/>
      <c r="K31" s="1258"/>
      <c r="W31" s="1179">
        <v>11</v>
      </c>
    </row>
    <row customHeight="1" ht="11.549999999999999">
      <c r="F32" s="1254">
        <v>3</v>
      </c>
      <c r="G32" s="714" t="s">
        <v>1385</v>
      </c>
      <c r="H32" s="1260">
        <f>SUM(I32:J32)</f>
        <v>0</v>
      </c>
      <c r="I32" s="1260">
        <f>SUM(I33:I34)</f>
        <v>0</v>
      </c>
      <c r="J32" s="1249"/>
      <c r="K32" s="1258"/>
      <c r="W32" s="1179">
        <v>11</v>
      </c>
    </row>
    <row customHeight="1" ht="48.29999999999999">
      <c r="F33" s="1254" t="s">
        <v>408</v>
      </c>
      <c r="G33" s="1261" t="s">
        <v>1386</v>
      </c>
      <c r="H33" s="1260">
        <f>SUM(I33:J33)</f>
        <v>0</v>
      </c>
      <c r="I33" s="1259"/>
      <c r="J33" s="1249"/>
      <c r="K33" s="1258"/>
      <c r="W33" s="1179">
        <v>46</v>
      </c>
    </row>
    <row customHeight="1" ht="11.549999999999999">
      <c r="F34" s="1254" t="s">
        <v>416</v>
      </c>
      <c r="G34" s="1261" t="s">
        <v>1387</v>
      </c>
      <c r="H34" s="1260">
        <f>SUM(I34:J34)</f>
        <v>0</v>
      </c>
      <c r="I34" s="1259"/>
      <c r="J34" s="1249"/>
      <c r="K34" s="1258"/>
      <c r="W34" s="1179">
        <v>11</v>
      </c>
    </row>
    <row customHeight="1" ht="11.549999999999999">
      <c r="F35" s="1254">
        <v>4</v>
      </c>
      <c r="G35" s="714" t="s">
        <v>1388</v>
      </c>
      <c r="H35" s="1260">
        <f>SUM(I35:J35)</f>
        <v>0</v>
      </c>
      <c r="I35" s="1259"/>
      <c r="J35" s="1249"/>
      <c r="K35" s="1258"/>
      <c r="W35" s="1179">
        <v>11</v>
      </c>
    </row>
    <row customHeight="1" ht="11.549999999999999">
      <c r="F36" s="1254"/>
      <c r="G36" s="717" t="s">
        <v>1389</v>
      </c>
      <c r="H36" s="1260">
        <f>SUM(I36:J36)</f>
        <v>0</v>
      </c>
      <c r="I36" s="1260">
        <f>SUM(I15,I28,I32,I35)</f>
        <v>0</v>
      </c>
      <c r="J36" s="1249"/>
      <c r="K36" s="1258"/>
      <c r="W36" s="1179">
        <v>11</v>
      </c>
    </row>
    <row customHeight="1" ht="29.25">
      <c r="F37" s="1255" t="s">
        <v>1390</v>
      </c>
      <c r="G37" s="2446" t="s">
        <v>1391</v>
      </c>
      <c r="H37" s="2446"/>
      <c r="I37" s="2446"/>
      <c r="J37" s="2446"/>
      <c r="K37" s="1258"/>
      <c r="W37" s="1179">
        <v>28</v>
      </c>
    </row>
    <row customHeight="1" ht="24">
      <c r="F38" s="1254" t="s">
        <v>170</v>
      </c>
      <c r="G38" s="714" t="s">
        <v>1392</v>
      </c>
      <c r="H38" s="1260">
        <f>SUM(I38:J38)</f>
        <v>0</v>
      </c>
      <c r="I38" s="1260">
        <f>SUM(I39,I44,I47)</f>
        <v>0</v>
      </c>
      <c r="J38" s="1249"/>
      <c r="K38" s="1258"/>
      <c r="W38" s="1179">
        <v>23</v>
      </c>
    </row>
    <row customHeight="1" ht="11.549999999999999">
      <c r="F39" s="1254" t="s">
        <v>1050</v>
      </c>
      <c r="G39" s="1261" t="s">
        <v>1357</v>
      </c>
      <c r="H39" s="1260">
        <f>SUM(I39:J39)</f>
        <v>0</v>
      </c>
      <c r="I39" s="1260">
        <f>SUM(I40:I43)</f>
        <v>0</v>
      </c>
      <c r="J39" s="1249"/>
      <c r="K39" s="1258"/>
      <c r="W39" s="1179">
        <v>11</v>
      </c>
    </row>
    <row customHeight="1" ht="24">
      <c r="F40" s="1254" t="s">
        <v>1393</v>
      </c>
      <c r="G40" s="1262" t="s">
        <v>1394</v>
      </c>
      <c r="H40" s="1260">
        <f>SUM(I40:J40)</f>
        <v>0</v>
      </c>
      <c r="I40" s="1259"/>
      <c r="J40" s="1249"/>
      <c r="K40" s="1258"/>
      <c r="W40" s="1179">
        <v>23</v>
      </c>
    </row>
    <row customHeight="1" ht="11.549999999999999">
      <c r="F41" s="1254" t="s">
        <v>1395</v>
      </c>
      <c r="G41" s="1262" t="s">
        <v>1396</v>
      </c>
      <c r="H41" s="1260">
        <f>SUM(I41:J41)</f>
        <v>0</v>
      </c>
      <c r="I41" s="1259"/>
      <c r="J41" s="1249"/>
      <c r="K41" s="1258"/>
      <c r="W41" s="1179">
        <v>11</v>
      </c>
    </row>
    <row customHeight="1" ht="11.549999999999999">
      <c r="F42" s="1254" t="s">
        <v>1397</v>
      </c>
      <c r="G42" s="1262" t="s">
        <v>1398</v>
      </c>
      <c r="H42" s="1260">
        <f>SUM(I42:J42)</f>
        <v>0</v>
      </c>
      <c r="I42" s="1259"/>
      <c r="J42" s="1249"/>
      <c r="K42" s="1258"/>
      <c r="W42" s="1179">
        <v>11</v>
      </c>
    </row>
    <row customHeight="1" ht="35.699999999999996">
      <c r="F43" s="1254" t="s">
        <v>1399</v>
      </c>
      <c r="G43" s="1262" t="s">
        <v>1400</v>
      </c>
      <c r="H43" s="1260">
        <f>SUM(I43:J43)</f>
        <v>0</v>
      </c>
      <c r="I43" s="1259"/>
      <c r="J43" s="1249"/>
      <c r="K43" s="1258"/>
      <c r="W43" s="1179">
        <v>34</v>
      </c>
    </row>
    <row customHeight="1" ht="11.549999999999999">
      <c r="F44" s="1254" t="s">
        <v>1359</v>
      </c>
      <c r="G44" s="1261" t="s">
        <v>1385</v>
      </c>
      <c r="H44" s="1260">
        <f>SUM(I44:J44)</f>
        <v>0</v>
      </c>
      <c r="I44" s="1260">
        <f>SUM(I45:I46)</f>
        <v>0</v>
      </c>
      <c r="J44" s="1249"/>
      <c r="K44" s="1258"/>
      <c r="W44" s="1179">
        <v>11</v>
      </c>
    </row>
    <row customHeight="1" ht="48.29999999999999">
      <c r="F45" s="1254" t="s">
        <v>1401</v>
      </c>
      <c r="G45" s="1262" t="s">
        <v>1386</v>
      </c>
      <c r="H45" s="1260">
        <f>SUM(I45:J45)</f>
        <v>0</v>
      </c>
      <c r="I45" s="1259"/>
      <c r="J45" s="1249"/>
      <c r="K45" s="1258"/>
      <c r="W45" s="1179">
        <v>46</v>
      </c>
    </row>
    <row customHeight="1" ht="11.549999999999999">
      <c r="F46" s="1254" t="s">
        <v>1402</v>
      </c>
      <c r="G46" s="1262" t="s">
        <v>1387</v>
      </c>
      <c r="H46" s="1260">
        <f>SUM(I46:J46)</f>
        <v>0</v>
      </c>
      <c r="I46" s="1259"/>
      <c r="J46" s="1249"/>
      <c r="K46" s="1258"/>
      <c r="W46" s="1179">
        <v>11</v>
      </c>
    </row>
    <row customHeight="1" ht="11.549999999999999">
      <c r="F47" s="1254" t="s">
        <v>1361</v>
      </c>
      <c r="G47" s="1261" t="s">
        <v>1403</v>
      </c>
      <c r="H47" s="1260">
        <f>SUM(I47:J47)</f>
        <v>0</v>
      </c>
      <c r="I47" s="1259"/>
      <c r="J47" s="1249"/>
      <c r="K47" s="1258"/>
      <c r="W47" s="1179">
        <v>11</v>
      </c>
    </row>
    <row customHeight="1" ht="24">
      <c r="F48" s="1254" t="s">
        <v>103</v>
      </c>
      <c r="G48" s="714" t="s">
        <v>1404</v>
      </c>
      <c r="H48" s="1260">
        <f>SUM(I48:J48)</f>
        <v>0</v>
      </c>
      <c r="I48" s="1260">
        <f>SUM(I49,I54,I57)</f>
        <v>0</v>
      </c>
      <c r="J48" s="1249"/>
      <c r="K48" s="1258"/>
      <c r="W48" s="1179">
        <v>23</v>
      </c>
    </row>
    <row customHeight="1" ht="11.549999999999999">
      <c r="F49" s="1254" t="s">
        <v>806</v>
      </c>
      <c r="G49" s="1261" t="s">
        <v>1357</v>
      </c>
      <c r="H49" s="1260">
        <f>SUM(I49:J49)</f>
        <v>0</v>
      </c>
      <c r="I49" s="1260">
        <f>SUM(I50:I53)</f>
        <v>0</v>
      </c>
      <c r="J49" s="1249"/>
      <c r="K49" s="1258"/>
      <c r="W49" s="1179">
        <v>11</v>
      </c>
    </row>
    <row customHeight="1" ht="24">
      <c r="F50" s="1254" t="s">
        <v>809</v>
      </c>
      <c r="G50" s="1262" t="s">
        <v>1394</v>
      </c>
      <c r="H50" s="1260">
        <f>SUM(I50:J50)</f>
        <v>0</v>
      </c>
      <c r="I50" s="1259"/>
      <c r="J50" s="1249"/>
      <c r="K50" s="1258"/>
      <c r="W50" s="1179">
        <v>23</v>
      </c>
    </row>
    <row customHeight="1" ht="11.549999999999999">
      <c r="F51" s="1254" t="s">
        <v>812</v>
      </c>
      <c r="G51" s="1262" t="s">
        <v>1396</v>
      </c>
      <c r="H51" s="1260">
        <f>SUM(I51:J51)</f>
        <v>0</v>
      </c>
      <c r="I51" s="1259"/>
      <c r="J51" s="1249"/>
      <c r="K51" s="1258"/>
      <c r="W51" s="1179">
        <v>11</v>
      </c>
    </row>
    <row customHeight="1" ht="11.549999999999999">
      <c r="F52" s="1254" t="s">
        <v>1405</v>
      </c>
      <c r="G52" s="1262" t="s">
        <v>1398</v>
      </c>
      <c r="H52" s="1260">
        <f>SUM(I52:J52)</f>
        <v>0</v>
      </c>
      <c r="I52" s="1259"/>
      <c r="J52" s="1249"/>
      <c r="K52" s="1258"/>
      <c r="W52" s="1179">
        <v>11</v>
      </c>
    </row>
    <row customHeight="1" ht="35.699999999999996">
      <c r="F53" s="1254" t="s">
        <v>1406</v>
      </c>
      <c r="G53" s="1262" t="s">
        <v>1400</v>
      </c>
      <c r="H53" s="1260">
        <f>SUM(I53:J53)</f>
        <v>0</v>
      </c>
      <c r="I53" s="1259"/>
      <c r="J53" s="1249"/>
      <c r="K53" s="1258"/>
      <c r="W53" s="1179">
        <v>34</v>
      </c>
    </row>
    <row customHeight="1" ht="11.549999999999999">
      <c r="F54" s="1254" t="s">
        <v>391</v>
      </c>
      <c r="G54" s="1261" t="s">
        <v>1385</v>
      </c>
      <c r="H54" s="1260">
        <f>SUM(I54:J54)</f>
        <v>0</v>
      </c>
      <c r="I54" s="1260">
        <f>SUM(I55:I56)</f>
        <v>0</v>
      </c>
      <c r="J54" s="1249"/>
      <c r="K54" s="1258"/>
      <c r="W54" s="1179">
        <v>11</v>
      </c>
    </row>
    <row customHeight="1" ht="48.29999999999999">
      <c r="F55" s="1254" t="s">
        <v>816</v>
      </c>
      <c r="G55" s="1262" t="s">
        <v>1386</v>
      </c>
      <c r="H55" s="1260">
        <f>SUM(I55:J55)</f>
        <v>0</v>
      </c>
      <c r="I55" s="1259"/>
      <c r="J55" s="1249"/>
      <c r="K55" s="1258"/>
      <c r="W55" s="1179">
        <v>46</v>
      </c>
    </row>
    <row customHeight="1" ht="11.549999999999999">
      <c r="F56" s="1254" t="s">
        <v>818</v>
      </c>
      <c r="G56" s="1262" t="s">
        <v>1387</v>
      </c>
      <c r="H56" s="1260">
        <f>SUM(I56:J56)</f>
        <v>0</v>
      </c>
      <c r="I56" s="1259"/>
      <c r="J56" s="1249"/>
      <c r="K56" s="1258"/>
      <c r="W56" s="1179">
        <v>11</v>
      </c>
    </row>
    <row customHeight="1" ht="11.549999999999999">
      <c r="F57" s="1254" t="s">
        <v>394</v>
      </c>
      <c r="G57" s="1261" t="s">
        <v>1403</v>
      </c>
      <c r="H57" s="1260">
        <f>SUM(I57:J57)</f>
        <v>0</v>
      </c>
      <c r="I57" s="1259"/>
      <c r="J57" s="1249"/>
      <c r="K57" s="1258"/>
      <c r="W57" s="1179">
        <v>11</v>
      </c>
    </row>
    <row customHeight="1" ht="11.549999999999999">
      <c r="F58" s="1254"/>
      <c r="G58" s="1263" t="s">
        <v>1389</v>
      </c>
      <c r="H58" s="1260">
        <f>SUM(I58:J58)</f>
        <v>0</v>
      </c>
      <c r="I58" s="1260">
        <f>SUM(I38,I48)</f>
        <v>0</v>
      </c>
      <c r="J58" s="1249"/>
      <c r="K58" s="1258"/>
      <c r="W58" s="1179">
        <v>11</v>
      </c>
    </row>
    <row customHeight="1" ht="10.5" hidden="1">
      <c r="A59" s="1190" t="s">
        <v>82</v>
      </c>
      <c r="B59" s="1190">
        <v>0</v>
      </c>
      <c r="C59" s="1190">
        <v>0</v>
      </c>
      <c r="D59" s="1184">
        <v>0</v>
      </c>
      <c r="E59" s="533">
        <v>3</v>
      </c>
      <c r="F59" s="1179">
        <v>6</v>
      </c>
      <c r="G59" s="1179">
        <v>60</v>
      </c>
      <c r="H59" s="1179">
        <v>0</v>
      </c>
      <c r="I59" s="1179">
        <v>0</v>
      </c>
      <c r="J59" s="1179">
        <v>0</v>
      </c>
      <c r="K59" s="1179">
        <v>1</v>
      </c>
      <c r="L59" s="1179">
        <v>8</v>
      </c>
      <c r="M59" s="1179">
        <v>8</v>
      </c>
      <c r="N59" s="1179">
        <v>8</v>
      </c>
      <c r="O59" s="1179">
        <v>8</v>
      </c>
      <c r="P59" s="1179">
        <v>8</v>
      </c>
      <c r="Q59" s="1179">
        <v>8</v>
      </c>
      <c r="R59" s="1179">
        <v>8</v>
      </c>
      <c r="S59" s="1179">
        <v>8</v>
      </c>
      <c r="T59" s="1179">
        <v>8</v>
      </c>
      <c r="U59" s="1179">
        <v>8</v>
      </c>
      <c r="V59" s="1179">
        <v>8</v>
      </c>
      <c r="W59" s="1179">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1F7E7A-0B48-7441-E994-0.C7E276CB}"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87" width="4.7109375" hidden="1" customWidth="1"/>
    <col min="2" max="2" style="960" width="4.7109375" hidden="1" customWidth="1"/>
    <col min="3" max="4" style="1087" width="4.7109375" hidden="1" customWidth="1"/>
    <col min="5" max="5" style="1087" width="3.00390625" customWidth="1"/>
    <col min="6" max="6" style="1087" width="6.00390625" customWidth="1"/>
    <col min="7" max="7" style="1087" width="18.00390625" customWidth="1"/>
    <col min="8" max="8" style="1087" width="27.00390625" customWidth="1"/>
    <col min="9" max="9" style="1087" width="18.00390625" customWidth="1"/>
    <col min="10" max="14" style="1087" width="0.8515625" hidden="1" customWidth="1"/>
    <col min="15" max="28" style="1087" width="21.7109375" customWidth="1"/>
    <col min="29" max="71" style="1087" width="0.8515625" customWidth="1"/>
    <col min="72" max="79" style="1087" width="21.7109375" hidden="1" customWidth="1"/>
    <col min="80" max="81" style="1087" width="29.140625" hidden="1" customWidth="1"/>
    <col min="82" max="89" style="1087" width="21.7109375" hidden="1" customWidth="1"/>
    <col min="90" max="102" style="1087" width="0.7109375" hidden="1" customWidth="1"/>
    <col min="103" max="114" style="1087" width="21.7109375" hidden="1" customWidth="1"/>
    <col min="115" max="178" style="1087" width="0.7109375" hidden="1" customWidth="1"/>
    <col min="179" max="179" style="1087" width="0.140625" customWidth="1"/>
    <col min="180" max="184" style="1087" width="8.00390625" customWidth="1"/>
    <col min="185" max="185" style="1087" width="9.140625" hidden="1"/>
  </cols>
  <sheetData>
    <row s="949" customFormat="1" customHeight="1" ht="12" hidden="1">
      <c r="B1" s="947"/>
      <c r="C1" s="948"/>
      <c r="D1" s="948"/>
      <c r="GC1" s="946" t="s">
        <v>14</v>
      </c>
    </row>
    <row s="949" customFormat="1" customHeight="1" ht="12" hidden="1">
      <c r="B2" s="947"/>
      <c r="C2" s="948"/>
      <c r="D2" s="948"/>
      <c r="E2" s="948"/>
      <c r="F2" s="948"/>
      <c r="G2" s="948"/>
      <c r="H2" s="948"/>
      <c r="I2" s="948"/>
      <c r="J2" s="948"/>
      <c r="K2" s="948"/>
      <c r="L2" s="948"/>
      <c r="M2" s="948"/>
      <c r="N2" s="948"/>
      <c r="O2" s="948"/>
      <c r="P2" s="948"/>
      <c r="Q2" s="948"/>
      <c r="R2" s="948"/>
      <c r="S2" s="948"/>
      <c r="T2" s="948"/>
      <c r="U2" s="948"/>
      <c r="V2" s="948"/>
      <c r="W2" s="948"/>
      <c r="X2" s="948"/>
      <c r="Y2" s="948"/>
      <c r="Z2" s="948"/>
      <c r="AA2" s="948"/>
      <c r="AB2" s="949"/>
      <c r="AC2" s="948"/>
      <c r="AD2" s="948"/>
      <c r="AE2" s="948"/>
      <c r="AF2" s="948"/>
      <c r="AG2" s="948"/>
      <c r="AH2" s="948"/>
      <c r="AI2" s="948"/>
      <c r="AJ2" s="948"/>
      <c r="AK2" s="948"/>
      <c r="AL2" s="948"/>
      <c r="AM2" s="948"/>
      <c r="AN2" s="948"/>
      <c r="AO2" s="948"/>
      <c r="AP2" s="948"/>
      <c r="AQ2" s="948"/>
      <c r="AR2" s="948"/>
      <c r="AS2" s="948"/>
      <c r="AT2" s="948"/>
      <c r="AU2" s="948"/>
      <c r="AV2" s="948"/>
      <c r="AW2" s="948"/>
      <c r="AX2" s="948"/>
      <c r="AY2" s="948"/>
      <c r="AZ2" s="948"/>
      <c r="BA2" s="948"/>
      <c r="BB2" s="948"/>
      <c r="BC2" s="948"/>
      <c r="BD2" s="948"/>
      <c r="BE2" s="948"/>
      <c r="BF2" s="948"/>
      <c r="BG2" s="948"/>
      <c r="BH2" s="948"/>
      <c r="BI2" s="948"/>
      <c r="BJ2" s="948"/>
      <c r="BK2" s="948"/>
      <c r="BL2" s="948"/>
      <c r="BM2" s="948"/>
      <c r="BN2" s="948"/>
      <c r="BO2" s="948"/>
      <c r="BP2" s="948"/>
      <c r="BQ2" s="948"/>
      <c r="BR2" s="948"/>
      <c r="BS2" s="948"/>
      <c r="BT2" s="948"/>
      <c r="BU2" s="948"/>
      <c r="BV2" s="948"/>
      <c r="BW2" s="948"/>
      <c r="BX2" s="948"/>
      <c r="BY2" s="948"/>
      <c r="BZ2" s="948"/>
      <c r="CA2" s="948"/>
      <c r="CB2" s="948"/>
      <c r="CC2" s="948"/>
      <c r="CD2" s="948"/>
      <c r="CE2" s="948"/>
      <c r="CF2" s="948"/>
      <c r="CG2" s="948"/>
      <c r="CH2" s="948"/>
      <c r="CI2" s="948"/>
      <c r="CJ2" s="948"/>
      <c r="CK2" s="948"/>
      <c r="CL2" s="948"/>
      <c r="CM2" s="948"/>
      <c r="CN2" s="948"/>
      <c r="CO2" s="948"/>
      <c r="CP2" s="948"/>
      <c r="CQ2" s="948"/>
      <c r="CR2" s="948"/>
      <c r="CS2" s="948"/>
      <c r="CT2" s="948"/>
      <c r="CU2" s="948"/>
      <c r="CV2" s="948"/>
      <c r="CW2" s="948"/>
      <c r="CX2" s="948"/>
      <c r="CY2" s="948"/>
      <c r="CZ2" s="948"/>
      <c r="DA2" s="948"/>
      <c r="DB2" s="948"/>
      <c r="DC2" s="948"/>
      <c r="DD2" s="948"/>
      <c r="DE2" s="948"/>
      <c r="DF2" s="948"/>
      <c r="DG2" s="948"/>
      <c r="DH2" s="948"/>
      <c r="DI2" s="948"/>
      <c r="DJ2" s="948"/>
      <c r="DK2" s="948"/>
      <c r="DL2" s="948"/>
      <c r="DM2" s="948"/>
      <c r="DN2" s="948"/>
      <c r="DO2" s="948"/>
      <c r="DP2" s="948"/>
      <c r="DQ2" s="948"/>
      <c r="DR2" s="948"/>
      <c r="DS2" s="948"/>
      <c r="DT2" s="948"/>
      <c r="DU2" s="948"/>
      <c r="DV2" s="948"/>
      <c r="DW2" s="948"/>
      <c r="DX2" s="948"/>
      <c r="DY2" s="948"/>
      <c r="DZ2" s="948"/>
      <c r="EA2" s="948"/>
      <c r="EB2" s="948"/>
      <c r="EC2" s="948"/>
      <c r="ED2" s="948"/>
      <c r="EE2" s="948"/>
      <c r="EF2" s="948"/>
      <c r="EG2" s="948"/>
      <c r="EH2" s="948"/>
      <c r="EI2" s="948"/>
      <c r="EJ2" s="948"/>
      <c r="EK2" s="948"/>
      <c r="EL2" s="948"/>
      <c r="EM2" s="948"/>
      <c r="EN2" s="948"/>
      <c r="EO2" s="948"/>
      <c r="EP2" s="948"/>
      <c r="EQ2" s="948"/>
      <c r="ER2" s="948"/>
      <c r="ES2" s="948"/>
      <c r="ET2" s="948"/>
      <c r="EU2" s="948"/>
      <c r="EV2" s="948"/>
      <c r="EW2" s="948"/>
      <c r="EX2" s="948"/>
      <c r="EY2" s="948"/>
      <c r="EZ2" s="948"/>
      <c r="FA2" s="948"/>
      <c r="FB2" s="948"/>
      <c r="FC2" s="948"/>
      <c r="FD2" s="948"/>
      <c r="FE2" s="948"/>
      <c r="FF2" s="948"/>
      <c r="FG2" s="948"/>
      <c r="FH2" s="948"/>
      <c r="FI2" s="948"/>
      <c r="FJ2" s="948"/>
      <c r="FK2" s="948"/>
      <c r="FL2" s="948"/>
      <c r="FM2" s="948"/>
      <c r="FN2" s="948"/>
      <c r="FO2" s="948"/>
      <c r="FP2" s="948"/>
      <c r="FQ2" s="948"/>
      <c r="FR2" s="948"/>
      <c r="FS2" s="948"/>
      <c r="FT2" s="948"/>
      <c r="FU2" s="948"/>
      <c r="FV2" s="948"/>
      <c r="FW2" s="948"/>
      <c r="GC2" s="946">
        <v>0</v>
      </c>
    </row>
    <row s="949" customFormat="1" customHeight="1" ht="12" hidden="1">
      <c r="B3" s="947"/>
      <c r="C3" s="948"/>
      <c r="D3" s="948"/>
      <c r="E3" s="948"/>
      <c r="F3" s="948"/>
      <c r="G3" s="948"/>
      <c r="H3" s="948"/>
      <c r="I3" s="948"/>
      <c r="J3" s="948"/>
      <c r="K3" s="948"/>
      <c r="L3" s="948"/>
      <c r="M3" s="948"/>
      <c r="N3" s="948"/>
      <c r="O3" s="948"/>
      <c r="P3" s="948"/>
      <c r="Q3" s="948"/>
      <c r="R3" s="948"/>
      <c r="S3" s="948"/>
      <c r="T3" s="948"/>
      <c r="U3" s="948"/>
      <c r="V3" s="948"/>
      <c r="W3" s="948"/>
      <c r="X3" s="948"/>
      <c r="Y3" s="948"/>
      <c r="Z3" s="948"/>
      <c r="AA3" s="948"/>
      <c r="AB3" s="949"/>
      <c r="AC3" s="948"/>
      <c r="AD3" s="948"/>
      <c r="AE3" s="948"/>
      <c r="AF3" s="948"/>
      <c r="AG3" s="948"/>
      <c r="AH3" s="948"/>
      <c r="AI3" s="948"/>
      <c r="AJ3" s="948"/>
      <c r="AK3" s="948"/>
      <c r="AL3" s="948"/>
      <c r="AM3" s="948"/>
      <c r="AN3" s="948"/>
      <c r="AO3" s="948"/>
      <c r="AP3" s="948"/>
      <c r="AQ3" s="948"/>
      <c r="AR3" s="948"/>
      <c r="AS3" s="948"/>
      <c r="AT3" s="948"/>
      <c r="AU3" s="948"/>
      <c r="AV3" s="948"/>
      <c r="AW3" s="948"/>
      <c r="AX3" s="948"/>
      <c r="AY3" s="948"/>
      <c r="AZ3" s="948"/>
      <c r="BA3" s="948"/>
      <c r="BB3" s="948"/>
      <c r="BC3" s="948"/>
      <c r="BD3" s="948"/>
      <c r="BE3" s="948"/>
      <c r="BF3" s="948"/>
      <c r="BG3" s="948"/>
      <c r="BH3" s="948"/>
      <c r="BI3" s="948"/>
      <c r="BJ3" s="948"/>
      <c r="BK3" s="948"/>
      <c r="BL3" s="948"/>
      <c r="BM3" s="948"/>
      <c r="BN3" s="948"/>
      <c r="BO3" s="948"/>
      <c r="BP3" s="948"/>
      <c r="BQ3" s="948"/>
      <c r="BR3" s="948"/>
      <c r="BS3" s="948"/>
      <c r="BT3" s="948"/>
      <c r="BU3" s="948"/>
      <c r="BV3" s="948"/>
      <c r="BW3" s="948"/>
      <c r="BX3" s="948"/>
      <c r="BY3" s="948"/>
      <c r="BZ3" s="948"/>
      <c r="CA3" s="948"/>
      <c r="CB3" s="948"/>
      <c r="CC3" s="948"/>
      <c r="CD3" s="948"/>
      <c r="CE3" s="948"/>
      <c r="CF3" s="948"/>
      <c r="CG3" s="948"/>
      <c r="CH3" s="948"/>
      <c r="CI3" s="948"/>
      <c r="CJ3" s="948"/>
      <c r="CK3" s="948"/>
      <c r="CL3" s="948"/>
      <c r="CM3" s="948"/>
      <c r="CN3" s="948"/>
      <c r="CO3" s="948"/>
      <c r="CP3" s="948"/>
      <c r="CQ3" s="948"/>
      <c r="CR3" s="948"/>
      <c r="CS3" s="948"/>
      <c r="CT3" s="948"/>
      <c r="CU3" s="948"/>
      <c r="CV3" s="948"/>
      <c r="CW3" s="948"/>
      <c r="CX3" s="948"/>
      <c r="CY3" s="948"/>
      <c r="CZ3" s="948"/>
      <c r="DA3" s="948"/>
      <c r="DB3" s="948"/>
      <c r="DC3" s="948"/>
      <c r="DD3" s="948"/>
      <c r="DE3" s="948"/>
      <c r="DF3" s="948"/>
      <c r="DG3" s="948"/>
      <c r="DH3" s="948"/>
      <c r="DI3" s="948"/>
      <c r="DJ3" s="948"/>
      <c r="DK3" s="948"/>
      <c r="DL3" s="948"/>
      <c r="DM3" s="948"/>
      <c r="DN3" s="948"/>
      <c r="DO3" s="948"/>
      <c r="DP3" s="948"/>
      <c r="DQ3" s="948"/>
      <c r="DR3" s="948"/>
      <c r="DS3" s="948"/>
      <c r="DT3" s="948"/>
      <c r="DU3" s="948"/>
      <c r="DV3" s="948"/>
      <c r="DW3" s="948"/>
      <c r="DX3" s="948"/>
      <c r="DY3" s="948"/>
      <c r="DZ3" s="948"/>
      <c r="EA3" s="948"/>
      <c r="EB3" s="948"/>
      <c r="EC3" s="948"/>
      <c r="ED3" s="948"/>
      <c r="EE3" s="948"/>
      <c r="EF3" s="948"/>
      <c r="EG3" s="948"/>
      <c r="EH3" s="948"/>
      <c r="EI3" s="948"/>
      <c r="EJ3" s="948"/>
      <c r="EK3" s="948"/>
      <c r="EL3" s="948"/>
      <c r="EM3" s="948"/>
      <c r="EN3" s="948"/>
      <c r="EO3" s="948"/>
      <c r="EP3" s="948"/>
      <c r="EQ3" s="948"/>
      <c r="ER3" s="948"/>
      <c r="ES3" s="948"/>
      <c r="ET3" s="948"/>
      <c r="EU3" s="948"/>
      <c r="EV3" s="948"/>
      <c r="EW3" s="948"/>
      <c r="EX3" s="948"/>
      <c r="EY3" s="948"/>
      <c r="EZ3" s="948"/>
      <c r="FA3" s="948"/>
      <c r="FB3" s="948"/>
      <c r="FC3" s="948"/>
      <c r="FD3" s="948"/>
      <c r="FE3" s="948"/>
      <c r="FF3" s="948"/>
      <c r="FG3" s="948"/>
      <c r="FH3" s="948"/>
      <c r="FI3" s="948"/>
      <c r="FJ3" s="948"/>
      <c r="FK3" s="948"/>
      <c r="FL3" s="948"/>
      <c r="FM3" s="948"/>
      <c r="FN3" s="948"/>
      <c r="FO3" s="948"/>
      <c r="FP3" s="948"/>
      <c r="FQ3" s="948"/>
      <c r="FR3" s="948"/>
      <c r="FS3" s="948"/>
      <c r="FT3" s="948"/>
      <c r="FU3" s="948"/>
      <c r="FV3" s="948"/>
      <c r="FW3" s="948"/>
      <c r="GC3" s="946">
        <v>0</v>
      </c>
    </row>
    <row customHeight="1" ht="10.5">
      <c r="B4" s="951"/>
      <c r="C4" s="952"/>
      <c r="D4" s="952"/>
      <c r="E4" s="952"/>
      <c r="F4" s="952"/>
      <c r="G4" s="952"/>
      <c r="H4" s="953"/>
      <c r="I4" s="953"/>
      <c r="J4" s="953"/>
      <c r="K4" s="953"/>
      <c r="L4" s="953"/>
      <c r="M4" s="954"/>
      <c r="N4" s="954"/>
      <c r="O4" s="954"/>
      <c r="P4" s="954"/>
      <c r="Q4" s="954"/>
      <c r="R4" s="954"/>
      <c r="S4" s="954"/>
      <c r="T4" s="954"/>
      <c r="U4" s="954"/>
      <c r="V4" s="954"/>
      <c r="W4" s="954"/>
      <c r="X4" s="954"/>
      <c r="Y4" s="954"/>
      <c r="Z4" s="954"/>
      <c r="AA4" s="954"/>
      <c r="AB4" s="954"/>
      <c r="AC4" s="954"/>
      <c r="AD4" s="954"/>
      <c r="AE4" s="954"/>
      <c r="AF4" s="954"/>
      <c r="AG4" s="954"/>
      <c r="AH4" s="954"/>
      <c r="AI4" s="954"/>
      <c r="AJ4" s="954"/>
      <c r="AK4" s="954"/>
      <c r="AL4" s="954"/>
      <c r="AM4" s="954"/>
      <c r="AN4" s="954"/>
      <c r="AO4" s="954"/>
      <c r="AP4" s="954"/>
      <c r="AQ4" s="954"/>
      <c r="AR4" s="954"/>
      <c r="AS4" s="954"/>
      <c r="AT4" s="954"/>
      <c r="AU4" s="954"/>
      <c r="AV4" s="954"/>
      <c r="AW4" s="954"/>
      <c r="AX4" s="954"/>
      <c r="AY4" s="954"/>
      <c r="AZ4" s="954"/>
      <c r="BA4" s="954"/>
      <c r="BB4" s="954"/>
      <c r="BC4" s="954"/>
      <c r="BD4" s="954"/>
      <c r="BE4" s="954"/>
      <c r="BF4" s="954"/>
      <c r="BG4" s="954"/>
      <c r="BH4" s="954"/>
      <c r="BI4" s="954"/>
      <c r="BJ4" s="954"/>
      <c r="BK4" s="954"/>
      <c r="BL4" s="954"/>
      <c r="BM4" s="954"/>
      <c r="BN4" s="954"/>
      <c r="BO4" s="954"/>
      <c r="BP4" s="954"/>
      <c r="BQ4" s="954"/>
      <c r="BR4" s="954"/>
      <c r="BS4" s="954"/>
      <c r="BT4" s="954"/>
      <c r="BU4" s="954"/>
      <c r="BV4" s="954"/>
      <c r="BW4" s="954"/>
      <c r="BX4" s="954"/>
      <c r="BY4" s="954"/>
      <c r="BZ4" s="954"/>
      <c r="CA4" s="954"/>
      <c r="CB4" s="954"/>
      <c r="CC4" s="954"/>
      <c r="CD4" s="954"/>
      <c r="CE4" s="954"/>
      <c r="CF4" s="954"/>
      <c r="CG4" s="954"/>
      <c r="CH4" s="954"/>
      <c r="CI4" s="954"/>
      <c r="CJ4" s="954"/>
      <c r="CK4" s="954"/>
      <c r="CL4" s="954"/>
      <c r="CM4" s="954"/>
      <c r="CN4" s="954"/>
      <c r="CO4" s="954"/>
      <c r="CP4" s="954"/>
      <c r="CQ4" s="954"/>
      <c r="CR4" s="954"/>
      <c r="CS4" s="954"/>
      <c r="CT4" s="954"/>
      <c r="CU4" s="954"/>
      <c r="CV4" s="954"/>
      <c r="CW4" s="954"/>
      <c r="CX4" s="954"/>
      <c r="CY4" s="954"/>
      <c r="CZ4" s="954"/>
      <c r="DA4" s="954"/>
      <c r="DB4" s="954"/>
      <c r="DC4" s="954"/>
      <c r="DD4" s="954"/>
      <c r="DE4" s="954"/>
      <c r="DF4" s="954"/>
      <c r="DG4" s="954"/>
      <c r="DH4" s="954"/>
      <c r="DI4" s="954"/>
      <c r="DJ4" s="954"/>
      <c r="DK4" s="954"/>
      <c r="DL4" s="954"/>
      <c r="DM4" s="954"/>
      <c r="DN4" s="954"/>
      <c r="DO4" s="954"/>
      <c r="DP4" s="954"/>
      <c r="DQ4" s="954"/>
      <c r="DR4" s="954"/>
      <c r="DS4" s="954"/>
      <c r="DT4" s="954"/>
      <c r="DU4" s="954"/>
      <c r="DV4" s="954"/>
      <c r="DW4" s="954"/>
      <c r="DX4" s="954"/>
      <c r="DY4" s="954"/>
      <c r="DZ4" s="954"/>
      <c r="EA4" s="954"/>
      <c r="EB4" s="954"/>
      <c r="EC4" s="954"/>
      <c r="ED4" s="954"/>
      <c r="EE4" s="954"/>
      <c r="EF4" s="954"/>
      <c r="EG4" s="954"/>
      <c r="EH4" s="954"/>
      <c r="EI4" s="954"/>
      <c r="EJ4" s="954"/>
      <c r="EK4" s="954"/>
      <c r="EL4" s="954"/>
      <c r="EM4" s="954"/>
      <c r="EN4" s="954"/>
      <c r="EO4" s="954"/>
      <c r="EP4" s="954"/>
      <c r="EQ4" s="954"/>
      <c r="ER4" s="954"/>
      <c r="ES4" s="954"/>
      <c r="ET4" s="954"/>
      <c r="EU4" s="954"/>
      <c r="EV4" s="954"/>
      <c r="EW4" s="954"/>
      <c r="EX4" s="954"/>
      <c r="EY4" s="954"/>
      <c r="EZ4" s="954"/>
      <c r="FA4" s="954"/>
      <c r="FB4" s="954"/>
      <c r="FC4" s="954"/>
      <c r="FD4" s="954"/>
      <c r="FE4" s="954"/>
      <c r="FF4" s="954"/>
      <c r="FG4" s="954"/>
      <c r="FH4" s="954"/>
      <c r="FI4" s="954"/>
      <c r="FJ4" s="954"/>
      <c r="FK4" s="954"/>
      <c r="FL4" s="954"/>
      <c r="FM4" s="954"/>
      <c r="FN4" s="954"/>
      <c r="FO4" s="954"/>
      <c r="FP4" s="954"/>
      <c r="FQ4" s="954"/>
      <c r="FR4" s="954"/>
      <c r="FS4" s="954"/>
      <c r="FT4" s="954"/>
      <c r="FU4" s="954"/>
      <c r="FV4" s="954"/>
      <c r="FW4" s="954"/>
      <c r="GC4" s="950">
        <v>10</v>
      </c>
    </row>
    <row s="1897" customFormat="1" customHeight="1" ht="27.299999999999997">
      <c r="B5" s="1896"/>
      <c r="E5" s="1898"/>
      <c r="F5" s="245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93"/>
      <c r="H5" s="2193"/>
      <c r="I5" s="2193"/>
      <c r="J5" s="2193"/>
      <c r="K5" s="2193"/>
      <c r="L5" s="2193"/>
      <c r="M5" s="2193"/>
      <c r="N5" s="2193"/>
      <c r="O5" s="2193"/>
      <c r="P5" s="2193"/>
      <c r="Q5" s="2193"/>
      <c r="R5" s="2193"/>
      <c r="S5" s="2193"/>
      <c r="T5" s="2193"/>
      <c r="U5" s="2193"/>
      <c r="V5" s="2193"/>
      <c r="W5" s="2193"/>
      <c r="X5" s="2193"/>
      <c r="Y5" s="2193"/>
      <c r="Z5" s="2193"/>
      <c r="AA5" s="2193"/>
      <c r="AB5" s="2193"/>
      <c r="AC5" s="2193"/>
      <c r="AD5" s="2193"/>
      <c r="AE5" s="2193"/>
      <c r="AF5" s="2193"/>
      <c r="AG5" s="2193"/>
      <c r="AH5" s="2193"/>
      <c r="AI5" s="2193"/>
      <c r="AJ5" s="2193"/>
      <c r="AK5" s="2193"/>
      <c r="AL5" s="2193"/>
      <c r="AM5" s="2193"/>
      <c r="AN5" s="2193"/>
      <c r="AO5" s="2193"/>
      <c r="AP5" s="2193"/>
      <c r="AQ5" s="2193"/>
      <c r="AR5" s="2193"/>
      <c r="AS5" s="2193"/>
      <c r="AT5" s="2193"/>
      <c r="AU5" s="2193"/>
      <c r="AV5" s="2193"/>
      <c r="AW5" s="2193"/>
      <c r="AX5" s="2193"/>
      <c r="AY5" s="2193"/>
      <c r="AZ5" s="2193"/>
      <c r="BA5" s="2193"/>
      <c r="BB5" s="2193"/>
      <c r="BC5" s="2193"/>
      <c r="BD5" s="2193"/>
      <c r="BE5" s="2193"/>
      <c r="BF5" s="2193"/>
      <c r="BG5" s="2193"/>
      <c r="BH5" s="2193"/>
      <c r="BI5" s="2193"/>
      <c r="BJ5" s="2193"/>
      <c r="BK5" s="2193"/>
      <c r="BL5" s="2193"/>
      <c r="BM5" s="2193"/>
      <c r="BN5" s="2193"/>
      <c r="BO5" s="2193"/>
      <c r="BP5" s="2193"/>
      <c r="BQ5" s="2193"/>
      <c r="BR5" s="2193"/>
      <c r="BS5" s="2193"/>
      <c r="GC5" s="1897">
        <v>26</v>
      </c>
    </row>
    <row s="2162" customFormat="1" customHeight="1" ht="18.75">
      <c r="B6" s="967"/>
      <c r="E6" s="969"/>
      <c r="F6" s="2238" t="str">
        <f>IF(org=0,"Не определено",org)</f>
        <v>АО "ДГК"</v>
      </c>
      <c r="G6" s="2239"/>
      <c r="H6" s="2239"/>
      <c r="I6" s="2239"/>
      <c r="J6" s="2239"/>
      <c r="K6" s="2239"/>
      <c r="L6" s="2239"/>
      <c r="M6" s="2239"/>
      <c r="N6" s="2239"/>
      <c r="O6" s="2239"/>
      <c r="P6" s="2239"/>
      <c r="Q6" s="2239"/>
      <c r="R6" s="2239"/>
      <c r="S6" s="2239"/>
      <c r="T6" s="2239"/>
      <c r="U6" s="2239"/>
      <c r="V6" s="2239"/>
      <c r="W6" s="2239"/>
      <c r="X6" s="2239"/>
      <c r="Y6" s="2239"/>
      <c r="Z6" s="2239"/>
      <c r="AA6" s="2239"/>
      <c r="AB6" s="2239"/>
      <c r="AC6" s="2239"/>
      <c r="AD6" s="2239"/>
      <c r="AE6" s="2239"/>
      <c r="AF6" s="2239"/>
      <c r="AG6" s="2239"/>
      <c r="AH6" s="2239"/>
      <c r="AI6" s="2239"/>
      <c r="AJ6" s="2239"/>
      <c r="AK6" s="2239"/>
      <c r="AL6" s="2239"/>
      <c r="AM6" s="2239"/>
      <c r="AN6" s="2239"/>
      <c r="AO6" s="2239"/>
      <c r="AP6" s="2239"/>
      <c r="AQ6" s="2239"/>
      <c r="AR6" s="2239"/>
      <c r="AS6" s="2239"/>
      <c r="AT6" s="2239"/>
      <c r="AU6" s="2239"/>
      <c r="AV6" s="2239"/>
      <c r="AW6" s="2239"/>
      <c r="AX6" s="2239"/>
      <c r="AY6" s="2239"/>
      <c r="AZ6" s="2239"/>
      <c r="BA6" s="2239"/>
      <c r="BB6" s="2239"/>
      <c r="BC6" s="2239"/>
      <c r="BD6" s="2239"/>
      <c r="BE6" s="2239"/>
      <c r="BF6" s="2239"/>
      <c r="BG6" s="2239"/>
      <c r="BH6" s="2239"/>
      <c r="BI6" s="2239"/>
      <c r="BJ6" s="2239"/>
      <c r="BK6" s="2239"/>
      <c r="BL6" s="2239"/>
      <c r="BM6" s="2239"/>
      <c r="BN6" s="2239"/>
      <c r="BO6" s="2239"/>
      <c r="BP6" s="2239"/>
      <c r="BQ6" s="2239"/>
      <c r="BR6" s="2239"/>
      <c r="BS6" s="2239"/>
      <c r="GC6" s="968">
        <v>18</v>
      </c>
    </row>
    <row s="957" customFormat="1" customHeight="1" ht="10.5">
      <c r="B7" s="956"/>
      <c r="E7" s="957"/>
      <c r="F7" s="957"/>
      <c r="G7" s="959"/>
      <c r="H7" s="953"/>
      <c r="I7" s="953"/>
      <c r="J7" s="953"/>
      <c r="K7" s="953"/>
      <c r="L7" s="953"/>
      <c r="M7" s="957"/>
      <c r="N7" s="957"/>
      <c r="O7" s="957"/>
      <c r="P7" s="957"/>
      <c r="Q7" s="957"/>
      <c r="R7" s="957"/>
      <c r="S7" s="957"/>
      <c r="T7" s="957"/>
      <c r="U7" s="957"/>
      <c r="V7" s="957"/>
      <c r="W7" s="957"/>
      <c r="X7" s="957"/>
      <c r="Y7" s="957"/>
      <c r="Z7" s="957"/>
      <c r="AA7" s="957"/>
      <c r="AB7" s="957"/>
      <c r="AC7" s="957"/>
      <c r="AD7" s="957"/>
      <c r="AE7" s="957"/>
      <c r="AF7" s="957"/>
      <c r="AG7" s="957"/>
      <c r="AH7" s="957"/>
      <c r="AI7" s="957"/>
      <c r="AJ7" s="957"/>
      <c r="AK7" s="957"/>
      <c r="AL7" s="957"/>
      <c r="AM7" s="957"/>
      <c r="AN7" s="957"/>
      <c r="AO7" s="957"/>
      <c r="AP7" s="957"/>
      <c r="AQ7" s="957"/>
      <c r="AR7" s="957"/>
      <c r="AS7" s="957"/>
      <c r="AT7" s="957"/>
      <c r="AU7" s="957"/>
      <c r="AV7" s="957"/>
      <c r="AW7" s="957"/>
      <c r="AX7" s="957"/>
      <c r="AY7" s="957"/>
      <c r="AZ7" s="957"/>
      <c r="BA7" s="957"/>
      <c r="BB7" s="957"/>
      <c r="BC7" s="957"/>
      <c r="BD7" s="957"/>
      <c r="BE7" s="957"/>
      <c r="BF7" s="957"/>
      <c r="BG7" s="957"/>
      <c r="BH7" s="957"/>
      <c r="BI7" s="957"/>
      <c r="BJ7" s="957"/>
      <c r="BK7" s="957"/>
      <c r="BL7" s="957"/>
      <c r="BM7" s="957"/>
      <c r="BN7" s="957"/>
      <c r="BO7" s="957"/>
      <c r="BP7" s="957"/>
      <c r="BQ7" s="957"/>
      <c r="BR7" s="957"/>
      <c r="BS7" s="957"/>
      <c r="BT7" s="957"/>
      <c r="BU7" s="957"/>
      <c r="BV7" s="957"/>
      <c r="BW7" s="957"/>
      <c r="BX7" s="957"/>
      <c r="BY7" s="957"/>
      <c r="BZ7" s="957"/>
      <c r="CA7" s="957"/>
      <c r="CB7" s="957"/>
      <c r="CC7" s="957"/>
      <c r="CD7" s="957"/>
      <c r="CE7" s="957"/>
      <c r="CF7" s="957"/>
      <c r="CG7" s="957"/>
      <c r="CH7" s="957"/>
      <c r="CI7" s="957"/>
      <c r="CJ7" s="957"/>
      <c r="CK7" s="957"/>
      <c r="CL7" s="957"/>
      <c r="CM7" s="957"/>
      <c r="CN7" s="957"/>
      <c r="CO7" s="957"/>
      <c r="CP7" s="957"/>
      <c r="CQ7" s="957"/>
      <c r="CR7" s="957"/>
      <c r="CS7" s="957"/>
      <c r="CT7" s="957"/>
      <c r="CU7" s="957"/>
      <c r="CV7" s="957"/>
      <c r="CW7" s="957"/>
      <c r="CX7" s="957"/>
      <c r="CY7" s="957"/>
      <c r="CZ7" s="957"/>
      <c r="DA7" s="957"/>
      <c r="DB7" s="957"/>
      <c r="DC7" s="957"/>
      <c r="DD7" s="957"/>
      <c r="DE7" s="957"/>
      <c r="DF7" s="957"/>
      <c r="DG7" s="957"/>
      <c r="DH7" s="957"/>
      <c r="DI7" s="957"/>
      <c r="DJ7" s="957"/>
      <c r="DK7" s="957"/>
      <c r="DL7" s="957"/>
      <c r="DM7" s="957"/>
      <c r="DN7" s="957"/>
      <c r="DO7" s="957"/>
      <c r="DP7" s="957"/>
      <c r="DQ7" s="957"/>
      <c r="DR7" s="957"/>
      <c r="DS7" s="957"/>
      <c r="DT7" s="957"/>
      <c r="DU7" s="957"/>
      <c r="DV7" s="957"/>
      <c r="DW7" s="957"/>
      <c r="DX7" s="957"/>
      <c r="DY7" s="957"/>
      <c r="DZ7" s="957"/>
      <c r="EA7" s="957"/>
      <c r="EB7" s="957"/>
      <c r="EC7" s="957"/>
      <c r="ED7" s="957"/>
      <c r="EE7" s="957"/>
      <c r="EF7" s="957"/>
      <c r="EG7" s="957"/>
      <c r="EH7" s="957"/>
      <c r="EI7" s="957"/>
      <c r="EJ7" s="957"/>
      <c r="EK7" s="957"/>
      <c r="EL7" s="957"/>
      <c r="EM7" s="957"/>
      <c r="EN7" s="957"/>
      <c r="EO7" s="957"/>
      <c r="EP7" s="957"/>
      <c r="EQ7" s="957"/>
      <c r="ER7" s="957"/>
      <c r="ES7" s="957"/>
      <c r="ET7" s="957"/>
      <c r="EU7" s="957"/>
      <c r="EV7" s="957"/>
      <c r="EW7" s="957"/>
      <c r="EX7" s="957"/>
      <c r="EY7" s="957"/>
      <c r="EZ7" s="957"/>
      <c r="FA7" s="957"/>
      <c r="FB7" s="957"/>
      <c r="FC7" s="957"/>
      <c r="FD7" s="957"/>
      <c r="FE7" s="957"/>
      <c r="FF7" s="957"/>
      <c r="FG7" s="957"/>
      <c r="FH7" s="957"/>
      <c r="FI7" s="957"/>
      <c r="FJ7" s="957"/>
      <c r="FK7" s="957"/>
      <c r="FL7" s="957"/>
      <c r="FM7" s="957"/>
      <c r="FN7" s="957"/>
      <c r="FO7" s="957"/>
      <c r="FP7" s="957"/>
      <c r="FQ7" s="957"/>
      <c r="FR7" s="957"/>
      <c r="FS7" s="957"/>
      <c r="FT7" s="957"/>
      <c r="FU7" s="957"/>
      <c r="FV7" s="957"/>
      <c r="FW7" s="957"/>
      <c r="GC7" s="955">
        <v>10</v>
      </c>
    </row>
    <row s="957" customFormat="1" customHeight="1" ht="11.25" hidden="1">
      <c r="B8" s="958"/>
      <c r="F8" s="1080"/>
      <c r="G8" s="787"/>
      <c r="H8" s="384"/>
      <c r="I8" s="384"/>
      <c r="J8" s="384"/>
      <c r="K8" s="384"/>
      <c r="L8" s="384"/>
      <c r="M8" s="1080"/>
      <c r="N8" s="1080"/>
      <c r="O8" s="2474" t="s">
        <v>1407</v>
      </c>
      <c r="P8" s="2475"/>
      <c r="Q8" s="2475"/>
      <c r="R8" s="2475"/>
      <c r="S8" s="2475"/>
      <c r="T8" s="2475"/>
      <c r="U8" s="2475"/>
      <c r="V8" s="2475"/>
      <c r="W8" s="2475"/>
      <c r="X8" s="2475"/>
      <c r="Y8" s="2475"/>
      <c r="Z8" s="2475"/>
      <c r="AA8" s="2475"/>
      <c r="AB8" s="2475"/>
      <c r="AC8" s="2475"/>
      <c r="AD8" s="2475"/>
      <c r="AE8" s="2475"/>
      <c r="AF8" s="2475"/>
      <c r="AG8" s="2475"/>
      <c r="AH8" s="2475"/>
      <c r="AI8" s="2475"/>
      <c r="AJ8" s="2475"/>
      <c r="AK8" s="2475"/>
      <c r="AL8" s="2475"/>
      <c r="AM8" s="2475"/>
      <c r="AN8" s="2475"/>
      <c r="AO8" s="2475"/>
      <c r="AP8" s="2475"/>
      <c r="AQ8" s="2475"/>
      <c r="AR8" s="2475"/>
      <c r="AS8" s="2475"/>
      <c r="AT8" s="2475"/>
      <c r="AU8" s="2475"/>
      <c r="AV8" s="2475"/>
      <c r="AW8" s="2475"/>
      <c r="AX8" s="2475"/>
      <c r="AY8" s="2475"/>
      <c r="AZ8" s="2475"/>
      <c r="BA8" s="2475"/>
      <c r="BB8" s="2475"/>
      <c r="BC8" s="2475"/>
      <c r="BD8" s="2475"/>
      <c r="BE8" s="2475"/>
      <c r="BF8" s="2475"/>
      <c r="BG8" s="2475"/>
      <c r="BH8" s="2475"/>
      <c r="BI8" s="2475"/>
      <c r="BJ8" s="2475"/>
      <c r="BK8" s="2475"/>
      <c r="BL8" s="2475"/>
      <c r="BM8" s="2475"/>
      <c r="BN8" s="2475"/>
      <c r="BO8" s="2475"/>
      <c r="BP8" s="2475"/>
      <c r="BQ8" s="2475"/>
      <c r="BR8" s="2475"/>
      <c r="BS8" s="2476"/>
      <c r="BT8" s="2463"/>
      <c r="BU8" s="2464"/>
      <c r="BV8" s="2464"/>
      <c r="BW8" s="2464"/>
      <c r="BX8" s="2464"/>
      <c r="BY8" s="2464"/>
      <c r="BZ8" s="2464"/>
      <c r="CA8" s="2464"/>
      <c r="CB8" s="2464"/>
      <c r="CC8" s="2464"/>
      <c r="CD8" s="2464"/>
      <c r="CE8" s="2464"/>
      <c r="CF8" s="2464"/>
      <c r="CG8" s="2464"/>
      <c r="CH8" s="2464"/>
      <c r="CI8" s="2464"/>
      <c r="CJ8" s="2464"/>
      <c r="CK8" s="2464"/>
      <c r="CL8" s="2464"/>
      <c r="CM8" s="2464"/>
      <c r="CN8" s="2464"/>
      <c r="CO8" s="2464"/>
      <c r="CP8" s="2464"/>
      <c r="CQ8" s="2464"/>
      <c r="CR8" s="2464"/>
      <c r="CS8" s="2464"/>
      <c r="CT8" s="2464"/>
      <c r="CU8" s="2464"/>
      <c r="CV8" s="2464"/>
      <c r="CW8" s="2464"/>
      <c r="CX8" s="2465"/>
      <c r="CY8" s="2466"/>
      <c r="CZ8" s="2467"/>
      <c r="DA8" s="2467"/>
      <c r="DB8" s="2467"/>
      <c r="DC8" s="2467"/>
      <c r="DD8" s="2467"/>
      <c r="DE8" s="2467"/>
      <c r="DF8" s="2467"/>
      <c r="DG8" s="2467"/>
      <c r="DH8" s="2467"/>
      <c r="DI8" s="2467"/>
      <c r="DJ8" s="2467"/>
      <c r="DK8" s="2467"/>
      <c r="DL8" s="2467"/>
      <c r="DM8" s="2467"/>
      <c r="DN8" s="2467"/>
      <c r="DO8" s="2467"/>
      <c r="DP8" s="2467"/>
      <c r="DQ8" s="2467"/>
      <c r="DR8" s="2467"/>
      <c r="DS8" s="2467"/>
      <c r="DT8" s="2467"/>
      <c r="DU8" s="2467"/>
      <c r="DV8" s="2467"/>
      <c r="DW8" s="2467"/>
      <c r="DX8" s="2468"/>
      <c r="DY8" s="2469" t="s">
        <v>1408</v>
      </c>
      <c r="DZ8" s="2470"/>
      <c r="EA8" s="2470"/>
      <c r="EB8" s="2470"/>
      <c r="EC8" s="2470"/>
      <c r="ED8" s="2470"/>
      <c r="EE8" s="2470"/>
      <c r="EF8" s="2470"/>
      <c r="EG8" s="2470"/>
      <c r="EH8" s="2470"/>
      <c r="EI8" s="2470"/>
      <c r="EJ8" s="2470"/>
      <c r="EK8" s="2470"/>
      <c r="EL8" s="2470"/>
      <c r="EM8" s="2470"/>
      <c r="EN8" s="2470"/>
      <c r="EO8" s="2470"/>
      <c r="EP8" s="2470"/>
      <c r="EQ8" s="2470"/>
      <c r="ER8" s="2470"/>
      <c r="ES8" s="2470"/>
      <c r="ET8" s="2470"/>
      <c r="EU8" s="2470"/>
      <c r="EV8" s="2470"/>
      <c r="EW8" s="2470"/>
      <c r="EX8" s="2470"/>
      <c r="EY8" s="2470"/>
      <c r="EZ8" s="2470"/>
      <c r="FA8" s="2470"/>
      <c r="FB8" s="2470"/>
      <c r="FC8" s="2470"/>
      <c r="FD8" s="2470"/>
      <c r="FE8" s="2470"/>
      <c r="FF8" s="2470"/>
      <c r="FG8" s="2470"/>
      <c r="FH8" s="2470"/>
      <c r="FI8" s="2470"/>
      <c r="FJ8" s="2470"/>
      <c r="FK8" s="2470"/>
      <c r="FL8" s="2470"/>
      <c r="FM8" s="2470"/>
      <c r="FN8" s="2470"/>
      <c r="FO8" s="2470"/>
      <c r="FP8" s="2470"/>
      <c r="FQ8" s="2470"/>
      <c r="FR8" s="2470"/>
      <c r="FS8" s="2470"/>
      <c r="FT8" s="2470"/>
      <c r="FU8" s="2470"/>
      <c r="FV8" s="2470"/>
      <c r="FW8" s="2471"/>
      <c r="FX8" s="1080"/>
      <c r="GC8" s="957">
        <v>0</v>
      </c>
    </row>
    <row s="957" customFormat="1" customHeight="1" ht="11.25" hidden="1">
      <c r="B9" s="958"/>
      <c r="F9" s="1080"/>
      <c r="G9" s="787"/>
      <c r="H9" s="384"/>
      <c r="I9" s="384"/>
      <c r="J9" s="384"/>
      <c r="K9" s="384"/>
      <c r="L9" s="384"/>
      <c r="M9" s="1080"/>
      <c r="N9" s="1080"/>
      <c r="O9" s="1080"/>
      <c r="P9" s="1080"/>
      <c r="Q9" s="1080"/>
      <c r="R9" s="1080"/>
      <c r="S9" s="1080"/>
      <c r="T9" s="1080"/>
      <c r="U9" s="1080"/>
      <c r="V9" s="1080"/>
      <c r="W9" s="1080"/>
      <c r="X9" s="1080"/>
      <c r="Y9" s="1080"/>
      <c r="Z9" s="1080"/>
      <c r="AA9" s="1080"/>
      <c r="AB9" s="1080"/>
      <c r="AC9" s="1080"/>
      <c r="AD9" s="1080"/>
      <c r="AE9" s="1080"/>
      <c r="AF9" s="1080"/>
      <c r="AG9" s="1080"/>
      <c r="AH9" s="1080"/>
      <c r="AI9" s="1080"/>
      <c r="AJ9" s="1080"/>
      <c r="AK9" s="1080"/>
      <c r="AL9" s="1080"/>
      <c r="AM9" s="1080"/>
      <c r="AN9" s="1080"/>
      <c r="AO9" s="1080"/>
      <c r="AP9" s="1080"/>
      <c r="AQ9" s="1080"/>
      <c r="AR9" s="1080"/>
      <c r="AS9" s="1080"/>
      <c r="AT9" s="1080"/>
      <c r="AU9" s="1080"/>
      <c r="AV9" s="1080"/>
      <c r="AW9" s="1080"/>
      <c r="AX9" s="1080"/>
      <c r="AY9" s="1080"/>
      <c r="AZ9" s="1080"/>
      <c r="BA9" s="1080"/>
      <c r="BB9" s="1080"/>
      <c r="BC9" s="1080"/>
      <c r="BD9" s="1080"/>
      <c r="BE9" s="1080"/>
      <c r="BF9" s="1080"/>
      <c r="BG9" s="1080"/>
      <c r="BH9" s="1080"/>
      <c r="BI9" s="1080"/>
      <c r="BJ9" s="1080"/>
      <c r="BK9" s="1080"/>
      <c r="BL9" s="1080"/>
      <c r="BM9" s="1080"/>
      <c r="BN9" s="1080"/>
      <c r="BO9" s="1080"/>
      <c r="BP9" s="1080"/>
      <c r="BQ9" s="1080"/>
      <c r="BR9" s="1080"/>
      <c r="BS9" s="1080"/>
      <c r="BT9" s="1080"/>
      <c r="BU9" s="1080"/>
      <c r="BV9" s="1080"/>
      <c r="BW9" s="1080"/>
      <c r="BX9" s="1080"/>
      <c r="BY9" s="1080"/>
      <c r="BZ9" s="1080"/>
      <c r="CA9" s="1080"/>
      <c r="CB9" s="1080"/>
      <c r="CC9" s="1080"/>
      <c r="CD9" s="1080"/>
      <c r="CE9" s="1080"/>
      <c r="CF9" s="1080"/>
      <c r="CG9" s="1080"/>
      <c r="CH9" s="1080"/>
      <c r="CI9" s="1080"/>
      <c r="CJ9" s="1080"/>
      <c r="CK9" s="1080"/>
      <c r="CL9" s="1080"/>
      <c r="CM9" s="1080"/>
      <c r="CN9" s="1080"/>
      <c r="CO9" s="1080"/>
      <c r="CP9" s="1080"/>
      <c r="CQ9" s="1080"/>
      <c r="CR9" s="1080"/>
      <c r="CS9" s="1080"/>
      <c r="CT9" s="1080"/>
      <c r="CU9" s="1080"/>
      <c r="CV9" s="1080"/>
      <c r="CW9" s="1080"/>
      <c r="CX9" s="1080"/>
      <c r="CY9" s="1080"/>
      <c r="CZ9" s="1080"/>
      <c r="DA9" s="1080"/>
      <c r="DB9" s="1080"/>
      <c r="DC9" s="1080"/>
      <c r="DD9" s="1080"/>
      <c r="DE9" s="1080"/>
      <c r="DF9" s="1080"/>
      <c r="DG9" s="1080"/>
      <c r="DH9" s="1080"/>
      <c r="DI9" s="1080"/>
      <c r="DJ9" s="1080"/>
      <c r="DK9" s="1080"/>
      <c r="DL9" s="1080"/>
      <c r="DM9" s="1080"/>
      <c r="DN9" s="1080"/>
      <c r="DO9" s="1080"/>
      <c r="DP9" s="1080"/>
      <c r="DQ9" s="1080"/>
      <c r="DR9" s="1080"/>
      <c r="DS9" s="1080"/>
      <c r="DT9" s="1080"/>
      <c r="DU9" s="1080"/>
      <c r="DV9" s="1080"/>
      <c r="DW9" s="1080"/>
      <c r="DX9" s="1080"/>
      <c r="DY9" s="1080"/>
      <c r="DZ9" s="1080"/>
      <c r="EA9" s="1080"/>
      <c r="EB9" s="1080"/>
      <c r="EC9" s="1080"/>
      <c r="ED9" s="1080"/>
      <c r="EE9" s="1080"/>
      <c r="EF9" s="1080"/>
      <c r="EG9" s="1080"/>
      <c r="EH9" s="1080"/>
      <c r="EI9" s="1080"/>
      <c r="EJ9" s="1080"/>
      <c r="EK9" s="1080"/>
      <c r="EL9" s="1080"/>
      <c r="EM9" s="1080"/>
      <c r="EN9" s="1080"/>
      <c r="EO9" s="1080"/>
      <c r="EP9" s="1080"/>
      <c r="EQ9" s="1080"/>
      <c r="ER9" s="1080"/>
      <c r="ES9" s="1080"/>
      <c r="ET9" s="1080"/>
      <c r="EU9" s="1080"/>
      <c r="EV9" s="1080"/>
      <c r="EW9" s="1080"/>
      <c r="EX9" s="1080"/>
      <c r="EY9" s="1080"/>
      <c r="EZ9" s="1080"/>
      <c r="FA9" s="1080"/>
      <c r="FB9" s="1080"/>
      <c r="FC9" s="1080"/>
      <c r="FD9" s="1080"/>
      <c r="FE9" s="1080"/>
      <c r="FF9" s="1080"/>
      <c r="FG9" s="1080"/>
      <c r="FH9" s="1080"/>
      <c r="FI9" s="1080"/>
      <c r="FJ9" s="1080"/>
      <c r="FK9" s="1080"/>
      <c r="FL9" s="1080"/>
      <c r="FM9" s="1080"/>
      <c r="FN9" s="1080"/>
      <c r="FO9" s="1080"/>
      <c r="FP9" s="1080"/>
      <c r="FQ9" s="1080"/>
      <c r="FR9" s="1080"/>
      <c r="FS9" s="1080"/>
      <c r="FT9" s="1080"/>
      <c r="FU9" s="1080"/>
      <c r="FV9" s="1080"/>
      <c r="FW9" s="2472"/>
      <c r="FX9" s="1080"/>
      <c r="GC9" s="957">
        <v>0</v>
      </c>
    </row>
    <row s="957" customFormat="1" customHeight="1" ht="11.549999999999999">
      <c r="B10" s="958"/>
      <c r="F10" s="2453" t="s">
        <v>384</v>
      </c>
      <c r="G10" s="2454"/>
      <c r="H10" s="2454"/>
      <c r="I10" s="2454"/>
      <c r="J10" s="2454"/>
      <c r="K10" s="2454"/>
      <c r="L10" s="2454"/>
      <c r="M10" s="2454"/>
      <c r="N10" s="2454"/>
      <c r="O10" s="2454"/>
      <c r="P10" s="2454"/>
      <c r="Q10" s="2454"/>
      <c r="R10" s="2454"/>
      <c r="S10" s="2454"/>
      <c r="T10" s="2454"/>
      <c r="U10" s="2454"/>
      <c r="V10" s="2454"/>
      <c r="W10" s="2454"/>
      <c r="X10" s="2454"/>
      <c r="Y10" s="2454"/>
      <c r="Z10" s="2454"/>
      <c r="AA10" s="2454"/>
      <c r="AB10" s="2454"/>
      <c r="AC10" s="2454"/>
      <c r="AD10" s="2454"/>
      <c r="AE10" s="2454"/>
      <c r="AF10" s="2454"/>
      <c r="AG10" s="2454"/>
      <c r="AH10" s="2454"/>
      <c r="AI10" s="2454"/>
      <c r="AJ10" s="2454"/>
      <c r="AK10" s="2454"/>
      <c r="AL10" s="2454"/>
      <c r="AM10" s="2454"/>
      <c r="AN10" s="2454"/>
      <c r="AO10" s="2454"/>
      <c r="AP10" s="2454"/>
      <c r="AQ10" s="2454"/>
      <c r="AR10" s="2454"/>
      <c r="AS10" s="2454"/>
      <c r="AT10" s="2454"/>
      <c r="AU10" s="2454"/>
      <c r="AV10" s="2454"/>
      <c r="AW10" s="2454"/>
      <c r="AX10" s="2454"/>
      <c r="AY10" s="2454"/>
      <c r="AZ10" s="2454"/>
      <c r="BA10" s="2454"/>
      <c r="BB10" s="2454"/>
      <c r="BC10" s="2454"/>
      <c r="BD10" s="2454"/>
      <c r="BE10" s="2454"/>
      <c r="BF10" s="2454"/>
      <c r="BG10" s="2454"/>
      <c r="BH10" s="2454"/>
      <c r="BI10" s="2454"/>
      <c r="BJ10" s="2454"/>
      <c r="BK10" s="2454"/>
      <c r="BL10" s="2454"/>
      <c r="BM10" s="2454"/>
      <c r="BN10" s="2454"/>
      <c r="BO10" s="2454"/>
      <c r="BP10" s="2454"/>
      <c r="BQ10" s="2454"/>
      <c r="BR10" s="2454"/>
      <c r="BS10" s="2454"/>
      <c r="BT10" s="2454"/>
      <c r="BU10" s="2454"/>
      <c r="BV10" s="2454"/>
      <c r="BW10" s="2454"/>
      <c r="BX10" s="2454"/>
      <c r="BY10" s="2454"/>
      <c r="BZ10" s="2454"/>
      <c r="CA10" s="2454"/>
      <c r="CB10" s="2454"/>
      <c r="CC10" s="2454"/>
      <c r="CD10" s="2454"/>
      <c r="CE10" s="2454"/>
      <c r="CF10" s="2454"/>
      <c r="CG10" s="2454"/>
      <c r="CH10" s="2454"/>
      <c r="CI10" s="2454"/>
      <c r="CJ10" s="2454"/>
      <c r="CK10" s="2454"/>
      <c r="CL10" s="2454"/>
      <c r="CM10" s="2454"/>
      <c r="CN10" s="2454"/>
      <c r="CO10" s="2454"/>
      <c r="CP10" s="2454"/>
      <c r="CQ10" s="2454"/>
      <c r="CR10" s="2454"/>
      <c r="CS10" s="2454"/>
      <c r="CT10" s="2454"/>
      <c r="CU10" s="2454"/>
      <c r="CV10" s="2454"/>
      <c r="CW10" s="2454"/>
      <c r="CX10" s="2454"/>
      <c r="CY10" s="2454"/>
      <c r="CZ10" s="2454"/>
      <c r="DA10" s="2454"/>
      <c r="DB10" s="2454"/>
      <c r="DC10" s="2454"/>
      <c r="DD10" s="2454"/>
      <c r="DE10" s="2454"/>
      <c r="DF10" s="2454"/>
      <c r="DG10" s="2454"/>
      <c r="DH10" s="2454"/>
      <c r="DI10" s="2454"/>
      <c r="DJ10" s="2454"/>
      <c r="DK10" s="2454"/>
      <c r="DL10" s="2454"/>
      <c r="DM10" s="2454"/>
      <c r="DN10" s="2454"/>
      <c r="DO10" s="2454"/>
      <c r="DP10" s="2454"/>
      <c r="DQ10" s="2454"/>
      <c r="DR10" s="2454"/>
      <c r="DS10" s="2454"/>
      <c r="DT10" s="2454"/>
      <c r="DU10" s="2454"/>
      <c r="DV10" s="2454"/>
      <c r="DW10" s="2454"/>
      <c r="DX10" s="2454"/>
      <c r="DY10" s="2454"/>
      <c r="DZ10" s="2454"/>
      <c r="EA10" s="2454"/>
      <c r="EB10" s="2454"/>
      <c r="EC10" s="2454"/>
      <c r="ED10" s="2454"/>
      <c r="EE10" s="2454"/>
      <c r="EF10" s="2454"/>
      <c r="EG10" s="2454"/>
      <c r="EH10" s="2454"/>
      <c r="EI10" s="2454"/>
      <c r="EJ10" s="2454"/>
      <c r="EK10" s="2454"/>
      <c r="EL10" s="2454"/>
      <c r="EM10" s="2454"/>
      <c r="EN10" s="2454"/>
      <c r="EO10" s="2454"/>
      <c r="EP10" s="2454"/>
      <c r="EQ10" s="2454"/>
      <c r="ER10" s="2454"/>
      <c r="ES10" s="2454"/>
      <c r="ET10" s="2454"/>
      <c r="EU10" s="2454"/>
      <c r="EV10" s="2454"/>
      <c r="EW10" s="2454"/>
      <c r="EX10" s="2454"/>
      <c r="EY10" s="2454"/>
      <c r="EZ10" s="2454"/>
      <c r="FA10" s="2454"/>
      <c r="FB10" s="2454"/>
      <c r="FC10" s="2454"/>
      <c r="FD10" s="2454"/>
      <c r="FE10" s="2454"/>
      <c r="FF10" s="2454"/>
      <c r="FG10" s="2454"/>
      <c r="FH10" s="2454"/>
      <c r="FI10" s="2454"/>
      <c r="FJ10" s="2454"/>
      <c r="FK10" s="2454"/>
      <c r="FL10" s="2454"/>
      <c r="FM10" s="2454"/>
      <c r="FN10" s="2454"/>
      <c r="FO10" s="2454"/>
      <c r="FP10" s="2454"/>
      <c r="FQ10" s="2454"/>
      <c r="FR10" s="2454"/>
      <c r="FS10" s="2454"/>
      <c r="FT10" s="2454"/>
      <c r="FU10" s="2454"/>
      <c r="FV10" s="2455"/>
      <c r="FW10" s="2472"/>
      <c r="FX10" s="1080"/>
      <c r="GC10" s="957">
        <v>11</v>
      </c>
    </row>
    <row customHeight="1" ht="12.75">
      <c r="E11" s="961"/>
      <c r="F11" s="2229" t="s">
        <v>88</v>
      </c>
      <c r="G11" s="2229" t="s">
        <v>1409</v>
      </c>
      <c r="H11" s="2461" t="s">
        <v>1410</v>
      </c>
      <c r="I11" s="2461" t="s">
        <v>1411</v>
      </c>
      <c r="J11" s="2462"/>
      <c r="K11" s="2462"/>
      <c r="L11" s="2462"/>
      <c r="M11" s="2462"/>
      <c r="N11" s="2462"/>
      <c r="O11" s="2233" t="s">
        <v>1412</v>
      </c>
      <c r="P11" s="2233"/>
      <c r="Q11" s="2233"/>
      <c r="R11" s="2233"/>
      <c r="S11" s="2233"/>
      <c r="T11" s="2233"/>
      <c r="U11" s="2233"/>
      <c r="V11" s="2233"/>
      <c r="W11" s="2233"/>
      <c r="X11" s="2233"/>
      <c r="Y11" s="2233"/>
      <c r="Z11" s="2233"/>
      <c r="AA11" s="2233"/>
      <c r="AB11" s="2233"/>
      <c r="AC11" s="2458"/>
      <c r="AD11" s="2458"/>
      <c r="AE11" s="2458"/>
      <c r="AF11" s="2458"/>
      <c r="AG11" s="2458"/>
      <c r="AH11" s="2458"/>
      <c r="AI11" s="2458"/>
      <c r="AJ11" s="2458"/>
      <c r="AK11" s="2458"/>
      <c r="AL11" s="2458"/>
      <c r="AM11" s="2458"/>
      <c r="AN11" s="2458"/>
      <c r="AO11" s="2458"/>
      <c r="AP11" s="2458"/>
      <c r="AQ11" s="2458"/>
      <c r="AR11" s="2458"/>
      <c r="AS11" s="2458"/>
      <c r="AT11" s="2458"/>
      <c r="AU11" s="2458"/>
      <c r="AV11" s="2458"/>
      <c r="AW11" s="2458"/>
      <c r="AX11" s="2458"/>
      <c r="AY11" s="2458"/>
      <c r="AZ11" s="2458"/>
      <c r="BA11" s="2458"/>
      <c r="BB11" s="2458"/>
      <c r="BC11" s="2458"/>
      <c r="BD11" s="2458"/>
      <c r="BE11" s="2458"/>
      <c r="BF11" s="2458"/>
      <c r="BG11" s="2458"/>
      <c r="BH11" s="2458"/>
      <c r="BI11" s="2458"/>
      <c r="BJ11" s="2458"/>
      <c r="BK11" s="2458"/>
      <c r="BL11" s="2458"/>
      <c r="BM11" s="2458"/>
      <c r="BN11" s="2458"/>
      <c r="BO11" s="2458"/>
      <c r="BP11" s="2458"/>
      <c r="BQ11" s="2458"/>
      <c r="BR11" s="2458"/>
      <c r="BS11" s="2477"/>
      <c r="BT11" s="2410" t="s">
        <v>1412</v>
      </c>
      <c r="BU11" s="2411"/>
      <c r="BV11" s="2411"/>
      <c r="BW11" s="2411"/>
      <c r="BX11" s="2411"/>
      <c r="BY11" s="2411"/>
      <c r="BZ11" s="2411"/>
      <c r="CA11" s="2411"/>
      <c r="CB11" s="2411"/>
      <c r="CC11" s="2411"/>
      <c r="CD11" s="2411"/>
      <c r="CE11" s="2411"/>
      <c r="CF11" s="2411"/>
      <c r="CG11" s="2411"/>
      <c r="CH11" s="2411"/>
      <c r="CI11" s="2411"/>
      <c r="CJ11" s="2411"/>
      <c r="CK11" s="2457"/>
      <c r="CL11" s="2460"/>
      <c r="CM11" s="2458"/>
      <c r="CN11" s="2458"/>
      <c r="CO11" s="2458"/>
      <c r="CP11" s="2458"/>
      <c r="CQ11" s="2458"/>
      <c r="CR11" s="2458"/>
      <c r="CS11" s="2458"/>
      <c r="CT11" s="2458"/>
      <c r="CU11" s="2458"/>
      <c r="CV11" s="2458"/>
      <c r="CW11" s="2458"/>
      <c r="CX11" s="2477"/>
      <c r="CY11" s="2410" t="s">
        <v>1412</v>
      </c>
      <c r="CZ11" s="2411"/>
      <c r="DA11" s="2411"/>
      <c r="DB11" s="2411"/>
      <c r="DC11" s="2411"/>
      <c r="DD11" s="2411"/>
      <c r="DE11" s="2411"/>
      <c r="DF11" s="2411"/>
      <c r="DG11" s="2411"/>
      <c r="DH11" s="2411"/>
      <c r="DI11" s="2411"/>
      <c r="DJ11" s="2457"/>
      <c r="DK11" s="2460"/>
      <c r="DL11" s="2458"/>
      <c r="DM11" s="2458"/>
      <c r="DN11" s="2458"/>
      <c r="DO11" s="2458"/>
      <c r="DP11" s="2458"/>
      <c r="DQ11" s="2458"/>
      <c r="DR11" s="2458"/>
      <c r="DS11" s="2458"/>
      <c r="DT11" s="2458"/>
      <c r="DU11" s="2458"/>
      <c r="DV11" s="2458"/>
      <c r="DW11" s="2458"/>
      <c r="DX11" s="2458"/>
      <c r="DY11" s="2458"/>
      <c r="DZ11" s="2458"/>
      <c r="EA11" s="2458"/>
      <c r="EB11" s="2458"/>
      <c r="EC11" s="2458"/>
      <c r="ED11" s="2458"/>
      <c r="EE11" s="2458"/>
      <c r="EF11" s="2458"/>
      <c r="EG11" s="2458"/>
      <c r="EH11" s="2458"/>
      <c r="EI11" s="2458"/>
      <c r="EJ11" s="2458"/>
      <c r="EK11" s="2458"/>
      <c r="EL11" s="2458"/>
      <c r="EM11" s="2458"/>
      <c r="EN11" s="2458"/>
      <c r="EO11" s="2458"/>
      <c r="EP11" s="2458"/>
      <c r="EQ11" s="2458"/>
      <c r="ER11" s="2458"/>
      <c r="ES11" s="2458"/>
      <c r="ET11" s="2458"/>
      <c r="EU11" s="2458"/>
      <c r="EV11" s="2458"/>
      <c r="EW11" s="2458"/>
      <c r="EX11" s="2458"/>
      <c r="EY11" s="2458"/>
      <c r="EZ11" s="2458"/>
      <c r="FA11" s="2458"/>
      <c r="FB11" s="2458"/>
      <c r="FC11" s="2458"/>
      <c r="FD11" s="2458"/>
      <c r="FE11" s="2458"/>
      <c r="FF11" s="2458"/>
      <c r="FG11" s="2458"/>
      <c r="FH11" s="2458"/>
      <c r="FI11" s="2458"/>
      <c r="FJ11" s="2458"/>
      <c r="FK11" s="2458"/>
      <c r="FL11" s="2458"/>
      <c r="FM11" s="2458"/>
      <c r="FN11" s="2458"/>
      <c r="FO11" s="2458"/>
      <c r="FP11" s="2458"/>
      <c r="FQ11" s="2458"/>
      <c r="FR11" s="2458"/>
      <c r="FS11" s="2458"/>
      <c r="FT11" s="2458"/>
      <c r="FU11" s="2458"/>
      <c r="FV11" s="2458"/>
      <c r="FW11" s="2472"/>
      <c r="FX11" s="786"/>
      <c r="GC11" s="950">
        <v>12</v>
      </c>
    </row>
    <row customHeight="1" ht="12.75">
      <c r="D12" s="962"/>
      <c r="E12" s="961"/>
      <c r="F12" s="2229"/>
      <c r="G12" s="2229"/>
      <c r="H12" s="2461"/>
      <c r="I12" s="2461"/>
      <c r="J12" s="2462"/>
      <c r="K12" s="2462"/>
      <c r="L12" s="2462"/>
      <c r="M12" s="2462"/>
      <c r="N12" s="2462"/>
      <c r="O12" s="2233" t="s">
        <v>1413</v>
      </c>
      <c r="P12" s="2233"/>
      <c r="Q12" s="2233"/>
      <c r="R12" s="2233"/>
      <c r="S12" s="2233" t="s">
        <v>1414</v>
      </c>
      <c r="T12" s="2233"/>
      <c r="U12" s="2233"/>
      <c r="V12" s="2233"/>
      <c r="W12" s="2233"/>
      <c r="X12" s="2233"/>
      <c r="Y12" s="2233"/>
      <c r="Z12" s="2233"/>
      <c r="AA12" s="2233"/>
      <c r="AB12" s="2233"/>
      <c r="AC12" s="2458"/>
      <c r="AD12" s="2458"/>
      <c r="AE12" s="2458"/>
      <c r="AF12" s="2458"/>
      <c r="AG12" s="2458"/>
      <c r="AH12" s="2458"/>
      <c r="AI12" s="2458"/>
      <c r="AJ12" s="2458"/>
      <c r="AK12" s="2458"/>
      <c r="AL12" s="2458"/>
      <c r="AM12" s="2458"/>
      <c r="AN12" s="2458"/>
      <c r="AO12" s="2458"/>
      <c r="AP12" s="2458"/>
      <c r="AQ12" s="2458"/>
      <c r="AR12" s="2458"/>
      <c r="AS12" s="2458"/>
      <c r="AT12" s="2458"/>
      <c r="AU12" s="2458"/>
      <c r="AV12" s="2458"/>
      <c r="AW12" s="2458"/>
      <c r="AX12" s="2458"/>
      <c r="AY12" s="2458"/>
      <c r="AZ12" s="2458"/>
      <c r="BA12" s="2458"/>
      <c r="BB12" s="2458"/>
      <c r="BC12" s="2458"/>
      <c r="BD12" s="2458"/>
      <c r="BE12" s="2458"/>
      <c r="BF12" s="2458"/>
      <c r="BG12" s="2458"/>
      <c r="BH12" s="2458"/>
      <c r="BI12" s="2458"/>
      <c r="BJ12" s="2458"/>
      <c r="BK12" s="2458"/>
      <c r="BL12" s="2458"/>
      <c r="BM12" s="2458"/>
      <c r="BN12" s="2458"/>
      <c r="BO12" s="2458"/>
      <c r="BP12" s="2458"/>
      <c r="BQ12" s="2458"/>
      <c r="BR12" s="2458"/>
      <c r="BS12" s="2477"/>
      <c r="BT12" s="2410" t="s">
        <v>1415</v>
      </c>
      <c r="BU12" s="2411"/>
      <c r="BV12" s="2411"/>
      <c r="BW12" s="2457"/>
      <c r="BX12" s="2410" t="s">
        <v>1416</v>
      </c>
      <c r="BY12" s="2411"/>
      <c r="BZ12" s="2411"/>
      <c r="CA12" s="2457"/>
      <c r="CB12" s="2410" t="s">
        <v>1417</v>
      </c>
      <c r="CC12" s="2457"/>
      <c r="CD12" s="2410" t="s">
        <v>1418</v>
      </c>
      <c r="CE12" s="2411"/>
      <c r="CF12" s="2411"/>
      <c r="CG12" s="2411"/>
      <c r="CH12" s="2411"/>
      <c r="CI12" s="2411"/>
      <c r="CJ12" s="2411"/>
      <c r="CK12" s="2457"/>
      <c r="CL12" s="2460"/>
      <c r="CM12" s="2458"/>
      <c r="CN12" s="2458"/>
      <c r="CO12" s="2458"/>
      <c r="CP12" s="2458"/>
      <c r="CQ12" s="2458"/>
      <c r="CR12" s="2458"/>
      <c r="CS12" s="2458"/>
      <c r="CT12" s="2458"/>
      <c r="CU12" s="2458"/>
      <c r="CV12" s="2458"/>
      <c r="CW12" s="2458"/>
      <c r="CX12" s="2477"/>
      <c r="CY12" s="2410" t="s">
        <v>1419</v>
      </c>
      <c r="CZ12" s="2411"/>
      <c r="DA12" s="2411"/>
      <c r="DB12" s="2411"/>
      <c r="DC12" s="2411"/>
      <c r="DD12" s="2457"/>
      <c r="DE12" s="2410" t="s">
        <v>1420</v>
      </c>
      <c r="DF12" s="2457"/>
      <c r="DG12" s="2410" t="s">
        <v>1418</v>
      </c>
      <c r="DH12" s="2411"/>
      <c r="DI12" s="2411"/>
      <c r="DJ12" s="2457"/>
      <c r="DK12" s="2460"/>
      <c r="DL12" s="2458"/>
      <c r="DM12" s="2458"/>
      <c r="DN12" s="2458"/>
      <c r="DO12" s="2458"/>
      <c r="DP12" s="2458"/>
      <c r="DQ12" s="2458"/>
      <c r="DR12" s="2458"/>
      <c r="DS12" s="2458"/>
      <c r="DT12" s="2458"/>
      <c r="DU12" s="2458"/>
      <c r="DV12" s="2458"/>
      <c r="DW12" s="2458"/>
      <c r="DX12" s="2458"/>
      <c r="DY12" s="2458"/>
      <c r="DZ12" s="2458"/>
      <c r="EA12" s="2458"/>
      <c r="EB12" s="2458"/>
      <c r="EC12" s="2458"/>
      <c r="ED12" s="2458"/>
      <c r="EE12" s="2458"/>
      <c r="EF12" s="2458"/>
      <c r="EG12" s="2458"/>
      <c r="EH12" s="2458"/>
      <c r="EI12" s="2458"/>
      <c r="EJ12" s="2458"/>
      <c r="EK12" s="2458"/>
      <c r="EL12" s="2458"/>
      <c r="EM12" s="2458"/>
      <c r="EN12" s="2458"/>
      <c r="EO12" s="2458"/>
      <c r="EP12" s="2458"/>
      <c r="EQ12" s="2458"/>
      <c r="ER12" s="2458"/>
      <c r="ES12" s="2458"/>
      <c r="ET12" s="2458"/>
      <c r="EU12" s="2458"/>
      <c r="EV12" s="2458"/>
      <c r="EW12" s="2458"/>
      <c r="EX12" s="2458"/>
      <c r="EY12" s="2458"/>
      <c r="EZ12" s="2458"/>
      <c r="FA12" s="2458"/>
      <c r="FB12" s="2458"/>
      <c r="FC12" s="2458"/>
      <c r="FD12" s="2458"/>
      <c r="FE12" s="2458"/>
      <c r="FF12" s="2458"/>
      <c r="FG12" s="2458"/>
      <c r="FH12" s="2458"/>
      <c r="FI12" s="2458"/>
      <c r="FJ12" s="2458"/>
      <c r="FK12" s="2458"/>
      <c r="FL12" s="2458"/>
      <c r="FM12" s="2458"/>
      <c r="FN12" s="2458"/>
      <c r="FO12" s="2458"/>
      <c r="FP12" s="2458"/>
      <c r="FQ12" s="2458"/>
      <c r="FR12" s="2458"/>
      <c r="FS12" s="2458"/>
      <c r="FT12" s="2458"/>
      <c r="FU12" s="2458"/>
      <c r="FV12" s="2458"/>
      <c r="FW12" s="2472"/>
      <c r="FX12" s="786"/>
      <c r="GC12" s="950">
        <v>12</v>
      </c>
    </row>
    <row customHeight="1" ht="37.8">
      <c r="D13" s="962"/>
      <c r="E13" s="961"/>
      <c r="F13" s="2229"/>
      <c r="G13" s="2229"/>
      <c r="H13" s="2461"/>
      <c r="I13" s="2461"/>
      <c r="J13" s="2462"/>
      <c r="K13" s="2462"/>
      <c r="L13" s="2462"/>
      <c r="M13" s="2462"/>
      <c r="N13" s="2462"/>
      <c r="O13" s="2233" t="s">
        <v>1421</v>
      </c>
      <c r="P13" s="2233"/>
      <c r="Q13" s="2233"/>
      <c r="R13" s="2233"/>
      <c r="S13" s="2360" t="s">
        <v>1422</v>
      </c>
      <c r="T13" s="2412"/>
      <c r="U13" s="2151" t="s">
        <v>1423</v>
      </c>
      <c r="V13" s="2151"/>
      <c r="W13" s="2151"/>
      <c r="X13" s="2151"/>
      <c r="Y13" s="2151" t="s">
        <v>1424</v>
      </c>
      <c r="Z13" s="2151"/>
      <c r="AA13" s="2151"/>
      <c r="AB13" s="2151"/>
      <c r="AC13" s="2458"/>
      <c r="AD13" s="2458"/>
      <c r="AE13" s="2458"/>
      <c r="AF13" s="2458"/>
      <c r="AG13" s="2458"/>
      <c r="AH13" s="2458"/>
      <c r="AI13" s="2458"/>
      <c r="AJ13" s="2458"/>
      <c r="AK13" s="2458"/>
      <c r="AL13" s="2458"/>
      <c r="AM13" s="2458"/>
      <c r="AN13" s="2458"/>
      <c r="AO13" s="2458"/>
      <c r="AP13" s="2458"/>
      <c r="AQ13" s="2458"/>
      <c r="AR13" s="2458"/>
      <c r="AS13" s="2458"/>
      <c r="AT13" s="2458"/>
      <c r="AU13" s="2458"/>
      <c r="AV13" s="2458"/>
      <c r="AW13" s="2458"/>
      <c r="AX13" s="2458"/>
      <c r="AY13" s="2458"/>
      <c r="AZ13" s="2458"/>
      <c r="BA13" s="2458"/>
      <c r="BB13" s="2458"/>
      <c r="BC13" s="2458"/>
      <c r="BD13" s="2458"/>
      <c r="BE13" s="2458"/>
      <c r="BF13" s="2458"/>
      <c r="BG13" s="2458"/>
      <c r="BH13" s="2458"/>
      <c r="BI13" s="2458"/>
      <c r="BJ13" s="2458"/>
      <c r="BK13" s="2458"/>
      <c r="BL13" s="2458"/>
      <c r="BM13" s="2458"/>
      <c r="BN13" s="2458"/>
      <c r="BO13" s="2458"/>
      <c r="BP13" s="2458"/>
      <c r="BQ13" s="2458"/>
      <c r="BR13" s="2458"/>
      <c r="BS13" s="2477"/>
      <c r="BT13" s="2360" t="s">
        <v>1425</v>
      </c>
      <c r="BU13" s="2412"/>
      <c r="BV13" s="2360" t="s">
        <v>1426</v>
      </c>
      <c r="BW13" s="2412"/>
      <c r="BX13" s="2360" t="s">
        <v>1427</v>
      </c>
      <c r="BY13" s="2412"/>
      <c r="BZ13" s="2360" t="s">
        <v>1428</v>
      </c>
      <c r="CA13" s="2412"/>
      <c r="CB13" s="2360" t="s">
        <v>1429</v>
      </c>
      <c r="CC13" s="2412"/>
      <c r="CD13" s="2360" t="s">
        <v>1430</v>
      </c>
      <c r="CE13" s="2412"/>
      <c r="CF13" s="2360" t="s">
        <v>1431</v>
      </c>
      <c r="CG13" s="2412"/>
      <c r="CH13" s="2410" t="s">
        <v>1432</v>
      </c>
      <c r="CI13" s="2411"/>
      <c r="CJ13" s="2411"/>
      <c r="CK13" s="2457"/>
      <c r="CL13" s="2460"/>
      <c r="CM13" s="2458"/>
      <c r="CN13" s="2458"/>
      <c r="CO13" s="2458"/>
      <c r="CP13" s="2458"/>
      <c r="CQ13" s="2458"/>
      <c r="CR13" s="2458"/>
      <c r="CS13" s="2458"/>
      <c r="CT13" s="2458"/>
      <c r="CU13" s="2458"/>
      <c r="CV13" s="2458"/>
      <c r="CW13" s="2458"/>
      <c r="CX13" s="2477"/>
      <c r="CY13" s="2360" t="s">
        <v>1433</v>
      </c>
      <c r="CZ13" s="2412"/>
      <c r="DA13" s="2360" t="s">
        <v>1434</v>
      </c>
      <c r="DB13" s="2412"/>
      <c r="DC13" s="2360" t="s">
        <v>1435</v>
      </c>
      <c r="DD13" s="2412"/>
      <c r="DE13" s="2360" t="s">
        <v>1436</v>
      </c>
      <c r="DF13" s="2412"/>
      <c r="DG13" s="2410" t="s">
        <v>1437</v>
      </c>
      <c r="DH13" s="2411"/>
      <c r="DI13" s="2411"/>
      <c r="DJ13" s="2457"/>
      <c r="DK13" s="2460"/>
      <c r="DL13" s="2458"/>
      <c r="DM13" s="2458"/>
      <c r="DN13" s="2458"/>
      <c r="DO13" s="2458"/>
      <c r="DP13" s="2458"/>
      <c r="DQ13" s="2458"/>
      <c r="DR13" s="2458"/>
      <c r="DS13" s="2458"/>
      <c r="DT13" s="2458"/>
      <c r="DU13" s="2458"/>
      <c r="DV13" s="2458"/>
      <c r="DW13" s="2458"/>
      <c r="DX13" s="2458"/>
      <c r="DY13" s="2458"/>
      <c r="DZ13" s="2458"/>
      <c r="EA13" s="2458"/>
      <c r="EB13" s="2458"/>
      <c r="EC13" s="2458"/>
      <c r="ED13" s="2458"/>
      <c r="EE13" s="2458"/>
      <c r="EF13" s="2458"/>
      <c r="EG13" s="2458"/>
      <c r="EH13" s="2458"/>
      <c r="EI13" s="2458"/>
      <c r="EJ13" s="2458"/>
      <c r="EK13" s="2458"/>
      <c r="EL13" s="2458"/>
      <c r="EM13" s="2458"/>
      <c r="EN13" s="2458"/>
      <c r="EO13" s="2458"/>
      <c r="EP13" s="2458"/>
      <c r="EQ13" s="2458"/>
      <c r="ER13" s="2458"/>
      <c r="ES13" s="2458"/>
      <c r="ET13" s="2458"/>
      <c r="EU13" s="2458"/>
      <c r="EV13" s="2458"/>
      <c r="EW13" s="2458"/>
      <c r="EX13" s="2458"/>
      <c r="EY13" s="2458"/>
      <c r="EZ13" s="2458"/>
      <c r="FA13" s="2458"/>
      <c r="FB13" s="2458"/>
      <c r="FC13" s="2458"/>
      <c r="FD13" s="2458"/>
      <c r="FE13" s="2458"/>
      <c r="FF13" s="2458"/>
      <c r="FG13" s="2458"/>
      <c r="FH13" s="2458"/>
      <c r="FI13" s="2458"/>
      <c r="FJ13" s="2458"/>
      <c r="FK13" s="2458"/>
      <c r="FL13" s="2458"/>
      <c r="FM13" s="2458"/>
      <c r="FN13" s="2458"/>
      <c r="FO13" s="2458"/>
      <c r="FP13" s="2458"/>
      <c r="FQ13" s="2458"/>
      <c r="FR13" s="2458"/>
      <c r="FS13" s="2458"/>
      <c r="FT13" s="2458"/>
      <c r="FU13" s="2458"/>
      <c r="FV13" s="2458"/>
      <c r="FW13" s="2472"/>
      <c r="FX13" s="786"/>
      <c r="GC13" s="950">
        <v>36</v>
      </c>
    </row>
    <row customHeight="1" ht="37.8">
      <c r="D14" s="962"/>
      <c r="E14" s="961"/>
      <c r="F14" s="2229"/>
      <c r="G14" s="2229"/>
      <c r="H14" s="2461"/>
      <c r="I14" s="2461"/>
      <c r="J14" s="2462"/>
      <c r="K14" s="2462"/>
      <c r="L14" s="2462"/>
      <c r="M14" s="2462"/>
      <c r="N14" s="2462"/>
      <c r="O14" s="2360" t="s">
        <v>1438</v>
      </c>
      <c r="P14" s="2412"/>
      <c r="Q14" s="2360" t="s">
        <v>1439</v>
      </c>
      <c r="R14" s="2412"/>
      <c r="S14" s="2361"/>
      <c r="T14" s="2237"/>
      <c r="U14" s="2360" t="s">
        <v>933</v>
      </c>
      <c r="V14" s="2412"/>
      <c r="W14" s="2360" t="s">
        <v>936</v>
      </c>
      <c r="X14" s="2412"/>
      <c r="Y14" s="2360" t="s">
        <v>933</v>
      </c>
      <c r="Z14" s="2412"/>
      <c r="AA14" s="2360" t="s">
        <v>943</v>
      </c>
      <c r="AB14" s="2412"/>
      <c r="AC14" s="2458"/>
      <c r="AD14" s="2458"/>
      <c r="AE14" s="2458"/>
      <c r="AF14" s="2458"/>
      <c r="AG14" s="2458"/>
      <c r="AH14" s="2458"/>
      <c r="AI14" s="2458"/>
      <c r="AJ14" s="2458"/>
      <c r="AK14" s="2458"/>
      <c r="AL14" s="2458"/>
      <c r="AM14" s="2458"/>
      <c r="AN14" s="2458"/>
      <c r="AO14" s="2458"/>
      <c r="AP14" s="2458"/>
      <c r="AQ14" s="2458"/>
      <c r="AR14" s="2458"/>
      <c r="AS14" s="2458"/>
      <c r="AT14" s="2458"/>
      <c r="AU14" s="2458"/>
      <c r="AV14" s="2458"/>
      <c r="AW14" s="2458"/>
      <c r="AX14" s="2458"/>
      <c r="AY14" s="2458"/>
      <c r="AZ14" s="2458"/>
      <c r="BA14" s="2458"/>
      <c r="BB14" s="2458"/>
      <c r="BC14" s="2458"/>
      <c r="BD14" s="2458"/>
      <c r="BE14" s="2458"/>
      <c r="BF14" s="2458"/>
      <c r="BG14" s="2458"/>
      <c r="BH14" s="2458"/>
      <c r="BI14" s="2458"/>
      <c r="BJ14" s="2458"/>
      <c r="BK14" s="2458"/>
      <c r="BL14" s="2458"/>
      <c r="BM14" s="2458"/>
      <c r="BN14" s="2458"/>
      <c r="BO14" s="2458"/>
      <c r="BP14" s="2458"/>
      <c r="BQ14" s="2458"/>
      <c r="BR14" s="2458"/>
      <c r="BS14" s="2477"/>
      <c r="BT14" s="2361"/>
      <c r="BU14" s="2237"/>
      <c r="BV14" s="2361"/>
      <c r="BW14" s="2237"/>
      <c r="BX14" s="2361"/>
      <c r="BY14" s="2237"/>
      <c r="BZ14" s="2361"/>
      <c r="CA14" s="2237"/>
      <c r="CB14" s="2361"/>
      <c r="CC14" s="2237"/>
      <c r="CD14" s="2361"/>
      <c r="CE14" s="2237"/>
      <c r="CF14" s="2361"/>
      <c r="CG14" s="2237"/>
      <c r="CH14" s="2360" t="s">
        <v>1440</v>
      </c>
      <c r="CI14" s="2412"/>
      <c r="CJ14" s="2360" t="s">
        <v>1441</v>
      </c>
      <c r="CK14" s="2412"/>
      <c r="CL14" s="2460"/>
      <c r="CM14" s="2458"/>
      <c r="CN14" s="2458"/>
      <c r="CO14" s="2458"/>
      <c r="CP14" s="2458"/>
      <c r="CQ14" s="2458"/>
      <c r="CR14" s="2458"/>
      <c r="CS14" s="2458"/>
      <c r="CT14" s="2458"/>
      <c r="CU14" s="2458"/>
      <c r="CV14" s="2458"/>
      <c r="CW14" s="2458"/>
      <c r="CX14" s="2477"/>
      <c r="CY14" s="2361"/>
      <c r="CZ14" s="2237"/>
      <c r="DA14" s="2361"/>
      <c r="DB14" s="2237"/>
      <c r="DC14" s="2361"/>
      <c r="DD14" s="2237"/>
      <c r="DE14" s="2361"/>
      <c r="DF14" s="2237"/>
      <c r="DG14" s="2360" t="s">
        <v>1442</v>
      </c>
      <c r="DH14" s="2412"/>
      <c r="DI14" s="2360" t="s">
        <v>1443</v>
      </c>
      <c r="DJ14" s="2412"/>
      <c r="DK14" s="2460"/>
      <c r="DL14" s="2458"/>
      <c r="DM14" s="2458"/>
      <c r="DN14" s="2458"/>
      <c r="DO14" s="2458"/>
      <c r="DP14" s="2458"/>
      <c r="DQ14" s="2458"/>
      <c r="DR14" s="2458"/>
      <c r="DS14" s="2458"/>
      <c r="DT14" s="2458"/>
      <c r="DU14" s="2458"/>
      <c r="DV14" s="2458"/>
      <c r="DW14" s="2458"/>
      <c r="DX14" s="2458"/>
      <c r="DY14" s="2458"/>
      <c r="DZ14" s="2458"/>
      <c r="EA14" s="2458"/>
      <c r="EB14" s="2458"/>
      <c r="EC14" s="2458"/>
      <c r="ED14" s="2458"/>
      <c r="EE14" s="2458"/>
      <c r="EF14" s="2458"/>
      <c r="EG14" s="2458"/>
      <c r="EH14" s="2458"/>
      <c r="EI14" s="2458"/>
      <c r="EJ14" s="2458"/>
      <c r="EK14" s="2458"/>
      <c r="EL14" s="2458"/>
      <c r="EM14" s="2458"/>
      <c r="EN14" s="2458"/>
      <c r="EO14" s="2458"/>
      <c r="EP14" s="2458"/>
      <c r="EQ14" s="2458"/>
      <c r="ER14" s="2458"/>
      <c r="ES14" s="2458"/>
      <c r="ET14" s="2458"/>
      <c r="EU14" s="2458"/>
      <c r="EV14" s="2458"/>
      <c r="EW14" s="2458"/>
      <c r="EX14" s="2458"/>
      <c r="EY14" s="2458"/>
      <c r="EZ14" s="2458"/>
      <c r="FA14" s="2458"/>
      <c r="FB14" s="2458"/>
      <c r="FC14" s="2458"/>
      <c r="FD14" s="2458"/>
      <c r="FE14" s="2458"/>
      <c r="FF14" s="2458"/>
      <c r="FG14" s="2458"/>
      <c r="FH14" s="2458"/>
      <c r="FI14" s="2458"/>
      <c r="FJ14" s="2458"/>
      <c r="FK14" s="2458"/>
      <c r="FL14" s="2458"/>
      <c r="FM14" s="2458"/>
      <c r="FN14" s="2458"/>
      <c r="FO14" s="2458"/>
      <c r="FP14" s="2458"/>
      <c r="FQ14" s="2458"/>
      <c r="FR14" s="2458"/>
      <c r="FS14" s="2458"/>
      <c r="FT14" s="2458"/>
      <c r="FU14" s="2458"/>
      <c r="FV14" s="2458"/>
      <c r="FW14" s="2472"/>
      <c r="FX14" s="786"/>
      <c r="GC14" s="950">
        <v>36</v>
      </c>
    </row>
    <row customHeight="1" ht="37.8">
      <c r="D15" s="962"/>
      <c r="E15" s="961"/>
      <c r="F15" s="2229"/>
      <c r="G15" s="2229"/>
      <c r="H15" s="2461"/>
      <c r="I15" s="2461"/>
      <c r="J15" s="2462"/>
      <c r="K15" s="2462"/>
      <c r="L15" s="2462"/>
      <c r="M15" s="2462"/>
      <c r="N15" s="2462"/>
      <c r="O15" s="2362"/>
      <c r="P15" s="2459"/>
      <c r="Q15" s="2362"/>
      <c r="R15" s="2459"/>
      <c r="S15" s="2362"/>
      <c r="T15" s="2459"/>
      <c r="U15" s="2362"/>
      <c r="V15" s="2459"/>
      <c r="W15" s="2362"/>
      <c r="X15" s="2459"/>
      <c r="Y15" s="2362"/>
      <c r="Z15" s="2459"/>
      <c r="AA15" s="2362"/>
      <c r="AB15" s="2459"/>
      <c r="AC15" s="2458"/>
      <c r="AD15" s="2458"/>
      <c r="AE15" s="2458"/>
      <c r="AF15" s="2458"/>
      <c r="AG15" s="2458"/>
      <c r="AH15" s="2458"/>
      <c r="AI15" s="2458"/>
      <c r="AJ15" s="2458"/>
      <c r="AK15" s="2458"/>
      <c r="AL15" s="2458"/>
      <c r="AM15" s="2458"/>
      <c r="AN15" s="2458"/>
      <c r="AO15" s="2458"/>
      <c r="AP15" s="2458"/>
      <c r="AQ15" s="2458"/>
      <c r="AR15" s="2458"/>
      <c r="AS15" s="2458"/>
      <c r="AT15" s="2458"/>
      <c r="AU15" s="2458"/>
      <c r="AV15" s="2458"/>
      <c r="AW15" s="2458"/>
      <c r="AX15" s="2458"/>
      <c r="AY15" s="2458"/>
      <c r="AZ15" s="2458"/>
      <c r="BA15" s="2458"/>
      <c r="BB15" s="2458"/>
      <c r="BC15" s="2458"/>
      <c r="BD15" s="2458"/>
      <c r="BE15" s="2458"/>
      <c r="BF15" s="2458"/>
      <c r="BG15" s="2458"/>
      <c r="BH15" s="2458"/>
      <c r="BI15" s="2458"/>
      <c r="BJ15" s="2458"/>
      <c r="BK15" s="2458"/>
      <c r="BL15" s="2458"/>
      <c r="BM15" s="2458"/>
      <c r="BN15" s="2458"/>
      <c r="BO15" s="2458"/>
      <c r="BP15" s="2458"/>
      <c r="BQ15" s="2458"/>
      <c r="BR15" s="2458"/>
      <c r="BS15" s="2477"/>
      <c r="BT15" s="2362"/>
      <c r="BU15" s="2459"/>
      <c r="BV15" s="2362"/>
      <c r="BW15" s="2459"/>
      <c r="BX15" s="2362"/>
      <c r="BY15" s="2459"/>
      <c r="BZ15" s="2362"/>
      <c r="CA15" s="2459"/>
      <c r="CB15" s="2362"/>
      <c r="CC15" s="2459"/>
      <c r="CD15" s="2362"/>
      <c r="CE15" s="2459"/>
      <c r="CF15" s="2362"/>
      <c r="CG15" s="2459"/>
      <c r="CH15" s="2362"/>
      <c r="CI15" s="2459"/>
      <c r="CJ15" s="2362"/>
      <c r="CK15" s="2459"/>
      <c r="CL15" s="2460"/>
      <c r="CM15" s="2458"/>
      <c r="CN15" s="2458"/>
      <c r="CO15" s="2458"/>
      <c r="CP15" s="2458"/>
      <c r="CQ15" s="2458"/>
      <c r="CR15" s="2458"/>
      <c r="CS15" s="2458"/>
      <c r="CT15" s="2458"/>
      <c r="CU15" s="2458"/>
      <c r="CV15" s="2458"/>
      <c r="CW15" s="2458"/>
      <c r="CX15" s="2477"/>
      <c r="CY15" s="2362"/>
      <c r="CZ15" s="2459"/>
      <c r="DA15" s="2362"/>
      <c r="DB15" s="2459"/>
      <c r="DC15" s="2362"/>
      <c r="DD15" s="2459"/>
      <c r="DE15" s="2362"/>
      <c r="DF15" s="2459"/>
      <c r="DG15" s="2362"/>
      <c r="DH15" s="2459"/>
      <c r="DI15" s="2362"/>
      <c r="DJ15" s="2459"/>
      <c r="DK15" s="2460"/>
      <c r="DL15" s="2458"/>
      <c r="DM15" s="2458"/>
      <c r="DN15" s="2458"/>
      <c r="DO15" s="2458"/>
      <c r="DP15" s="2458"/>
      <c r="DQ15" s="2458"/>
      <c r="DR15" s="2458"/>
      <c r="DS15" s="2458"/>
      <c r="DT15" s="2458"/>
      <c r="DU15" s="2458"/>
      <c r="DV15" s="2458"/>
      <c r="DW15" s="2458"/>
      <c r="DX15" s="2458"/>
      <c r="DY15" s="2458"/>
      <c r="DZ15" s="2458"/>
      <c r="EA15" s="2458"/>
      <c r="EB15" s="2458"/>
      <c r="EC15" s="2458"/>
      <c r="ED15" s="2458"/>
      <c r="EE15" s="2458"/>
      <c r="EF15" s="2458"/>
      <c r="EG15" s="2458"/>
      <c r="EH15" s="2458"/>
      <c r="EI15" s="2458"/>
      <c r="EJ15" s="2458"/>
      <c r="EK15" s="2458"/>
      <c r="EL15" s="2458"/>
      <c r="EM15" s="2458"/>
      <c r="EN15" s="2458"/>
      <c r="EO15" s="2458"/>
      <c r="EP15" s="2458"/>
      <c r="EQ15" s="2458"/>
      <c r="ER15" s="2458"/>
      <c r="ES15" s="2458"/>
      <c r="ET15" s="2458"/>
      <c r="EU15" s="2458"/>
      <c r="EV15" s="2458"/>
      <c r="EW15" s="2458"/>
      <c r="EX15" s="2458"/>
      <c r="EY15" s="2458"/>
      <c r="EZ15" s="2458"/>
      <c r="FA15" s="2458"/>
      <c r="FB15" s="2458"/>
      <c r="FC15" s="2458"/>
      <c r="FD15" s="2458"/>
      <c r="FE15" s="2458"/>
      <c r="FF15" s="2458"/>
      <c r="FG15" s="2458"/>
      <c r="FH15" s="2458"/>
      <c r="FI15" s="2458"/>
      <c r="FJ15" s="2458"/>
      <c r="FK15" s="2458"/>
      <c r="FL15" s="2458"/>
      <c r="FM15" s="2458"/>
      <c r="FN15" s="2458"/>
      <c r="FO15" s="2458"/>
      <c r="FP15" s="2458"/>
      <c r="FQ15" s="2458"/>
      <c r="FR15" s="2458"/>
      <c r="FS15" s="2458"/>
      <c r="FT15" s="2458"/>
      <c r="FU15" s="2458"/>
      <c r="FV15" s="2458"/>
      <c r="FW15" s="2472"/>
      <c r="FX15" s="786"/>
      <c r="GC15" s="950">
        <v>36</v>
      </c>
    </row>
    <row customHeight="1" ht="12.75">
      <c r="D16" s="962"/>
      <c r="E16" s="961"/>
      <c r="F16" s="2229"/>
      <c r="G16" s="2229"/>
      <c r="H16" s="2461"/>
      <c r="I16" s="2461"/>
      <c r="J16" s="2462"/>
      <c r="K16" s="2462"/>
      <c r="L16" s="2462"/>
      <c r="M16" s="2462"/>
      <c r="N16" s="2462"/>
      <c r="O16" s="2410" t="s">
        <v>923</v>
      </c>
      <c r="P16" s="2457"/>
      <c r="Q16" s="2410" t="s">
        <v>925</v>
      </c>
      <c r="R16" s="2457"/>
      <c r="S16" s="2410" t="s">
        <v>929</v>
      </c>
      <c r="T16" s="2457"/>
      <c r="U16" s="2410" t="s">
        <v>934</v>
      </c>
      <c r="V16" s="2457"/>
      <c r="W16" s="2410" t="s">
        <v>937</v>
      </c>
      <c r="X16" s="2457"/>
      <c r="Y16" s="2410" t="s">
        <v>941</v>
      </c>
      <c r="Z16" s="2457"/>
      <c r="AA16" s="2410" t="s">
        <v>944</v>
      </c>
      <c r="AB16" s="2457"/>
      <c r="AC16" s="2458"/>
      <c r="AD16" s="2458"/>
      <c r="AE16" s="2458"/>
      <c r="AF16" s="2458"/>
      <c r="AG16" s="2458"/>
      <c r="AH16" s="2458"/>
      <c r="AI16" s="2458"/>
      <c r="AJ16" s="2458"/>
      <c r="AK16" s="2458"/>
      <c r="AL16" s="2458"/>
      <c r="AM16" s="2458"/>
      <c r="AN16" s="2458"/>
      <c r="AO16" s="2458"/>
      <c r="AP16" s="2458"/>
      <c r="AQ16" s="2458"/>
      <c r="AR16" s="2458"/>
      <c r="AS16" s="2458"/>
      <c r="AT16" s="2458"/>
      <c r="AU16" s="2458"/>
      <c r="AV16" s="2458"/>
      <c r="AW16" s="2458"/>
      <c r="AX16" s="2458"/>
      <c r="AY16" s="2458"/>
      <c r="AZ16" s="2458"/>
      <c r="BA16" s="2458"/>
      <c r="BB16" s="2458"/>
      <c r="BC16" s="2458"/>
      <c r="BD16" s="2458"/>
      <c r="BE16" s="2458"/>
      <c r="BF16" s="2458"/>
      <c r="BG16" s="2458"/>
      <c r="BH16" s="2458"/>
      <c r="BI16" s="2458"/>
      <c r="BJ16" s="2458"/>
      <c r="BK16" s="2458"/>
      <c r="BL16" s="2458"/>
      <c r="BM16" s="2458"/>
      <c r="BN16" s="2458"/>
      <c r="BO16" s="2458"/>
      <c r="BP16" s="2458"/>
      <c r="BQ16" s="2458"/>
      <c r="BR16" s="2458"/>
      <c r="BS16" s="2477"/>
      <c r="BT16" s="2410" t="s">
        <v>642</v>
      </c>
      <c r="BU16" s="2457"/>
      <c r="BV16" s="2410" t="s">
        <v>642</v>
      </c>
      <c r="BW16" s="2457"/>
      <c r="BX16" s="2410" t="s">
        <v>642</v>
      </c>
      <c r="BY16" s="2457"/>
      <c r="BZ16" s="2410" t="s">
        <v>642</v>
      </c>
      <c r="CA16" s="2457"/>
      <c r="CB16" s="2410" t="s">
        <v>1444</v>
      </c>
      <c r="CC16" s="2457"/>
      <c r="CD16" s="2410" t="s">
        <v>642</v>
      </c>
      <c r="CE16" s="2457"/>
      <c r="CF16" s="2410" t="s">
        <v>1445</v>
      </c>
      <c r="CG16" s="2457"/>
      <c r="CH16" s="2410" t="s">
        <v>1446</v>
      </c>
      <c r="CI16" s="2457"/>
      <c r="CJ16" s="2410" t="s">
        <v>1446</v>
      </c>
      <c r="CK16" s="2457"/>
      <c r="CL16" s="2460"/>
      <c r="CM16" s="2458"/>
      <c r="CN16" s="2458"/>
      <c r="CO16" s="2458"/>
      <c r="CP16" s="2458"/>
      <c r="CQ16" s="2458"/>
      <c r="CR16" s="2458"/>
      <c r="CS16" s="2458"/>
      <c r="CT16" s="2458"/>
      <c r="CU16" s="2458"/>
      <c r="CV16" s="2458"/>
      <c r="CW16" s="2458"/>
      <c r="CX16" s="2477"/>
      <c r="CY16" s="2360" t="s">
        <v>642</v>
      </c>
      <c r="CZ16" s="2412"/>
      <c r="DA16" s="2360" t="s">
        <v>642</v>
      </c>
      <c r="DB16" s="2412"/>
      <c r="DC16" s="2360" t="s">
        <v>642</v>
      </c>
      <c r="DD16" s="2412"/>
      <c r="DE16" s="2410" t="s">
        <v>1444</v>
      </c>
      <c r="DF16" s="2457"/>
      <c r="DG16" s="2410" t="s">
        <v>1447</v>
      </c>
      <c r="DH16" s="2457"/>
      <c r="DI16" s="2410" t="s">
        <v>1447</v>
      </c>
      <c r="DJ16" s="2457"/>
      <c r="DK16" s="2460"/>
      <c r="DL16" s="2458"/>
      <c r="DM16" s="2458"/>
      <c r="DN16" s="2458"/>
      <c r="DO16" s="2458"/>
      <c r="DP16" s="2458"/>
      <c r="DQ16" s="2458"/>
      <c r="DR16" s="2458"/>
      <c r="DS16" s="2458"/>
      <c r="DT16" s="2458"/>
      <c r="DU16" s="2458"/>
      <c r="DV16" s="2458"/>
      <c r="DW16" s="2458"/>
      <c r="DX16" s="2458"/>
      <c r="DY16" s="2458"/>
      <c r="DZ16" s="2458"/>
      <c r="EA16" s="2458"/>
      <c r="EB16" s="2458"/>
      <c r="EC16" s="2458"/>
      <c r="ED16" s="2458"/>
      <c r="EE16" s="2458"/>
      <c r="EF16" s="2458"/>
      <c r="EG16" s="2458"/>
      <c r="EH16" s="2458"/>
      <c r="EI16" s="2458"/>
      <c r="EJ16" s="2458"/>
      <c r="EK16" s="2458"/>
      <c r="EL16" s="2458"/>
      <c r="EM16" s="2458"/>
      <c r="EN16" s="2458"/>
      <c r="EO16" s="2458"/>
      <c r="EP16" s="2458"/>
      <c r="EQ16" s="2458"/>
      <c r="ER16" s="2458"/>
      <c r="ES16" s="2458"/>
      <c r="ET16" s="2458"/>
      <c r="EU16" s="2458"/>
      <c r="EV16" s="2458"/>
      <c r="EW16" s="2458"/>
      <c r="EX16" s="2458"/>
      <c r="EY16" s="2458"/>
      <c r="EZ16" s="2458"/>
      <c r="FA16" s="2458"/>
      <c r="FB16" s="2458"/>
      <c r="FC16" s="2458"/>
      <c r="FD16" s="2458"/>
      <c r="FE16" s="2458"/>
      <c r="FF16" s="2458"/>
      <c r="FG16" s="2458"/>
      <c r="FH16" s="2458"/>
      <c r="FI16" s="2458"/>
      <c r="FJ16" s="2458"/>
      <c r="FK16" s="2458"/>
      <c r="FL16" s="2458"/>
      <c r="FM16" s="2458"/>
      <c r="FN16" s="2458"/>
      <c r="FO16" s="2458"/>
      <c r="FP16" s="2458"/>
      <c r="FQ16" s="2458"/>
      <c r="FR16" s="2458"/>
      <c r="FS16" s="2458"/>
      <c r="FT16" s="2458"/>
      <c r="FU16" s="2458"/>
      <c r="FV16" s="2458"/>
      <c r="FW16" s="2472"/>
      <c r="FX16" s="786"/>
      <c r="GC16" s="950">
        <v>12</v>
      </c>
    </row>
    <row customHeight="1" ht="15.75">
      <c r="E17" s="961"/>
      <c r="F17" s="2229"/>
      <c r="G17" s="2229"/>
      <c r="H17" s="2461"/>
      <c r="I17" s="2461"/>
      <c r="J17" s="2462"/>
      <c r="K17" s="2462"/>
      <c r="L17" s="2462"/>
      <c r="M17" s="2462"/>
      <c r="N17" s="2462"/>
      <c r="O17" s="1215" t="s">
        <v>1448</v>
      </c>
      <c r="P17" s="1215" t="s">
        <v>1449</v>
      </c>
      <c r="Q17" s="1215" t="s">
        <v>1448</v>
      </c>
      <c r="R17" s="1215" t="s">
        <v>1449</v>
      </c>
      <c r="S17" s="1215" t="s">
        <v>1448</v>
      </c>
      <c r="T17" s="1215" t="s">
        <v>1449</v>
      </c>
      <c r="U17" s="1215" t="s">
        <v>1448</v>
      </c>
      <c r="V17" s="1215" t="s">
        <v>1449</v>
      </c>
      <c r="W17" s="1215" t="s">
        <v>1448</v>
      </c>
      <c r="X17" s="1215" t="s">
        <v>1449</v>
      </c>
      <c r="Y17" s="1215" t="s">
        <v>1448</v>
      </c>
      <c r="Z17" s="1215" t="s">
        <v>1449</v>
      </c>
      <c r="AA17" s="1215" t="s">
        <v>1448</v>
      </c>
      <c r="AB17" s="1215" t="s">
        <v>1449</v>
      </c>
      <c r="AC17" s="2458"/>
      <c r="AD17" s="2458"/>
      <c r="AE17" s="2458"/>
      <c r="AF17" s="2458"/>
      <c r="AG17" s="2458"/>
      <c r="AH17" s="2458"/>
      <c r="AI17" s="2458"/>
      <c r="AJ17" s="2458"/>
      <c r="AK17" s="2458"/>
      <c r="AL17" s="2458"/>
      <c r="AM17" s="2458"/>
      <c r="AN17" s="2458"/>
      <c r="AO17" s="2458"/>
      <c r="AP17" s="2458"/>
      <c r="AQ17" s="2458"/>
      <c r="AR17" s="2458"/>
      <c r="AS17" s="2458"/>
      <c r="AT17" s="2458"/>
      <c r="AU17" s="2458"/>
      <c r="AV17" s="2458"/>
      <c r="AW17" s="2458"/>
      <c r="AX17" s="2458"/>
      <c r="AY17" s="2458"/>
      <c r="AZ17" s="2458"/>
      <c r="BA17" s="2458"/>
      <c r="BB17" s="2458"/>
      <c r="BC17" s="2458"/>
      <c r="BD17" s="2458"/>
      <c r="BE17" s="2458"/>
      <c r="BF17" s="2458"/>
      <c r="BG17" s="2458"/>
      <c r="BH17" s="2458"/>
      <c r="BI17" s="2458"/>
      <c r="BJ17" s="2458"/>
      <c r="BK17" s="2458"/>
      <c r="BL17" s="2458"/>
      <c r="BM17" s="2458"/>
      <c r="BN17" s="2458"/>
      <c r="BO17" s="2458"/>
      <c r="BP17" s="2458"/>
      <c r="BQ17" s="2458"/>
      <c r="BR17" s="2458"/>
      <c r="BS17" s="2477"/>
      <c r="BT17" s="1215" t="s">
        <v>1448</v>
      </c>
      <c r="BU17" s="1215" t="s">
        <v>1449</v>
      </c>
      <c r="BV17" s="1215" t="s">
        <v>1448</v>
      </c>
      <c r="BW17" s="1215" t="s">
        <v>1449</v>
      </c>
      <c r="BX17" s="1215" t="s">
        <v>1448</v>
      </c>
      <c r="BY17" s="1215" t="s">
        <v>1449</v>
      </c>
      <c r="BZ17" s="1215" t="s">
        <v>1448</v>
      </c>
      <c r="CA17" s="1215" t="s">
        <v>1449</v>
      </c>
      <c r="CB17" s="1215" t="s">
        <v>1448</v>
      </c>
      <c r="CC17" s="1215" t="s">
        <v>1449</v>
      </c>
      <c r="CD17" s="1215" t="s">
        <v>1448</v>
      </c>
      <c r="CE17" s="1215" t="s">
        <v>1449</v>
      </c>
      <c r="CF17" s="1215" t="s">
        <v>1448</v>
      </c>
      <c r="CG17" s="1215" t="s">
        <v>1449</v>
      </c>
      <c r="CH17" s="1215" t="s">
        <v>1448</v>
      </c>
      <c r="CI17" s="1215" t="s">
        <v>1449</v>
      </c>
      <c r="CJ17" s="1215" t="s">
        <v>1448</v>
      </c>
      <c r="CK17" s="1215" t="s">
        <v>1449</v>
      </c>
      <c r="CL17" s="2460"/>
      <c r="CM17" s="2458"/>
      <c r="CN17" s="2458"/>
      <c r="CO17" s="2458"/>
      <c r="CP17" s="2458"/>
      <c r="CQ17" s="2458"/>
      <c r="CR17" s="2458"/>
      <c r="CS17" s="2458"/>
      <c r="CT17" s="2458"/>
      <c r="CU17" s="2458"/>
      <c r="CV17" s="2458"/>
      <c r="CW17" s="2458"/>
      <c r="CX17" s="2477"/>
      <c r="CY17" s="1215" t="s">
        <v>1448</v>
      </c>
      <c r="CZ17" s="1215" t="s">
        <v>1449</v>
      </c>
      <c r="DA17" s="1215" t="s">
        <v>1448</v>
      </c>
      <c r="DB17" s="1215" t="s">
        <v>1449</v>
      </c>
      <c r="DC17" s="1215" t="s">
        <v>1448</v>
      </c>
      <c r="DD17" s="1215" t="s">
        <v>1449</v>
      </c>
      <c r="DE17" s="1215" t="s">
        <v>1448</v>
      </c>
      <c r="DF17" s="1215" t="s">
        <v>1449</v>
      </c>
      <c r="DG17" s="1215" t="s">
        <v>1448</v>
      </c>
      <c r="DH17" s="1215" t="s">
        <v>1449</v>
      </c>
      <c r="DI17" s="1215" t="s">
        <v>1448</v>
      </c>
      <c r="DJ17" s="1215" t="s">
        <v>1449</v>
      </c>
      <c r="DK17" s="2460"/>
      <c r="DL17" s="2458"/>
      <c r="DM17" s="2458"/>
      <c r="DN17" s="2458"/>
      <c r="DO17" s="2458"/>
      <c r="DP17" s="2458"/>
      <c r="DQ17" s="2458"/>
      <c r="DR17" s="2458"/>
      <c r="DS17" s="2458"/>
      <c r="DT17" s="2458"/>
      <c r="DU17" s="2458"/>
      <c r="DV17" s="2458"/>
      <c r="DW17" s="2458"/>
      <c r="DX17" s="2458"/>
      <c r="DY17" s="2458"/>
      <c r="DZ17" s="2458"/>
      <c r="EA17" s="2458"/>
      <c r="EB17" s="2458"/>
      <c r="EC17" s="2458"/>
      <c r="ED17" s="2458"/>
      <c r="EE17" s="2458"/>
      <c r="EF17" s="2458"/>
      <c r="EG17" s="2458"/>
      <c r="EH17" s="2458"/>
      <c r="EI17" s="2458"/>
      <c r="EJ17" s="2458"/>
      <c r="EK17" s="2458"/>
      <c r="EL17" s="2458"/>
      <c r="EM17" s="2458"/>
      <c r="EN17" s="2458"/>
      <c r="EO17" s="2458"/>
      <c r="EP17" s="2458"/>
      <c r="EQ17" s="2458"/>
      <c r="ER17" s="2458"/>
      <c r="ES17" s="2458"/>
      <c r="ET17" s="2458"/>
      <c r="EU17" s="2458"/>
      <c r="EV17" s="2458"/>
      <c r="EW17" s="2458"/>
      <c r="EX17" s="2458"/>
      <c r="EY17" s="2458"/>
      <c r="EZ17" s="2458"/>
      <c r="FA17" s="2458"/>
      <c r="FB17" s="2458"/>
      <c r="FC17" s="2458"/>
      <c r="FD17" s="2458"/>
      <c r="FE17" s="2458"/>
      <c r="FF17" s="2458"/>
      <c r="FG17" s="2458"/>
      <c r="FH17" s="2458"/>
      <c r="FI17" s="2458"/>
      <c r="FJ17" s="2458"/>
      <c r="FK17" s="2458"/>
      <c r="FL17" s="2458"/>
      <c r="FM17" s="2458"/>
      <c r="FN17" s="2458"/>
      <c r="FO17" s="2458"/>
      <c r="FP17" s="2458"/>
      <c r="FQ17" s="2458"/>
      <c r="FR17" s="2458"/>
      <c r="FS17" s="2458"/>
      <c r="FT17" s="2458"/>
      <c r="FU17" s="2458"/>
      <c r="FV17" s="2458"/>
      <c r="FW17" s="2473"/>
      <c r="FX17" s="786"/>
      <c r="GC17" s="950">
        <v>15</v>
      </c>
    </row>
    <row s="949" customFormat="1" customHeight="1" ht="12" hidden="1">
      <c r="B18" s="947"/>
      <c r="E18" s="963"/>
      <c r="F18" s="1216"/>
      <c r="G18" s="1216"/>
      <c r="H18" s="1216"/>
      <c r="I18" s="1216"/>
      <c r="J18" s="1217"/>
      <c r="K18" s="1217"/>
      <c r="L18" s="1217"/>
      <c r="M18" s="1217"/>
      <c r="N18" s="1217"/>
      <c r="O18" s="1216"/>
      <c r="P18" s="1216"/>
      <c r="Q18" s="1216"/>
      <c r="R18" s="1216"/>
      <c r="S18" s="1216"/>
      <c r="T18" s="1216"/>
      <c r="U18" s="1218"/>
      <c r="V18" s="1218"/>
      <c r="W18" s="1218"/>
      <c r="X18" s="1218"/>
      <c r="Y18" s="1218"/>
      <c r="Z18" s="1218"/>
      <c r="AA18" s="1218"/>
      <c r="AB18" s="1216"/>
      <c r="AC18" s="1217"/>
      <c r="AD18" s="1217"/>
      <c r="AE18" s="1217"/>
      <c r="AF18" s="1217"/>
      <c r="AG18" s="1217"/>
      <c r="AH18" s="1217"/>
      <c r="AI18" s="1217"/>
      <c r="AJ18" s="1217"/>
      <c r="AK18" s="1217"/>
      <c r="AL18" s="1217"/>
      <c r="AM18" s="1217"/>
      <c r="AN18" s="1217"/>
      <c r="AO18" s="1217"/>
      <c r="AP18" s="1217"/>
      <c r="AQ18" s="1217"/>
      <c r="AR18" s="1217"/>
      <c r="AS18" s="1217"/>
      <c r="AT18" s="1217"/>
      <c r="AU18" s="1217"/>
      <c r="AV18" s="1217"/>
      <c r="AW18" s="1217"/>
      <c r="AX18" s="1217"/>
      <c r="AY18" s="1217"/>
      <c r="AZ18" s="1217"/>
      <c r="BA18" s="1217"/>
      <c r="BB18" s="1217"/>
      <c r="BC18" s="1217"/>
      <c r="BD18" s="1217"/>
      <c r="BE18" s="1217"/>
      <c r="BF18" s="1217"/>
      <c r="BG18" s="1217"/>
      <c r="BH18" s="1217"/>
      <c r="BI18" s="1217"/>
      <c r="BJ18" s="1217"/>
      <c r="BK18" s="1217"/>
      <c r="BL18" s="1217"/>
      <c r="BM18" s="1217"/>
      <c r="BN18" s="1217"/>
      <c r="BO18" s="1217"/>
      <c r="BP18" s="1217"/>
      <c r="BQ18" s="1217"/>
      <c r="BR18" s="1217"/>
      <c r="BS18" s="1217"/>
      <c r="BT18" s="1219"/>
      <c r="BU18" s="1219"/>
      <c r="BV18" s="1219"/>
      <c r="BW18" s="1219"/>
      <c r="BX18" s="1219"/>
      <c r="BY18" s="1219"/>
      <c r="BZ18" s="1219"/>
      <c r="CA18" s="1219"/>
      <c r="CB18" s="1219"/>
      <c r="CC18" s="1219"/>
      <c r="CD18" s="1219"/>
      <c r="CE18" s="1219"/>
      <c r="CF18" s="1219"/>
      <c r="CG18" s="1219"/>
      <c r="CH18" s="1219"/>
      <c r="CI18" s="1219"/>
      <c r="CJ18" s="1219"/>
      <c r="CK18" s="1219"/>
      <c r="CL18" s="1217"/>
      <c r="CM18" s="1217"/>
      <c r="CN18" s="1217"/>
      <c r="CO18" s="1217"/>
      <c r="CP18" s="1217"/>
      <c r="CQ18" s="1217"/>
      <c r="CR18" s="1217"/>
      <c r="CS18" s="1217"/>
      <c r="CT18" s="1217"/>
      <c r="CU18" s="1217"/>
      <c r="CV18" s="1217"/>
      <c r="CW18" s="1217"/>
      <c r="CX18" s="1217"/>
      <c r="CY18" s="1219"/>
      <c r="CZ18" s="1219"/>
      <c r="DA18" s="1219"/>
      <c r="DB18" s="1219"/>
      <c r="DC18" s="1219"/>
      <c r="DD18" s="1219"/>
      <c r="DE18" s="1219"/>
      <c r="DF18" s="1219"/>
      <c r="DG18" s="1219"/>
      <c r="DH18" s="1219"/>
      <c r="DI18" s="1219"/>
      <c r="DJ18" s="1219"/>
      <c r="DK18" s="1217"/>
      <c r="DL18" s="1217"/>
      <c r="DM18" s="1217"/>
      <c r="DN18" s="1217"/>
      <c r="DO18" s="1217"/>
      <c r="DP18" s="1217"/>
      <c r="DQ18" s="1217"/>
      <c r="DR18" s="1217"/>
      <c r="DS18" s="1217"/>
      <c r="DT18" s="1217"/>
      <c r="DU18" s="1217"/>
      <c r="DV18" s="1217"/>
      <c r="DW18" s="1217"/>
      <c r="DX18" s="1217"/>
      <c r="DY18" s="1217"/>
      <c r="DZ18" s="1217"/>
      <c r="EA18" s="1217"/>
      <c r="EB18" s="1217"/>
      <c r="EC18" s="1217"/>
      <c r="ED18" s="1217"/>
      <c r="EE18" s="1217"/>
      <c r="EF18" s="1217"/>
      <c r="EG18" s="1217"/>
      <c r="EH18" s="1217"/>
      <c r="EI18" s="1217"/>
      <c r="EJ18" s="1217"/>
      <c r="EK18" s="1217"/>
      <c r="EL18" s="1217"/>
      <c r="EM18" s="1217"/>
      <c r="EN18" s="1217"/>
      <c r="EO18" s="1217"/>
      <c r="EP18" s="1217"/>
      <c r="EQ18" s="1217"/>
      <c r="ER18" s="1217"/>
      <c r="ES18" s="1217"/>
      <c r="ET18" s="1217"/>
      <c r="EU18" s="1217"/>
      <c r="EV18" s="1217"/>
      <c r="EW18" s="1217"/>
      <c r="EX18" s="1217"/>
      <c r="EY18" s="1217"/>
      <c r="EZ18" s="1217"/>
      <c r="FA18" s="1217"/>
      <c r="FB18" s="1217"/>
      <c r="FC18" s="1217"/>
      <c r="FD18" s="1217"/>
      <c r="FE18" s="1217"/>
      <c r="FF18" s="1217"/>
      <c r="FG18" s="1217"/>
      <c r="FH18" s="1217"/>
      <c r="FI18" s="1217"/>
      <c r="FJ18" s="1217"/>
      <c r="FK18" s="1217"/>
      <c r="FL18" s="1217"/>
      <c r="FM18" s="1217"/>
      <c r="FN18" s="1217"/>
      <c r="FO18" s="1217"/>
      <c r="FP18" s="1217"/>
      <c r="FQ18" s="1217"/>
      <c r="FR18" s="1217"/>
      <c r="FS18" s="1217"/>
      <c r="FT18" s="1217"/>
      <c r="FU18" s="1217"/>
      <c r="FV18" s="1217"/>
      <c r="FW18" s="1216"/>
      <c r="FX18" s="1220"/>
      <c r="GC18" s="948">
        <v>0</v>
      </c>
    </row>
    <row s="949" customFormat="1" customHeight="1" ht="11.25" hidden="1">
      <c r="B19" s="947"/>
      <c r="E19" s="963"/>
      <c r="F19" s="1216"/>
      <c r="G19" s="1216"/>
      <c r="H19" s="1216"/>
      <c r="I19" s="1216"/>
      <c r="J19" s="1216"/>
      <c r="K19" s="1216"/>
      <c r="L19" s="1216"/>
      <c r="M19" s="1216"/>
      <c r="N19" s="1216"/>
      <c r="O19" s="1216"/>
      <c r="P19" s="1216"/>
      <c r="Q19" s="1216"/>
      <c r="R19" s="1216"/>
      <c r="S19" s="1216"/>
      <c r="T19" s="1216"/>
      <c r="U19" s="1218"/>
      <c r="V19" s="1218"/>
      <c r="W19" s="1218"/>
      <c r="X19" s="1218"/>
      <c r="Y19" s="1218"/>
      <c r="Z19" s="1218"/>
      <c r="AA19" s="1218"/>
      <c r="AB19" s="1216"/>
      <c r="AC19" s="1216"/>
      <c r="AD19" s="1216"/>
      <c r="AE19" s="1216"/>
      <c r="AF19" s="1216"/>
      <c r="AG19" s="1216"/>
      <c r="AH19" s="1216"/>
      <c r="AI19" s="1216"/>
      <c r="AJ19" s="1216"/>
      <c r="AK19" s="1216"/>
      <c r="AL19" s="1216"/>
      <c r="AM19" s="1216"/>
      <c r="AN19" s="1216"/>
      <c r="AO19" s="1216"/>
      <c r="AP19" s="1216"/>
      <c r="AQ19" s="1216"/>
      <c r="AR19" s="1216"/>
      <c r="AS19" s="1216"/>
      <c r="AT19" s="1216"/>
      <c r="AU19" s="1216"/>
      <c r="AV19" s="1216"/>
      <c r="AW19" s="1216"/>
      <c r="AX19" s="1216"/>
      <c r="AY19" s="1216"/>
      <c r="AZ19" s="1216"/>
      <c r="BA19" s="1216"/>
      <c r="BB19" s="1216"/>
      <c r="BC19" s="1216"/>
      <c r="BD19" s="1216"/>
      <c r="BE19" s="1216"/>
      <c r="BF19" s="1216"/>
      <c r="BG19" s="1216"/>
      <c r="BH19" s="1216"/>
      <c r="BI19" s="1216"/>
      <c r="BJ19" s="1216"/>
      <c r="BK19" s="1216"/>
      <c r="BL19" s="1216"/>
      <c r="BM19" s="1216"/>
      <c r="BN19" s="1216"/>
      <c r="BO19" s="1216"/>
      <c r="BP19" s="1216"/>
      <c r="BQ19" s="1216"/>
      <c r="BR19" s="1216"/>
      <c r="BS19" s="1216"/>
      <c r="BT19" s="1216"/>
      <c r="BU19" s="1216"/>
      <c r="BV19" s="1216"/>
      <c r="BW19" s="1216"/>
      <c r="BX19" s="1216"/>
      <c r="BY19" s="1216"/>
      <c r="BZ19" s="1216"/>
      <c r="CA19" s="1216"/>
      <c r="CB19" s="1216"/>
      <c r="CC19" s="1216"/>
      <c r="CD19" s="1216"/>
      <c r="CE19" s="1216"/>
      <c r="CF19" s="1216"/>
      <c r="CG19" s="1216"/>
      <c r="CH19" s="1216"/>
      <c r="CI19" s="1216"/>
      <c r="CJ19" s="1216"/>
      <c r="CK19" s="1216"/>
      <c r="CL19" s="1216"/>
      <c r="CM19" s="1216"/>
      <c r="CN19" s="1216"/>
      <c r="CO19" s="1216"/>
      <c r="CP19" s="1216"/>
      <c r="CQ19" s="1216"/>
      <c r="CR19" s="1216"/>
      <c r="CS19" s="1216"/>
      <c r="CT19" s="1216"/>
      <c r="CU19" s="1216"/>
      <c r="CV19" s="1216"/>
      <c r="CW19" s="1216"/>
      <c r="CX19" s="1216"/>
      <c r="CY19" s="1216"/>
      <c r="CZ19" s="1216"/>
      <c r="DA19" s="1216"/>
      <c r="DB19" s="1216"/>
      <c r="DC19" s="1216"/>
      <c r="DD19" s="1216"/>
      <c r="DE19" s="1216"/>
      <c r="DF19" s="1216"/>
      <c r="DG19" s="1216"/>
      <c r="DH19" s="1216"/>
      <c r="DI19" s="1216"/>
      <c r="DJ19" s="1216"/>
      <c r="DK19" s="1216"/>
      <c r="DL19" s="1216"/>
      <c r="DM19" s="1216"/>
      <c r="DN19" s="1216"/>
      <c r="DO19" s="1216"/>
      <c r="DP19" s="1216"/>
      <c r="DQ19" s="1216"/>
      <c r="DR19" s="1216"/>
      <c r="DS19" s="1216"/>
      <c r="DT19" s="1216"/>
      <c r="DU19" s="1216"/>
      <c r="DV19" s="1216"/>
      <c r="DW19" s="1216"/>
      <c r="DX19" s="1216"/>
      <c r="DY19" s="1216"/>
      <c r="DZ19" s="1216"/>
      <c r="EA19" s="1216"/>
      <c r="EB19" s="1216"/>
      <c r="EC19" s="1216"/>
      <c r="ED19" s="1216"/>
      <c r="EE19" s="1216"/>
      <c r="EF19" s="1216"/>
      <c r="EG19" s="1216"/>
      <c r="EH19" s="1216"/>
      <c r="EI19" s="1216"/>
      <c r="EJ19" s="1216"/>
      <c r="EK19" s="1216"/>
      <c r="EL19" s="1216"/>
      <c r="EM19" s="1216"/>
      <c r="EN19" s="1216"/>
      <c r="EO19" s="1216"/>
      <c r="EP19" s="1216"/>
      <c r="EQ19" s="1216"/>
      <c r="ER19" s="1216"/>
      <c r="ES19" s="1216"/>
      <c r="ET19" s="1216"/>
      <c r="EU19" s="1216"/>
      <c r="EV19" s="1216"/>
      <c r="EW19" s="1216"/>
      <c r="EX19" s="1216"/>
      <c r="EY19" s="1216"/>
      <c r="EZ19" s="1216"/>
      <c r="FA19" s="1216"/>
      <c r="FB19" s="1216"/>
      <c r="FC19" s="1216"/>
      <c r="FD19" s="1216"/>
      <c r="FE19" s="1216"/>
      <c r="FF19" s="1216"/>
      <c r="FG19" s="1216"/>
      <c r="FH19" s="1216"/>
      <c r="FI19" s="1216"/>
      <c r="FJ19" s="1216"/>
      <c r="FK19" s="1216"/>
      <c r="FL19" s="1216"/>
      <c r="FM19" s="1216"/>
      <c r="FN19" s="1216"/>
      <c r="FO19" s="1216"/>
      <c r="FP19" s="1216"/>
      <c r="FQ19" s="1216"/>
      <c r="FR19" s="1216"/>
      <c r="FS19" s="1216"/>
      <c r="FT19" s="1216"/>
      <c r="FU19" s="1216"/>
      <c r="FV19" s="1216"/>
      <c r="FW19" s="1216"/>
      <c r="FX19" s="1220"/>
      <c r="GC19" s="948">
        <v>0</v>
      </c>
    </row>
    <row s="949" customFormat="1" customHeight="1" ht="11.25" hidden="1">
      <c r="B20" s="964"/>
      <c r="D20" s="948"/>
      <c r="E20" s="963"/>
      <c r="F20" s="1221" t="s">
        <v>460</v>
      </c>
      <c r="G20" s="1222"/>
      <c r="H20" s="1223"/>
      <c r="I20" s="1223"/>
      <c r="J20" s="1223"/>
      <c r="K20" s="1223"/>
      <c r="L20" s="1223"/>
      <c r="M20" s="1223"/>
      <c r="N20" s="1223"/>
      <c r="O20" s="1222"/>
      <c r="P20" s="1222"/>
      <c r="Q20" s="1222"/>
      <c r="R20" s="1222"/>
      <c r="S20" s="1222"/>
      <c r="T20" s="1222"/>
      <c r="U20" s="1224"/>
      <c r="V20" s="1224"/>
      <c r="W20" s="1224"/>
      <c r="X20" s="1224"/>
      <c r="Y20" s="1224"/>
      <c r="Z20" s="1224"/>
      <c r="AA20" s="1224"/>
      <c r="AB20" s="1222"/>
      <c r="AC20" s="1223"/>
      <c r="AD20" s="1223"/>
      <c r="AE20" s="1223"/>
      <c r="AF20" s="1223"/>
      <c r="AG20" s="1223"/>
      <c r="AH20" s="1223"/>
      <c r="AI20" s="1223"/>
      <c r="AJ20" s="1223"/>
      <c r="AK20" s="1223"/>
      <c r="AL20" s="1223"/>
      <c r="AM20" s="1223"/>
      <c r="AN20" s="1223"/>
      <c r="AO20" s="1223"/>
      <c r="AP20" s="1223"/>
      <c r="AQ20" s="1223"/>
      <c r="AR20" s="1223"/>
      <c r="AS20" s="1223"/>
      <c r="AT20" s="1223"/>
      <c r="AU20" s="1223"/>
      <c r="AV20" s="1223"/>
      <c r="AW20" s="1223"/>
      <c r="AX20" s="1223"/>
      <c r="AY20" s="1223"/>
      <c r="AZ20" s="1223"/>
      <c r="BA20" s="1223"/>
      <c r="BB20" s="1223"/>
      <c r="BC20" s="1223"/>
      <c r="BD20" s="1223"/>
      <c r="BE20" s="1223"/>
      <c r="BF20" s="1223"/>
      <c r="BG20" s="1223"/>
      <c r="BH20" s="1223"/>
      <c r="BI20" s="1223"/>
      <c r="BJ20" s="1223"/>
      <c r="BK20" s="1223"/>
      <c r="BL20" s="1223"/>
      <c r="BM20" s="1223"/>
      <c r="BN20" s="1223"/>
      <c r="BO20" s="1223"/>
      <c r="BP20" s="1223"/>
      <c r="BQ20" s="1223"/>
      <c r="BR20" s="1223"/>
      <c r="BS20" s="1223"/>
      <c r="BT20" s="1223"/>
      <c r="BU20" s="1223"/>
      <c r="BV20" s="1223"/>
      <c r="BW20" s="1223"/>
      <c r="BX20" s="1223"/>
      <c r="BY20" s="1223"/>
      <c r="BZ20" s="1223"/>
      <c r="CA20" s="1223"/>
      <c r="CB20" s="1223"/>
      <c r="CC20" s="1223"/>
      <c r="CD20" s="1223"/>
      <c r="CE20" s="1223"/>
      <c r="CF20" s="1223"/>
      <c r="CG20" s="1223"/>
      <c r="CH20" s="1223"/>
      <c r="CI20" s="1223"/>
      <c r="CJ20" s="1223"/>
      <c r="CK20" s="1223"/>
      <c r="CL20" s="1225"/>
      <c r="CM20" s="1225"/>
      <c r="CN20" s="1225"/>
      <c r="CO20" s="1225"/>
      <c r="CP20" s="1225"/>
      <c r="CQ20" s="1225"/>
      <c r="CR20" s="1225"/>
      <c r="CS20" s="1225"/>
      <c r="CT20" s="1225"/>
      <c r="CU20" s="1225"/>
      <c r="CV20" s="1225"/>
      <c r="CW20" s="1225"/>
      <c r="CX20" s="1225"/>
      <c r="CY20" s="1225"/>
      <c r="CZ20" s="1225"/>
      <c r="DA20" s="1225"/>
      <c r="DB20" s="1225"/>
      <c r="DC20" s="1225"/>
      <c r="DD20" s="1225"/>
      <c r="DE20" s="1225"/>
      <c r="DF20" s="1225"/>
      <c r="DG20" s="1225"/>
      <c r="DH20" s="1225"/>
      <c r="DI20" s="1225"/>
      <c r="DJ20" s="1225"/>
      <c r="DK20" s="1225"/>
      <c r="DL20" s="1225"/>
      <c r="DM20" s="1225"/>
      <c r="DN20" s="1225"/>
      <c r="DO20" s="1225"/>
      <c r="DP20" s="1225"/>
      <c r="DQ20" s="1225"/>
      <c r="DR20" s="1225"/>
      <c r="DS20" s="1225"/>
      <c r="DT20" s="1225"/>
      <c r="DU20" s="1225"/>
      <c r="DV20" s="1225"/>
      <c r="DW20" s="1225"/>
      <c r="DX20" s="1225"/>
      <c r="DY20" s="1225"/>
      <c r="DZ20" s="1225"/>
      <c r="EA20" s="1225"/>
      <c r="EB20" s="1225"/>
      <c r="EC20" s="1225"/>
      <c r="ED20" s="1225"/>
      <c r="EE20" s="1225"/>
      <c r="EF20" s="1225"/>
      <c r="EG20" s="1225"/>
      <c r="EH20" s="1225"/>
      <c r="EI20" s="1225"/>
      <c r="EJ20" s="1225"/>
      <c r="EK20" s="1225"/>
      <c r="EL20" s="1225"/>
      <c r="EM20" s="1225"/>
      <c r="EN20" s="1225"/>
      <c r="EO20" s="1225"/>
      <c r="EP20" s="1225"/>
      <c r="EQ20" s="1225"/>
      <c r="ER20" s="1225"/>
      <c r="ES20" s="1225"/>
      <c r="ET20" s="1225"/>
      <c r="EU20" s="1225"/>
      <c r="EV20" s="1225"/>
      <c r="EW20" s="1225"/>
      <c r="EX20" s="1225"/>
      <c r="EY20" s="1225"/>
      <c r="EZ20" s="1225"/>
      <c r="FA20" s="1225"/>
      <c r="FB20" s="1225"/>
      <c r="FC20" s="1225"/>
      <c r="FD20" s="1225"/>
      <c r="FE20" s="1225"/>
      <c r="FF20" s="1225"/>
      <c r="FG20" s="1225"/>
      <c r="FH20" s="1225"/>
      <c r="FI20" s="1225"/>
      <c r="FJ20" s="1225"/>
      <c r="FK20" s="1225"/>
      <c r="FL20" s="1225"/>
      <c r="FM20" s="1225"/>
      <c r="FN20" s="1225"/>
      <c r="FO20" s="1225"/>
      <c r="FP20" s="1225"/>
      <c r="FQ20" s="1225"/>
      <c r="FR20" s="1225"/>
      <c r="FS20" s="1225"/>
      <c r="FT20" s="1225"/>
      <c r="FU20" s="1225"/>
      <c r="FV20" s="1225"/>
      <c r="FW20" s="1225"/>
      <c r="FX20" s="1226"/>
      <c r="GC20" s="946">
        <v>0</v>
      </c>
    </row>
    <row s="949" customFormat="1" customHeight="1" ht="12.75">
      <c r="A21" s="965"/>
      <c r="B21" s="965"/>
      <c r="C21" s="965"/>
      <c r="D21" s="965"/>
      <c r="E21" s="965"/>
      <c r="F21" s="963"/>
      <c r="G21" s="963"/>
      <c r="H21" s="963"/>
      <c r="I21" s="963"/>
      <c r="J21" s="963"/>
      <c r="K21" s="963"/>
      <c r="L21" s="963"/>
      <c r="M21" s="963"/>
      <c r="N21" s="963"/>
      <c r="O21" s="963"/>
      <c r="P21" s="963"/>
      <c r="Q21" s="963"/>
      <c r="R21" s="963"/>
      <c r="S21" s="966"/>
      <c r="T21" s="966"/>
      <c r="U21" s="963"/>
      <c r="V21" s="963"/>
      <c r="W21" s="963"/>
      <c r="X21" s="963"/>
      <c r="Y21" s="963"/>
      <c r="Z21" s="963"/>
      <c r="AA21" s="963"/>
      <c r="AB21" s="963"/>
      <c r="AC21" s="963"/>
      <c r="AD21" s="963"/>
      <c r="AE21" s="963"/>
      <c r="AF21" s="963"/>
      <c r="AG21" s="963"/>
      <c r="AH21" s="963"/>
      <c r="AI21" s="963"/>
      <c r="AJ21" s="963"/>
      <c r="AK21" s="963"/>
      <c r="AL21" s="963"/>
      <c r="AM21" s="963"/>
      <c r="AN21" s="963"/>
      <c r="AO21" s="963"/>
      <c r="AP21" s="963"/>
      <c r="AQ21" s="963"/>
      <c r="AR21" s="963"/>
      <c r="AS21" s="963"/>
      <c r="AT21" s="963"/>
      <c r="AU21" s="963"/>
      <c r="AV21" s="963"/>
      <c r="AW21" s="963"/>
      <c r="AX21" s="963"/>
      <c r="AY21" s="963"/>
      <c r="AZ21" s="963"/>
      <c r="BA21" s="963"/>
      <c r="BB21" s="963"/>
      <c r="BC21" s="963"/>
      <c r="BD21" s="963"/>
      <c r="BE21" s="963"/>
      <c r="BF21" s="963"/>
      <c r="BG21" s="963"/>
      <c r="BH21" s="963"/>
      <c r="BI21" s="963"/>
      <c r="BJ21" s="963"/>
      <c r="BK21" s="963"/>
      <c r="BL21" s="963"/>
      <c r="BM21" s="963"/>
      <c r="BN21" s="963"/>
      <c r="BO21" s="963"/>
      <c r="BP21" s="963"/>
      <c r="BQ21" s="963"/>
      <c r="BR21" s="963"/>
      <c r="BS21" s="963"/>
      <c r="BT21" s="963"/>
      <c r="BU21" s="963"/>
      <c r="BV21" s="963"/>
      <c r="BW21" s="963"/>
      <c r="BX21" s="963"/>
      <c r="BY21" s="963"/>
      <c r="BZ21" s="963"/>
      <c r="CA21" s="963"/>
      <c r="CB21" s="963"/>
      <c r="CC21" s="963"/>
      <c r="CD21" s="963"/>
      <c r="CE21" s="963"/>
      <c r="CF21" s="963"/>
      <c r="CG21" s="963"/>
      <c r="CH21" s="963"/>
      <c r="CI21" s="963"/>
      <c r="CJ21" s="963"/>
      <c r="CK21" s="963"/>
      <c r="CL21" s="963"/>
      <c r="CM21" s="963"/>
      <c r="CN21" s="963"/>
      <c r="CO21" s="963"/>
      <c r="CP21" s="963"/>
      <c r="CQ21" s="963"/>
      <c r="CR21" s="963"/>
      <c r="CS21" s="963"/>
      <c r="CT21" s="963"/>
      <c r="CU21" s="963"/>
      <c r="CV21" s="963"/>
      <c r="CW21" s="963"/>
      <c r="CX21" s="963"/>
      <c r="CY21" s="963"/>
      <c r="CZ21" s="963"/>
      <c r="DA21" s="963"/>
      <c r="DB21" s="963"/>
      <c r="DC21" s="963"/>
      <c r="DD21" s="963"/>
      <c r="DE21" s="963"/>
      <c r="DF21" s="963"/>
      <c r="DG21" s="963"/>
      <c r="DH21" s="963"/>
      <c r="DI21" s="963"/>
      <c r="DJ21" s="963"/>
      <c r="DK21" s="963"/>
      <c r="DL21" s="963"/>
      <c r="DM21" s="963"/>
      <c r="DN21" s="963"/>
      <c r="DO21" s="963"/>
      <c r="DP21" s="963"/>
      <c r="DQ21" s="963"/>
      <c r="DR21" s="963"/>
      <c r="DS21" s="963"/>
      <c r="DT21" s="963"/>
      <c r="DU21" s="963"/>
      <c r="DV21" s="963"/>
      <c r="DW21" s="963"/>
      <c r="DX21" s="963"/>
      <c r="DY21" s="963"/>
      <c r="DZ21" s="963"/>
      <c r="EA21" s="963"/>
      <c r="EB21" s="963"/>
      <c r="EC21" s="963"/>
      <c r="ED21" s="963"/>
      <c r="EE21" s="963"/>
      <c r="EF21" s="963"/>
      <c r="EG21" s="963"/>
      <c r="EH21" s="963"/>
      <c r="EI21" s="963"/>
      <c r="EJ21" s="963"/>
      <c r="EK21" s="963"/>
      <c r="EL21" s="963"/>
      <c r="EM21" s="963"/>
      <c r="EN21" s="963"/>
      <c r="EO21" s="963"/>
      <c r="EP21" s="963"/>
      <c r="EQ21" s="963"/>
      <c r="ER21" s="963"/>
      <c r="ES21" s="963"/>
      <c r="ET21" s="963"/>
      <c r="EU21" s="963"/>
      <c r="EV21" s="963"/>
      <c r="EW21" s="963"/>
      <c r="EX21" s="963"/>
      <c r="EY21" s="963"/>
      <c r="EZ21" s="963"/>
      <c r="FA21" s="963"/>
      <c r="FB21" s="963"/>
      <c r="FC21" s="963"/>
      <c r="FD21" s="963"/>
      <c r="FE21" s="963"/>
      <c r="FF21" s="963"/>
      <c r="FG21" s="963"/>
      <c r="FH21" s="963"/>
      <c r="FI21" s="963"/>
      <c r="FJ21" s="963"/>
      <c r="FK21" s="963"/>
      <c r="FL21" s="963"/>
      <c r="FM21" s="963"/>
      <c r="FN21" s="963"/>
      <c r="FO21" s="963"/>
      <c r="FP21" s="963"/>
      <c r="FQ21" s="963"/>
      <c r="FR21" s="963"/>
      <c r="FS21" s="963"/>
      <c r="FT21" s="963"/>
      <c r="FU21" s="963"/>
      <c r="FV21" s="963"/>
      <c r="FW21" s="963"/>
      <c r="FX21" s="965"/>
      <c r="FY21" s="965"/>
      <c r="FZ21" s="965"/>
      <c r="GA21" s="965"/>
      <c r="GB21" s="965"/>
      <c r="GC21" s="946">
        <v>12</v>
      </c>
    </row>
    <row s="949" customFormat="1" customHeight="1" ht="12.75">
      <c r="A22" s="965"/>
      <c r="B22" s="965"/>
      <c r="C22" s="965"/>
      <c r="D22" s="965"/>
      <c r="E22" s="965"/>
      <c r="FX22" s="965"/>
      <c r="FY22" s="965"/>
      <c r="FZ22" s="965"/>
      <c r="GA22" s="965"/>
      <c r="GB22" s="965"/>
      <c r="GC22" s="946">
        <v>12</v>
      </c>
    </row>
    <row s="1087" customFormat="1" customHeight="1" ht="12.75">
      <c r="A23" s="1086"/>
      <c r="B23" s="1086"/>
      <c r="C23" s="1086"/>
      <c r="D23" s="1086"/>
      <c r="E23" s="1086"/>
      <c r="O23" s="1088"/>
      <c r="P23" s="1088"/>
      <c r="Q23" s="1088"/>
      <c r="R23" s="1088"/>
      <c r="S23" s="1088"/>
      <c r="T23" s="1088"/>
      <c r="U23" s="1088"/>
      <c r="V23" s="1088"/>
      <c r="W23" s="1088"/>
      <c r="X23" s="1088"/>
      <c r="Y23" s="1088"/>
      <c r="Z23" s="1088"/>
      <c r="AA23" s="1088"/>
      <c r="AB23" s="1088"/>
      <c r="AC23" s="1088"/>
      <c r="AD23" s="1088"/>
      <c r="AE23" s="1088"/>
      <c r="AF23" s="1088"/>
      <c r="AG23" s="1088"/>
      <c r="AH23" s="1088"/>
      <c r="AI23" s="1088"/>
      <c r="AJ23" s="1088"/>
      <c r="AK23" s="1088"/>
      <c r="AL23" s="1088"/>
      <c r="AM23" s="1088"/>
      <c r="AN23" s="1088"/>
      <c r="AO23" s="1088"/>
      <c r="AP23" s="1088"/>
      <c r="AQ23" s="1088"/>
      <c r="AR23" s="1088"/>
      <c r="AS23" s="1088"/>
      <c r="AT23" s="1088"/>
      <c r="AU23" s="1088"/>
      <c r="AV23" s="1088"/>
      <c r="AW23" s="1088"/>
      <c r="AX23" s="1088"/>
      <c r="AY23" s="1088"/>
      <c r="AZ23" s="1088"/>
      <c r="BA23" s="1088"/>
      <c r="BB23" s="1088"/>
      <c r="BC23" s="1088"/>
      <c r="BD23" s="1088"/>
      <c r="BE23" s="1088"/>
      <c r="BF23" s="1088"/>
      <c r="BG23" s="1088"/>
      <c r="BH23" s="1088"/>
      <c r="BI23" s="1088"/>
      <c r="BJ23" s="1088"/>
      <c r="BK23" s="1088"/>
      <c r="BL23" s="1088"/>
      <c r="BM23" s="1088"/>
      <c r="BN23" s="1088"/>
      <c r="BO23" s="1088"/>
      <c r="BP23" s="1088"/>
      <c r="BQ23" s="1088"/>
      <c r="BR23" s="1088"/>
      <c r="BS23" s="1088"/>
      <c r="BT23" s="1089"/>
      <c r="BU23" s="1089"/>
      <c r="BV23" s="1089"/>
      <c r="BW23" s="1089"/>
      <c r="BX23" s="1089"/>
      <c r="BY23" s="1089"/>
      <c r="BZ23" s="1089"/>
      <c r="CA23" s="1089"/>
      <c r="CB23" s="1089"/>
      <c r="CC23" s="1089"/>
      <c r="CD23" s="1089"/>
      <c r="CE23" s="1089"/>
      <c r="CF23" s="1089"/>
      <c r="CG23" s="1089"/>
      <c r="CH23" s="1089"/>
      <c r="CI23" s="1089"/>
      <c r="CJ23" s="1089"/>
      <c r="CK23" s="1089"/>
      <c r="CL23" s="1089"/>
      <c r="CM23" s="1089"/>
      <c r="CN23" s="1089"/>
      <c r="CO23" s="1089"/>
      <c r="CP23" s="1089"/>
      <c r="CQ23" s="1089"/>
      <c r="CR23" s="1089"/>
      <c r="CS23" s="1089"/>
      <c r="CT23" s="1089"/>
      <c r="CU23" s="1089"/>
      <c r="CV23" s="1089"/>
      <c r="CW23" s="1089"/>
      <c r="CX23" s="1089"/>
      <c r="CY23" s="1089"/>
      <c r="CZ23" s="1089"/>
      <c r="DA23" s="1089"/>
      <c r="DB23" s="1089"/>
      <c r="DC23" s="1089"/>
      <c r="DD23" s="1089"/>
      <c r="DE23" s="1089"/>
      <c r="DF23" s="1089"/>
      <c r="DG23" s="1089"/>
      <c r="DH23" s="1089"/>
      <c r="DI23" s="1089"/>
      <c r="DJ23" s="1089"/>
      <c r="DK23" s="1089"/>
      <c r="DL23" s="1089"/>
      <c r="DM23" s="1089"/>
      <c r="DN23" s="1089"/>
      <c r="DO23" s="1089"/>
      <c r="DP23" s="1089"/>
      <c r="DQ23" s="1089"/>
      <c r="DR23" s="1089"/>
      <c r="DS23" s="1089"/>
      <c r="DT23" s="1089"/>
      <c r="DU23" s="1089"/>
      <c r="DV23" s="1089"/>
      <c r="DW23" s="1089"/>
      <c r="DX23" s="1089"/>
      <c r="FX23" s="1086"/>
      <c r="FY23" s="1086"/>
      <c r="FZ23" s="1086"/>
      <c r="GA23" s="1086"/>
      <c r="GB23" s="1086"/>
      <c r="GC23" s="1087">
        <v>12</v>
      </c>
    </row>
    <row customHeight="1" ht="12.75">
      <c r="S24" s="962"/>
      <c r="T24" s="962"/>
      <c r="U24" s="962"/>
      <c r="V24" s="962"/>
      <c r="W24" s="962"/>
      <c r="X24" s="962"/>
      <c r="Y24" s="962"/>
      <c r="Z24" s="962"/>
      <c r="AA24" s="962"/>
      <c r="AB24" s="962"/>
      <c r="FX24" s="962"/>
      <c r="FY24" s="962"/>
      <c r="FZ24" s="962"/>
      <c r="GA24" s="962"/>
      <c r="GB24" s="962"/>
      <c r="GC24" s="950">
        <v>12</v>
      </c>
    </row>
    <row customHeight="1" ht="12" hidden="1">
      <c r="A25" s="950" t="s">
        <v>82</v>
      </c>
      <c r="B25" s="960">
        <v>0</v>
      </c>
      <c r="C25" s="950">
        <v>0</v>
      </c>
      <c r="D25" s="950">
        <v>0</v>
      </c>
      <c r="E25" s="950">
        <v>3</v>
      </c>
      <c r="F25" s="950">
        <v>6</v>
      </c>
      <c r="G25" s="950">
        <v>18</v>
      </c>
      <c r="H25" s="950">
        <v>27</v>
      </c>
      <c r="I25" s="950">
        <v>18</v>
      </c>
      <c r="J25" s="950">
        <v>0</v>
      </c>
      <c r="K25" s="950">
        <v>0</v>
      </c>
      <c r="L25" s="950">
        <v>0</v>
      </c>
      <c r="M25" s="950">
        <v>0</v>
      </c>
      <c r="N25" s="950">
        <v>0</v>
      </c>
      <c r="O25" s="950">
        <v>0</v>
      </c>
      <c r="P25" s="950">
        <v>0</v>
      </c>
      <c r="Q25" s="950">
        <v>0</v>
      </c>
      <c r="R25" s="950">
        <v>0</v>
      </c>
      <c r="S25" s="950">
        <v>0</v>
      </c>
      <c r="T25" s="950">
        <v>0</v>
      </c>
      <c r="U25" s="950">
        <v>0</v>
      </c>
      <c r="V25" s="950">
        <v>0</v>
      </c>
      <c r="W25" s="950">
        <v>0</v>
      </c>
      <c r="X25" s="950">
        <v>0</v>
      </c>
      <c r="Y25" s="950">
        <v>0</v>
      </c>
      <c r="Z25" s="950">
        <v>0</v>
      </c>
      <c r="AA25" s="950">
        <v>0</v>
      </c>
      <c r="AB25" s="950">
        <v>0</v>
      </c>
      <c r="AC25" s="950">
        <v>0</v>
      </c>
      <c r="AD25" s="950">
        <v>0</v>
      </c>
      <c r="AE25" s="950">
        <v>0</v>
      </c>
      <c r="AF25" s="950">
        <v>0</v>
      </c>
      <c r="AG25" s="950">
        <v>0</v>
      </c>
      <c r="AH25" s="950">
        <v>0</v>
      </c>
      <c r="AI25" s="950">
        <v>0</v>
      </c>
      <c r="AJ25" s="950">
        <v>0</v>
      </c>
      <c r="AK25" s="950">
        <v>0</v>
      </c>
      <c r="AL25" s="950">
        <v>0</v>
      </c>
      <c r="AM25" s="950">
        <v>0</v>
      </c>
      <c r="AN25" s="950">
        <v>0</v>
      </c>
      <c r="AO25" s="950">
        <v>0</v>
      </c>
      <c r="AP25" s="950">
        <v>0</v>
      </c>
      <c r="AQ25" s="950">
        <v>0</v>
      </c>
      <c r="AR25" s="950">
        <v>0</v>
      </c>
      <c r="AS25" s="950">
        <v>0</v>
      </c>
      <c r="AT25" s="950">
        <v>0</v>
      </c>
      <c r="AU25" s="950">
        <v>0</v>
      </c>
      <c r="AV25" s="950">
        <v>0</v>
      </c>
      <c r="AW25" s="950">
        <v>0</v>
      </c>
      <c r="AX25" s="950">
        <v>0</v>
      </c>
      <c r="AY25" s="950">
        <v>0</v>
      </c>
      <c r="AZ25" s="950">
        <v>0</v>
      </c>
      <c r="BA25" s="950">
        <v>0</v>
      </c>
      <c r="BB25" s="950">
        <v>0</v>
      </c>
      <c r="BC25" s="950">
        <v>0</v>
      </c>
      <c r="BD25" s="950">
        <v>0</v>
      </c>
      <c r="BE25" s="950">
        <v>0</v>
      </c>
      <c r="BF25" s="950">
        <v>0</v>
      </c>
      <c r="BG25" s="950">
        <v>0</v>
      </c>
      <c r="BH25" s="950">
        <v>0</v>
      </c>
      <c r="BI25" s="950">
        <v>0</v>
      </c>
      <c r="BJ25" s="950">
        <v>0</v>
      </c>
      <c r="BK25" s="950">
        <v>0</v>
      </c>
      <c r="BL25" s="950">
        <v>0</v>
      </c>
      <c r="BM25" s="950">
        <v>0</v>
      </c>
      <c r="BN25" s="950">
        <v>0</v>
      </c>
      <c r="BO25" s="950">
        <v>0</v>
      </c>
      <c r="BP25" s="950">
        <v>0</v>
      </c>
      <c r="BQ25" s="950">
        <v>0</v>
      </c>
      <c r="BR25" s="950">
        <v>0</v>
      </c>
      <c r="BS25" s="950">
        <v>0</v>
      </c>
      <c r="BT25" s="950">
        <v>0</v>
      </c>
      <c r="BU25" s="950">
        <v>0</v>
      </c>
      <c r="BV25" s="950">
        <v>0</v>
      </c>
      <c r="BW25" s="950">
        <v>0</v>
      </c>
      <c r="BX25" s="950">
        <v>0</v>
      </c>
      <c r="BY25" s="950">
        <v>0</v>
      </c>
      <c r="BZ25" s="950">
        <v>0</v>
      </c>
      <c r="CA25" s="950">
        <v>0</v>
      </c>
      <c r="CB25" s="950">
        <v>0</v>
      </c>
      <c r="CC25" s="950">
        <v>0</v>
      </c>
      <c r="CD25" s="950">
        <v>0</v>
      </c>
      <c r="CE25" s="950">
        <v>0</v>
      </c>
      <c r="CF25" s="950">
        <v>0</v>
      </c>
      <c r="CG25" s="950">
        <v>0</v>
      </c>
      <c r="CH25" s="950">
        <v>0</v>
      </c>
      <c r="CI25" s="950">
        <v>0</v>
      </c>
      <c r="CJ25" s="950">
        <v>0</v>
      </c>
      <c r="CK25" s="950">
        <v>0</v>
      </c>
      <c r="CL25" s="950">
        <v>0</v>
      </c>
      <c r="CM25" s="950">
        <v>0</v>
      </c>
      <c r="CN25" s="950">
        <v>0</v>
      </c>
      <c r="CO25" s="950">
        <v>0</v>
      </c>
      <c r="CP25" s="950">
        <v>0</v>
      </c>
      <c r="CQ25" s="950">
        <v>0</v>
      </c>
      <c r="CR25" s="950">
        <v>0</v>
      </c>
      <c r="CS25" s="950">
        <v>0</v>
      </c>
      <c r="CT25" s="950">
        <v>0</v>
      </c>
      <c r="CU25" s="950">
        <v>0</v>
      </c>
      <c r="CV25" s="950">
        <v>0</v>
      </c>
      <c r="CW25" s="950">
        <v>0</v>
      </c>
      <c r="CX25" s="950">
        <v>0</v>
      </c>
      <c r="CY25" s="950">
        <v>0</v>
      </c>
      <c r="CZ25" s="950">
        <v>0</v>
      </c>
      <c r="DA25" s="950">
        <v>0</v>
      </c>
      <c r="DB25" s="950">
        <v>0</v>
      </c>
      <c r="DC25" s="950">
        <v>0</v>
      </c>
      <c r="DD25" s="950">
        <v>0</v>
      </c>
      <c r="DE25" s="950">
        <v>0</v>
      </c>
      <c r="DF25" s="950">
        <v>0</v>
      </c>
      <c r="DG25" s="950">
        <v>0</v>
      </c>
      <c r="DH25" s="950">
        <v>0</v>
      </c>
      <c r="DI25" s="950">
        <v>0</v>
      </c>
      <c r="DJ25" s="950">
        <v>0</v>
      </c>
      <c r="DK25" s="950">
        <v>0</v>
      </c>
      <c r="DL25" s="950">
        <v>0</v>
      </c>
      <c r="DM25" s="950">
        <v>0</v>
      </c>
      <c r="DN25" s="950">
        <v>0</v>
      </c>
      <c r="DO25" s="950">
        <v>0</v>
      </c>
      <c r="DP25" s="950">
        <v>0</v>
      </c>
      <c r="DQ25" s="950">
        <v>0</v>
      </c>
      <c r="DR25" s="950">
        <v>0</v>
      </c>
      <c r="DS25" s="950">
        <v>0</v>
      </c>
      <c r="DT25" s="950">
        <v>0</v>
      </c>
      <c r="DU25" s="950">
        <v>0</v>
      </c>
      <c r="DV25" s="950">
        <v>0</v>
      </c>
      <c r="DW25" s="950">
        <v>0</v>
      </c>
      <c r="DX25" s="950">
        <v>0</v>
      </c>
      <c r="DY25" s="950">
        <v>0</v>
      </c>
      <c r="DZ25" s="950">
        <v>0</v>
      </c>
      <c r="EA25" s="950">
        <v>0</v>
      </c>
      <c r="EB25" s="950">
        <v>0</v>
      </c>
      <c r="EC25" s="950">
        <v>0</v>
      </c>
      <c r="ED25" s="950">
        <v>0</v>
      </c>
      <c r="EE25" s="950">
        <v>0</v>
      </c>
      <c r="EF25" s="950">
        <v>0</v>
      </c>
      <c r="EG25" s="950">
        <v>0</v>
      </c>
      <c r="EH25" s="950">
        <v>0</v>
      </c>
      <c r="EI25" s="950">
        <v>0</v>
      </c>
      <c r="EJ25" s="950">
        <v>0</v>
      </c>
      <c r="EK25" s="950">
        <v>0</v>
      </c>
      <c r="EL25" s="950">
        <v>0</v>
      </c>
      <c r="EM25" s="950">
        <v>0</v>
      </c>
      <c r="EN25" s="950">
        <v>0</v>
      </c>
      <c r="EO25" s="950">
        <v>0</v>
      </c>
      <c r="EP25" s="950">
        <v>0</v>
      </c>
      <c r="EQ25" s="950">
        <v>0</v>
      </c>
      <c r="ER25" s="950">
        <v>0</v>
      </c>
      <c r="ES25" s="950">
        <v>0</v>
      </c>
      <c r="ET25" s="950">
        <v>0</v>
      </c>
      <c r="EU25" s="950">
        <v>0</v>
      </c>
      <c r="EV25" s="950">
        <v>0</v>
      </c>
      <c r="EW25" s="950">
        <v>0</v>
      </c>
      <c r="EX25" s="950">
        <v>0</v>
      </c>
      <c r="EY25" s="950">
        <v>0</v>
      </c>
      <c r="EZ25" s="950">
        <v>0</v>
      </c>
      <c r="FA25" s="950">
        <v>0</v>
      </c>
      <c r="FB25" s="950">
        <v>0</v>
      </c>
      <c r="FC25" s="950">
        <v>0</v>
      </c>
      <c r="FD25" s="950">
        <v>0</v>
      </c>
      <c r="FE25" s="950">
        <v>0</v>
      </c>
      <c r="FF25" s="950">
        <v>0</v>
      </c>
      <c r="FG25" s="950">
        <v>0</v>
      </c>
      <c r="FH25" s="950">
        <v>0</v>
      </c>
      <c r="FI25" s="950">
        <v>0</v>
      </c>
      <c r="FJ25" s="950">
        <v>0</v>
      </c>
      <c r="FK25" s="950">
        <v>0</v>
      </c>
      <c r="FL25" s="950">
        <v>0</v>
      </c>
      <c r="FM25" s="950">
        <v>0</v>
      </c>
      <c r="FN25" s="950">
        <v>0</v>
      </c>
      <c r="FO25" s="950">
        <v>0</v>
      </c>
      <c r="FP25" s="950">
        <v>0</v>
      </c>
      <c r="FQ25" s="950">
        <v>0</v>
      </c>
      <c r="FR25" s="950">
        <v>0</v>
      </c>
      <c r="FS25" s="950">
        <v>0</v>
      </c>
      <c r="FT25" s="950">
        <v>0</v>
      </c>
      <c r="FU25" s="950">
        <v>0</v>
      </c>
      <c r="FV25" s="950">
        <v>0</v>
      </c>
      <c r="FW25" s="950">
        <v>0</v>
      </c>
      <c r="FX25" s="950">
        <v>8</v>
      </c>
      <c r="FY25" s="950">
        <v>8</v>
      </c>
      <c r="FZ25" s="950">
        <v>8</v>
      </c>
      <c r="GA25" s="950">
        <v>8</v>
      </c>
      <c r="GB25" s="950">
        <v>8</v>
      </c>
      <c r="GC25" s="950">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F21997-D04C-F03D-3027-0.4F2E261F}" mc:Ignorable="x14ac xr xr2 xr3">
  <sheetPr>
    <tabColor theme="2" tint="-0.1"/>
  </sheetPr>
  <dimension ref="A1:AG23"/>
  <sheetViews>
    <sheetView showGridLines="0" zoomScale="80" workbookViewId="0">
      <pane xSplit="7" ySplit="14" topLeftCell="H15" activePane="bottomRight" state="frozen"/>
      <selection pane="bottomLeft" activeCell="A15" sqref="A15"/>
      <selection pane="topRight" activeCell="H1" sqref="H1"/>
      <selection pane="bottomRight" activeCell="C21" sqref="C21"/>
    </sheetView>
  </sheetViews>
  <sheetFormatPr defaultColWidth="10.57421875" customHeight="1" defaultRowHeight="15"/>
  <cols>
    <col min="1" max="1" style="1656" width="9.140625" hidden="1" customWidth="1"/>
    <col min="2" max="2" style="1659" width="9.140625" hidden="1" customWidth="1"/>
    <col min="3" max="3" style="707" width="4.00390625" customWidth="1"/>
    <col min="4" max="4" style="1659" width="6.00390625" customWidth="1"/>
    <col min="5" max="5" style="1659" width="36.00390625" customWidth="1"/>
    <col min="6" max="6" style="1659" width="9.00390625" customWidth="1"/>
    <col min="7" max="7" style="1659" width="42.421875" hidden="1" customWidth="1"/>
    <col min="8" max="8" style="1659" width="40.7109375" customWidth="1"/>
    <col min="9" max="22" style="1659" width="42.421875" customWidth="1"/>
    <col min="23" max="23" style="1390" width="93.00390625" customWidth="1"/>
    <col min="24" max="31" style="1659" width="10.00390625" customWidth="1"/>
    <col min="32" max="32" style="699" width="10.00390625" customWidth="1"/>
    <col min="33" max="33" style="1659" width="10.57421875" hidden="1"/>
  </cols>
  <sheetData>
    <row s="1390" customFormat="1" customHeight="1" ht="15" hidden="1">
      <c r="C1" s="696"/>
      <c r="H1" s="441">
        <v>4</v>
      </c>
      <c r="I1" s="1390"/>
      <c r="J1" s="1390"/>
      <c r="K1" s="1390"/>
      <c r="L1" s="1390"/>
      <c r="M1" s="1390"/>
      <c r="N1" s="1390"/>
      <c r="O1" s="1390"/>
      <c r="P1" s="1390"/>
      <c r="Q1" s="1390"/>
      <c r="R1" s="1390"/>
      <c r="S1" s="1390"/>
      <c r="T1" s="1390"/>
      <c r="U1" s="1390"/>
      <c r="V1" s="1390"/>
      <c r="AF1" s="444"/>
      <c r="AG1" s="441" t="s">
        <v>14</v>
      </c>
    </row>
    <row customHeight="1" ht="22.5" hidden="1">
      <c r="C2" s="1952" t="s">
        <v>104</v>
      </c>
      <c r="D2" s="563"/>
      <c r="E2" s="687"/>
      <c r="F2" s="1785" t="str">
        <f>IF(TEMPLATE_SPHERE="HEAT","Гкал/час","тыс. куб. м/сутки")</f>
        <v>Гкал/час</v>
      </c>
      <c r="G2" s="704"/>
      <c r="H2" s="704"/>
      <c r="I2" s="704"/>
      <c r="J2" s="704"/>
      <c r="K2" s="704"/>
      <c r="L2" s="704"/>
      <c r="M2" s="704"/>
      <c r="N2" s="704"/>
      <c r="O2" s="704"/>
      <c r="P2" s="704"/>
      <c r="Q2" s="704"/>
      <c r="R2" s="704"/>
      <c r="S2" s="704"/>
      <c r="T2" s="704"/>
      <c r="U2" s="704"/>
      <c r="V2" s="704"/>
      <c r="W2" s="313"/>
      <c r="AG2" s="529">
        <v>0</v>
      </c>
    </row>
    <row s="1390" customFormat="1" customHeight="1" ht="15" hidden="1">
      <c r="C3" s="696"/>
      <c r="I3" s="1390"/>
      <c r="J3" s="1390"/>
      <c r="K3" s="1390"/>
      <c r="L3" s="1390"/>
      <c r="M3" s="1390"/>
      <c r="N3" s="1390"/>
      <c r="O3" s="1390"/>
      <c r="P3" s="1390"/>
      <c r="Q3" s="1390"/>
      <c r="R3" s="1390"/>
      <c r="S3" s="1390"/>
      <c r="T3" s="1390"/>
      <c r="U3" s="1390"/>
      <c r="V3" s="1390"/>
      <c r="AF3" s="444"/>
      <c r="AG3" s="441">
        <v>0</v>
      </c>
    </row>
    <row customHeight="1" ht="15.75">
      <c r="C4" s="200"/>
      <c r="D4" s="533"/>
      <c r="E4" s="533"/>
      <c r="F4" s="533"/>
      <c r="G4" s="533"/>
      <c r="H4" s="533"/>
      <c r="I4" s="1659"/>
      <c r="J4" s="1659"/>
      <c r="K4" s="1659"/>
      <c r="L4" s="1659"/>
      <c r="M4" s="1659"/>
      <c r="N4" s="1659"/>
      <c r="O4" s="1659"/>
      <c r="P4" s="1659"/>
      <c r="Q4" s="1659"/>
      <c r="R4" s="1659"/>
      <c r="S4" s="1659"/>
      <c r="T4" s="1659"/>
      <c r="U4" s="1659"/>
      <c r="V4" s="1659"/>
      <c r="AG4" s="529">
        <v>15</v>
      </c>
    </row>
    <row customHeight="1" ht="39.75">
      <c r="C5" s="200"/>
      <c r="D5" s="226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61"/>
      <c r="F5" s="2261"/>
      <c r="G5" s="2261"/>
      <c r="H5" s="2261"/>
      <c r="I5" s="2272"/>
      <c r="J5" s="2272"/>
      <c r="K5" s="2272"/>
      <c r="L5" s="2272"/>
      <c r="M5" s="2272"/>
      <c r="N5" s="2272"/>
      <c r="O5" s="2272"/>
      <c r="P5" s="2272"/>
      <c r="Q5" s="2272"/>
      <c r="R5" s="2272"/>
      <c r="S5" s="2272"/>
      <c r="T5" s="2272"/>
      <c r="U5" s="2272"/>
      <c r="V5" s="2272"/>
      <c r="W5" s="561"/>
      <c r="AG5" s="529">
        <v>38</v>
      </c>
    </row>
    <row customHeight="1" ht="15.75">
      <c r="C6" s="200"/>
      <c r="D6" s="2200" t="str">
        <f>IF(org=0,"Не определено",org)</f>
        <v>АО "ДГК"</v>
      </c>
      <c r="E6" s="2200"/>
      <c r="F6" s="2200"/>
      <c r="G6" s="2200"/>
      <c r="H6" s="2200"/>
      <c r="I6" s="2273"/>
      <c r="J6" s="2273"/>
      <c r="K6" s="2273"/>
      <c r="L6" s="2273"/>
      <c r="M6" s="2273"/>
      <c r="N6" s="2273"/>
      <c r="O6" s="2273"/>
      <c r="P6" s="2273"/>
      <c r="Q6" s="2273"/>
      <c r="R6" s="2273"/>
      <c r="S6" s="2273"/>
      <c r="T6" s="2273"/>
      <c r="U6" s="2273"/>
      <c r="V6" s="2273"/>
      <c r="W6" s="561"/>
      <c r="AG6" s="529">
        <v>15</v>
      </c>
    </row>
    <row s="1659" customFormat="1" customHeight="1" ht="15.75">
      <c r="A7" s="783"/>
      <c r="C7" s="200"/>
      <c r="D7" s="700"/>
      <c r="E7" s="700"/>
      <c r="F7" s="700"/>
      <c r="G7" s="700"/>
      <c r="H7" s="776"/>
      <c r="I7" s="2431" t="s">
        <v>22</v>
      </c>
      <c r="J7" s="2431" t="s">
        <v>22</v>
      </c>
      <c r="K7" s="2431" t="s">
        <v>22</v>
      </c>
      <c r="L7" s="2431" t="s">
        <v>22</v>
      </c>
      <c r="M7" s="2431" t="s">
        <v>22</v>
      </c>
      <c r="N7" s="2431" t="s">
        <v>22</v>
      </c>
      <c r="O7" s="2431" t="s">
        <v>22</v>
      </c>
      <c r="P7" s="2431" t="s">
        <v>22</v>
      </c>
      <c r="Q7" s="2431" t="s">
        <v>22</v>
      </c>
      <c r="R7" s="2431" t="s">
        <v>22</v>
      </c>
      <c r="S7" s="2431" t="s">
        <v>22</v>
      </c>
      <c r="T7" s="2431" t="s">
        <v>22</v>
      </c>
      <c r="U7" s="2431" t="s">
        <v>22</v>
      </c>
      <c r="V7" s="2431" t="s">
        <v>22</v>
      </c>
      <c r="W7" s="561"/>
      <c r="AF7" s="699"/>
      <c r="AG7" s="782">
        <v>15</v>
      </c>
    </row>
    <row customHeight="1" ht="1.05">
      <c r="C8" s="200"/>
      <c r="D8" s="533"/>
      <c r="E8" s="533"/>
      <c r="F8" s="533"/>
      <c r="G8" s="533"/>
      <c r="H8" s="561" t="s">
        <v>176</v>
      </c>
      <c r="I8" s="1659" t="s">
        <v>181</v>
      </c>
      <c r="J8" s="1659" t="s">
        <v>183</v>
      </c>
      <c r="K8" s="1659" t="s">
        <v>185</v>
      </c>
      <c r="L8" s="1659" t="s">
        <v>187</v>
      </c>
      <c r="M8" s="1659" t="s">
        <v>189</v>
      </c>
      <c r="N8" s="1659" t="s">
        <v>191</v>
      </c>
      <c r="O8" s="1659" t="s">
        <v>193</v>
      </c>
      <c r="P8" s="1659" t="s">
        <v>195</v>
      </c>
      <c r="Q8" s="1659" t="s">
        <v>197</v>
      </c>
      <c r="R8" s="1659" t="s">
        <v>199</v>
      </c>
      <c r="S8" s="1659" t="s">
        <v>201</v>
      </c>
      <c r="T8" s="1659" t="s">
        <v>203</v>
      </c>
      <c r="U8" s="1659" t="s">
        <v>205</v>
      </c>
      <c r="V8" s="1659" t="s">
        <v>207</v>
      </c>
      <c r="AG8" s="529">
        <v>1</v>
      </c>
    </row>
    <row customHeight="1" ht="15.75">
      <c r="C9" s="200"/>
      <c r="D9" s="735"/>
      <c r="E9" s="2391" t="s">
        <v>166</v>
      </c>
      <c r="F9" s="2392"/>
      <c r="G9" s="840" t="str">
        <f>IF(G8="","",INDEX(DIFFERENTIATION_UNMERGE_VD,MATCH(G8,DIFFERENTIATION_ID_DIFF,0)))</f>
        <v/>
      </c>
      <c r="H9" s="840" t="str">
        <f>IF(H8="","",INDEX(DIFFERENTIATION_UNMERGE_VD,MATCH(H8,DIFFERENTIATION_ID_DIFF,0)))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9" s="2419" t="str">
        <f>IF(I8="","",INDEX(DIFFERENTIATION_UNMERGE_VD,MATCH(I8,DIFFERENTIATION_ID_DIFF,0)))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9" s="2419" t="str">
        <f>IF(J8="","",INDEX(DIFFERENTIATION_UNMERGE_VD,MATCH(J8,DIFFERENTIATION_ID_DIFF,0)))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K9" s="2419" t="str">
        <f>IF(K8="","",INDEX(DIFFERENTIATION_UNMERGE_VD,MATCH(K8,DIFFERENTIATION_ID_DIFF,0)))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L9" s="2419" t="str">
        <f>IF(L8="","",INDEX(DIFFERENTIATION_UNMERGE_VD,MATCH(L8,DIFFERENTIATION_ID_DIFF,0)))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M9" s="2419" t="str">
        <f>IF(M8="","",INDEX(DIFFERENTIATION_UNMERGE_VD,MATCH(M8,DIFFERENTIATION_ID_DIFF,0)))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N9" s="2419" t="str">
        <f>IF(N8="","",INDEX(DIFFERENTIATION_UNMERGE_VD,MATCH(N8,DIFFERENTIATION_ID_DIFF,0)))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O9" s="2419" t="str">
        <f>IF(O8="","",INDEX(DIFFERENTIATION_UNMERGE_VD,MATCH(O8,DIFFERENTIATION_ID_DIFF,0)))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9" s="2419" t="str">
        <f>IF(P8="","",INDEX(DIFFERENTIATION_UNMERGE_VD,MATCH(P8,DIFFERENTIATION_ID_DIFF,0)))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9" s="2419" t="str">
        <f>IF(Q8="","",INDEX(DIFFERENTIATION_UNMERGE_VD,MATCH(Q8,DIFFERENTIATION_ID_DIFF,0)))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R9" s="2419" t="str">
        <f>IF(R8="","",INDEX(DIFFERENTIATION_UNMERGE_VD,MATCH(R8,DIFFERENTIATION_ID_DIFF,0)))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S9" s="2419" t="str">
        <f>IF(S8="","",INDEX(DIFFERENTIATION_UNMERGE_VD,MATCH(S8,DIFFERENTIATION_ID_DIFF,0)))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T9" s="2419" t="str">
        <f>IF(T8="","",INDEX(DIFFERENTIATION_UNMERGE_VD,MATCH(T8,DIFFERENTIATION_ID_DIFF,0)))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U9" s="2419" t="str">
        <f>IF(U8="","",INDEX(DIFFERENTIATION_UNMERGE_VD,MATCH(U8,DIFFERENTIATION_ID_DIFF,0)))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V9" s="2419" t="str">
        <f>IF(V8="","",INDEX(DIFFERENTIATION_UNMERGE_VD,MATCH(V8,DIFFERENTIATION_ID_DIFF,0)))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W9" s="2151" t="s">
        <v>385</v>
      </c>
      <c r="AG9" s="529">
        <v>15</v>
      </c>
    </row>
    <row s="1659" customFormat="1" customHeight="1" ht="15.75">
      <c r="A10" s="783"/>
      <c r="C10" s="200"/>
      <c r="D10" s="735"/>
      <c r="E10" s="2391" t="s">
        <v>648</v>
      </c>
      <c r="F10" s="2392"/>
      <c r="G10" s="840" t="str">
        <f>IF(G8="","",INDEX(DIFFERENTIATION_UNMERGE_AREA,MATCH(G8,DIFFERENTIATION_ID_DIFF,0)))</f>
        <v/>
      </c>
      <c r="H10" s="840" t="str">
        <f>IF(H8="","",INDEX(DIFFERENTIATION_UNMERGE_AREA,MATCH(H8,DIFFERENTIATION_ID_DIFF,0)))</f>
        <v>Территория 1</v>
      </c>
      <c r="I10" s="2419" t="str">
        <f>IF(I8="","",INDEX(DIFFERENTIATION_UNMERGE_AREA,MATCH(I8,DIFFERENTIATION_ID_DIFF,0)))</f>
        <v>Территория 2</v>
      </c>
      <c r="J10" s="2419" t="str">
        <f>IF(J8="","",INDEX(DIFFERENTIATION_UNMERGE_AREA,MATCH(J8,DIFFERENTIATION_ID_DIFF,0)))</f>
        <v>Территория 2</v>
      </c>
      <c r="K10" s="2419" t="str">
        <f>IF(K8="","",INDEX(DIFFERENTIATION_UNMERGE_AREA,MATCH(K8,DIFFERENTIATION_ID_DIFF,0)))</f>
        <v>Территория 3</v>
      </c>
      <c r="L10" s="2419" t="str">
        <f>IF(L8="","",INDEX(DIFFERENTIATION_UNMERGE_AREA,MATCH(L8,DIFFERENTIATION_ID_DIFF,0)))</f>
        <v>Территория 3</v>
      </c>
      <c r="M10" s="2419" t="str">
        <f>IF(M8="","",INDEX(DIFFERENTIATION_UNMERGE_AREA,MATCH(M8,DIFFERENTIATION_ID_DIFF,0)))</f>
        <v>Территория 3</v>
      </c>
      <c r="N10" s="2419" t="str">
        <f>IF(N8="","",INDEX(DIFFERENTIATION_UNMERGE_AREA,MATCH(N8,DIFFERENTIATION_ID_DIFF,0)))</f>
        <v>Территория 3</v>
      </c>
      <c r="O10" s="2419" t="str">
        <f>IF(O8="","",INDEX(DIFFERENTIATION_UNMERGE_AREA,MATCH(O8,DIFFERENTIATION_ID_DIFF,0)))</f>
        <v>Территория 4</v>
      </c>
      <c r="P10" s="2419" t="str">
        <f>IF(P8="","",INDEX(DIFFERENTIATION_UNMERGE_AREA,MATCH(P8,DIFFERENTIATION_ID_DIFF,0)))</f>
        <v>Территория 5</v>
      </c>
      <c r="Q10" s="2419" t="str">
        <f>IF(Q8="","",INDEX(DIFFERENTIATION_UNMERGE_AREA,MATCH(Q8,DIFFERENTIATION_ID_DIFF,0)))</f>
        <v>Территория 6</v>
      </c>
      <c r="R10" s="2419" t="str">
        <f>IF(R8="","",INDEX(DIFFERENTIATION_UNMERGE_AREA,MATCH(R8,DIFFERENTIATION_ID_DIFF,0)))</f>
        <v>Территория 7</v>
      </c>
      <c r="S10" s="2419" t="str">
        <f>IF(S8="","",INDEX(DIFFERENTIATION_UNMERGE_AREA,MATCH(S8,DIFFERENTIATION_ID_DIFF,0)))</f>
        <v>Территория 8</v>
      </c>
      <c r="T10" s="2419" t="str">
        <f>IF(T8="","",INDEX(DIFFERENTIATION_UNMERGE_AREA,MATCH(T8,DIFFERENTIATION_ID_DIFF,0)))</f>
        <v>Территория 8</v>
      </c>
      <c r="U10" s="2419" t="str">
        <f>IF(U8="","",INDEX(DIFFERENTIATION_UNMERGE_AREA,MATCH(U8,DIFFERENTIATION_ID_DIFF,0)))</f>
        <v>Территория 9</v>
      </c>
      <c r="V10" s="2419" t="str">
        <f>IF(V8="","",INDEX(DIFFERENTIATION_UNMERGE_AREA,MATCH(V8,DIFFERENTIATION_ID_DIFF,0)))</f>
        <v>Территория 10</v>
      </c>
      <c r="W10" s="2151"/>
      <c r="AF10" s="699"/>
      <c r="AG10" s="782">
        <v>15</v>
      </c>
    </row>
    <row s="1659" customFormat="1" customHeight="1" ht="15.75">
      <c r="A11" s="783"/>
      <c r="C11" s="200"/>
      <c r="D11" s="735"/>
      <c r="E11" s="2391" t="s">
        <v>649</v>
      </c>
      <c r="F11" s="2392"/>
      <c r="G11" s="840" t="str">
        <f>IF(G8="","",INDEX(DIFFERENTIATION_UNMERGE_SYSTEM,MATCH(G8,DIFFERENTIATION_ID_DIFF,0)))</f>
        <v/>
      </c>
      <c r="H11" s="840" t="str">
        <f>IF(H8="","",INDEX(DIFFERENTIATION_UNMERGE_SYSTEM,MATCH(H8,DIFFERENTIATION_ID_DIFF,0)))</f>
        <v>Амурская ТЭЦ-1 (г. Амурск)</v>
      </c>
      <c r="I11" s="2419" t="str">
        <f>IF(I8="","",INDEX(DIFFERENTIATION_UNMERGE_SYSTEM,MATCH(I8,DIFFERENTIATION_ID_DIFF,0)))</f>
        <v>Николаевская ТЭЦ (г. Николаевск)</v>
      </c>
      <c r="J11" s="2419" t="str">
        <f>IF(J8="","",INDEX(DIFFERENTIATION_UNMERGE_SYSTEM,MATCH(J8,DIFFERENTIATION_ID_DIFF,0)))</f>
        <v>котельная "Аэропорт"</v>
      </c>
      <c r="K11" s="2419" t="str">
        <f>IF(K8="","",INDEX(DIFFERENTIATION_UNMERGE_SYSTEM,MATCH(K8,DIFFERENTIATION_ID_DIFF,0)))</f>
        <v>Комсомольская ТЭЦ-1 (г. Комсомольск)</v>
      </c>
      <c r="L11" s="2419" t="str">
        <f>IF(L8="","",INDEX(DIFFERENTIATION_UNMERGE_SYSTEM,MATCH(L8,DIFFERENTIATION_ID_DIFF,0)))</f>
        <v>Комсомольская ТЭЦ-2 (г. Комсомольск)</v>
      </c>
      <c r="M11" s="2419" t="str">
        <f>IF(M8="","",INDEX(DIFFERENTIATION_UNMERGE_SYSTEM,MATCH(M8,DIFFERENTIATION_ID_DIFF,0)))</f>
        <v>Комсомольская ТЭЦ-3 (г. Комсомольск)</v>
      </c>
      <c r="N11" s="2419" t="str">
        <f>IF(N8="","",INDEX(DIFFERENTIATION_UNMERGE_SYSTEM,MATCH(N8,DIFFERENTIATION_ID_DIFF,0)))</f>
        <v>ВК "Дземги" (г. Комсомольск)</v>
      </c>
      <c r="O11" s="2419" t="str">
        <f>IF(O8="","",INDEX(DIFFERENTIATION_UNMERGE_SYSTEM,MATCH(O8,DIFFERENTIATION_ID_DIFF,0)))</f>
        <v>ТЭЦ в г. Советская Гавань</v>
      </c>
      <c r="P11" s="2419" t="str">
        <f>IF(P8="","",INDEX(DIFFERENTIATION_UNMERGE_SYSTEM,MATCH(P8,DIFFERENTIATION_ID_DIFF,0)))</f>
        <v>Майская котельная </v>
      </c>
      <c r="Q11" s="2419" t="str">
        <f>IF(Q8="","",INDEX(DIFFERENTIATION_UNMERGE_SYSTEM,MATCH(Q8,DIFFERENTIATION_ID_DIFF,0)))</f>
        <v>Ургальская котельная (п. Чегдомын)</v>
      </c>
      <c r="R11" s="2419" t="str">
        <f>IF(R8="","",INDEX(DIFFERENTIATION_UNMERGE_SYSTEM,MATCH(R8,DIFFERENTIATION_ID_DIFF,0)))</f>
        <v>Хабаровская ТЭЦ-1 (г. Хабаровск, с. Ильинское, п. Корфовский, с. Ракитненское)</v>
      </c>
      <c r="S11" s="2419" t="str">
        <f>IF(S8="","",INDEX(DIFFERENTIATION_UNMERGE_SYSTEM,MATCH(S8,DIFFERENTIATION_ID_DIFF,0)))</f>
        <v>Хабаровская ТЭЦ-2 (г. Хабаровск)</v>
      </c>
      <c r="T11" s="2419" t="str">
        <f>IF(T8="","",INDEX(DIFFERENTIATION_UNMERGE_SYSTEM,MATCH(T8,DIFFERENTIATION_ID_DIFF,0)))</f>
        <v>Котельная в Волочаевском городке</v>
      </c>
      <c r="U11" s="2419" t="str">
        <f>IF(U8="","",INDEX(DIFFERENTIATION_UNMERGE_SYSTEM,MATCH(U8,DIFFERENTIATION_ID_DIFF,0)))</f>
        <v>Хабаровская ТЭЦ-3 (г. Хабаровск, с. Восточное, с. Мирненское, с. Тополевское)</v>
      </c>
      <c r="V11" s="2419" t="str">
        <f>IF(V8="","",INDEX(DIFFERENTIATION_UNMERGE_SYSTEM,MATCH(V8,DIFFERENTIATION_ID_DIFF,0)))</f>
        <v>Котельная в с. Некрасовка (с. Дружбинское, с. Некрасовское) </v>
      </c>
      <c r="W11" s="2151"/>
      <c r="AF11" s="699"/>
      <c r="AG11" s="782">
        <v>15</v>
      </c>
    </row>
    <row s="1659" customFormat="1" customHeight="1" ht="15.75">
      <c r="A12" s="783"/>
      <c r="C12" s="200"/>
      <c r="D12" s="2393" t="s">
        <v>384</v>
      </c>
      <c r="E12" s="2394"/>
      <c r="F12" s="2394"/>
      <c r="G12" s="911"/>
      <c r="H12" s="911"/>
      <c r="I12" s="2391"/>
      <c r="J12" s="2391"/>
      <c r="K12" s="2391"/>
      <c r="L12" s="2391"/>
      <c r="M12" s="2391"/>
      <c r="N12" s="2391"/>
      <c r="O12" s="2391"/>
      <c r="P12" s="2391"/>
      <c r="Q12" s="2391"/>
      <c r="R12" s="2391"/>
      <c r="S12" s="2391"/>
      <c r="T12" s="2391"/>
      <c r="U12" s="2391"/>
      <c r="V12" s="2391"/>
      <c r="W12" s="2151"/>
      <c r="AF12" s="699"/>
      <c r="AG12" s="782">
        <v>15</v>
      </c>
    </row>
    <row customHeight="1" ht="35.699999999999996">
      <c r="C13" s="200"/>
      <c r="D13" s="785" t="s">
        <v>88</v>
      </c>
      <c r="E13" s="784" t="s">
        <v>386</v>
      </c>
      <c r="F13" s="784" t="s">
        <v>650</v>
      </c>
      <c r="G13" s="832" t="s">
        <v>387</v>
      </c>
      <c r="H13" s="778" t="s">
        <v>387</v>
      </c>
      <c r="I13" s="2286" t="s">
        <v>387</v>
      </c>
      <c r="J13" s="2286" t="s">
        <v>387</v>
      </c>
      <c r="K13" s="2286" t="s">
        <v>387</v>
      </c>
      <c r="L13" s="2286" t="s">
        <v>387</v>
      </c>
      <c r="M13" s="2286" t="s">
        <v>387</v>
      </c>
      <c r="N13" s="2286" t="s">
        <v>387</v>
      </c>
      <c r="O13" s="2286" t="s">
        <v>387</v>
      </c>
      <c r="P13" s="2286" t="s">
        <v>387</v>
      </c>
      <c r="Q13" s="2286" t="s">
        <v>387</v>
      </c>
      <c r="R13" s="2286" t="s">
        <v>387</v>
      </c>
      <c r="S13" s="2286" t="s">
        <v>387</v>
      </c>
      <c r="T13" s="2286" t="s">
        <v>387</v>
      </c>
      <c r="U13" s="2286" t="s">
        <v>387</v>
      </c>
      <c r="V13" s="2286" t="s">
        <v>387</v>
      </c>
      <c r="W13" s="2151"/>
      <c r="AG13" s="529">
        <v>34</v>
      </c>
    </row>
    <row customHeight="1" ht="15" hidden="1">
      <c r="C14" s="200"/>
      <c r="D14" s="617" t="s">
        <v>170</v>
      </c>
      <c r="E14" s="617" t="s">
        <v>103</v>
      </c>
      <c r="F14" s="617" t="s">
        <v>90</v>
      </c>
      <c r="G14" s="683" t="str">
        <f>G1&amp;".1"</f>
        <v>.1</v>
      </c>
      <c r="H14" s="683" t="str">
        <f>H1&amp;".1"</f>
        <v>4.1</v>
      </c>
      <c r="I14" s="707" t="str">
        <f>I1&amp;".1"</f>
        <v>.1</v>
      </c>
      <c r="J14" s="707" t="str">
        <f>J1&amp;".1"</f>
        <v>.1</v>
      </c>
      <c r="K14" s="707" t="str">
        <f>K1&amp;".1"</f>
        <v>.1</v>
      </c>
      <c r="L14" s="707" t="str">
        <f>L1&amp;".1"</f>
        <v>.1</v>
      </c>
      <c r="M14" s="707" t="str">
        <f>M1&amp;".1"</f>
        <v>.1</v>
      </c>
      <c r="N14" s="707" t="str">
        <f>N1&amp;".1"</f>
        <v>.1</v>
      </c>
      <c r="O14" s="707" t="str">
        <f>O1&amp;".1"</f>
        <v>.1</v>
      </c>
      <c r="P14" s="707" t="str">
        <f>P1&amp;".1"</f>
        <v>.1</v>
      </c>
      <c r="Q14" s="707" t="str">
        <f>Q1&amp;".1"</f>
        <v>.1</v>
      </c>
      <c r="R14" s="707" t="str">
        <f>R1&amp;".1"</f>
        <v>.1</v>
      </c>
      <c r="S14" s="707" t="str">
        <f>S1&amp;".1"</f>
        <v>.1</v>
      </c>
      <c r="T14" s="707" t="str">
        <f>T1&amp;".1"</f>
        <v>.1</v>
      </c>
      <c r="U14" s="707" t="str">
        <f>U1&amp;".1"</f>
        <v>.1</v>
      </c>
      <c r="V14" s="707" t="str">
        <f>V1&amp;".1"</f>
        <v>.1</v>
      </c>
      <c r="W14" s="313"/>
      <c r="AG14" s="529">
        <v>0</v>
      </c>
    </row>
    <row customHeight="1" ht="15.75">
      <c r="A15" s="529"/>
      <c r="C15" s="550"/>
      <c r="D15" s="545">
        <v>1</v>
      </c>
      <c r="E15" s="1954" t="str">
        <f>TP_P_A</f>
        <v>Количество поданных заявок</v>
      </c>
      <c r="F15" s="545" t="s">
        <v>1450</v>
      </c>
      <c r="G15" s="709"/>
      <c r="H15" s="709">
        <v>1</v>
      </c>
      <c r="I15" s="709">
        <v>0</v>
      </c>
      <c r="J15" s="709">
        <v>0</v>
      </c>
      <c r="K15" s="709">
        <v>0</v>
      </c>
      <c r="L15" s="709">
        <v>4</v>
      </c>
      <c r="M15" s="709">
        <v>3</v>
      </c>
      <c r="N15" s="709">
        <v>4</v>
      </c>
      <c r="O15" s="709">
        <v>0</v>
      </c>
      <c r="P15" s="709">
        <v>0</v>
      </c>
      <c r="Q15" s="709">
        <v>0</v>
      </c>
      <c r="R15" s="709">
        <v>13</v>
      </c>
      <c r="S15" s="709">
        <v>2</v>
      </c>
      <c r="T15" s="709">
        <v>0</v>
      </c>
      <c r="U15" s="709">
        <v>13</v>
      </c>
      <c r="V15" s="709">
        <v>0</v>
      </c>
      <c r="W15" s="23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AG15" s="529">
        <v>15</v>
      </c>
    </row>
    <row customHeight="1" ht="15.75">
      <c r="A16" s="529"/>
      <c r="C16" s="550"/>
      <c r="D16" s="545">
        <v>2</v>
      </c>
      <c r="E16" s="1954" t="str">
        <f>TP_P_B</f>
        <v>Количество рассмотренных заявок</v>
      </c>
      <c r="F16" s="545" t="s">
        <v>1450</v>
      </c>
      <c r="G16" s="709"/>
      <c r="H16" s="709">
        <v>0</v>
      </c>
      <c r="I16" s="709">
        <v>0</v>
      </c>
      <c r="J16" s="709">
        <v>0</v>
      </c>
      <c r="K16" s="709">
        <v>0</v>
      </c>
      <c r="L16" s="709">
        <v>0</v>
      </c>
      <c r="M16" s="709">
        <v>0</v>
      </c>
      <c r="N16" s="709">
        <v>0</v>
      </c>
      <c r="O16" s="709">
        <v>0</v>
      </c>
      <c r="P16" s="709">
        <v>0</v>
      </c>
      <c r="Q16" s="709">
        <v>0</v>
      </c>
      <c r="R16" s="709">
        <v>0</v>
      </c>
      <c r="S16" s="709">
        <v>0</v>
      </c>
      <c r="T16" s="709">
        <v>0</v>
      </c>
      <c r="U16" s="709">
        <v>0</v>
      </c>
      <c r="V16" s="709">
        <v>0</v>
      </c>
      <c r="W16" s="23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AG16" s="529">
        <v>15</v>
      </c>
    </row>
    <row customHeight="1" ht="78">
      <c r="A17" s="529"/>
      <c r="C17" s="550"/>
      <c r="D17" s="545">
        <v>3</v>
      </c>
      <c r="E17" s="195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45" t="s">
        <v>1450</v>
      </c>
      <c r="G17" s="709"/>
      <c r="H17" s="709">
        <v>0</v>
      </c>
      <c r="I17" s="709">
        <v>0</v>
      </c>
      <c r="J17" s="709">
        <v>0</v>
      </c>
      <c r="K17" s="709">
        <v>0</v>
      </c>
      <c r="L17" s="709">
        <v>0</v>
      </c>
      <c r="M17" s="709">
        <v>0</v>
      </c>
      <c r="N17" s="709">
        <v>0</v>
      </c>
      <c r="O17" s="709">
        <v>0</v>
      </c>
      <c r="P17" s="709">
        <v>0</v>
      </c>
      <c r="Q17" s="709">
        <v>0</v>
      </c>
      <c r="R17" s="709">
        <v>3</v>
      </c>
      <c r="S17" s="709">
        <v>0</v>
      </c>
      <c r="T17" s="709">
        <v>0</v>
      </c>
      <c r="U17" s="709">
        <v>2</v>
      </c>
      <c r="V17" s="709">
        <v>0</v>
      </c>
      <c r="W17" s="232" t="str">
        <f>TP_P_NOTE_V</f>
        <v>Указывается количество заявок с решением об отказе в течение отчетного квартала.</v>
      </c>
      <c r="AG17" s="529">
        <v>74</v>
      </c>
    </row>
    <row customHeight="1" ht="54.75">
      <c r="A18" s="529"/>
      <c r="C18" s="550"/>
      <c r="D18" s="545">
        <v>4</v>
      </c>
      <c r="E18" s="1954" t="str">
        <f>TP_P_V_1</f>
        <v>Причины отказа в заключении договора о подключении (технологическом присоединении) к системе теплоснабжения</v>
      </c>
      <c r="F18" s="545" t="s">
        <v>390</v>
      </c>
      <c r="G18" s="710"/>
      <c r="H18" s="710"/>
      <c r="I18" s="2377"/>
      <c r="J18" s="2377"/>
      <c r="K18" s="2377"/>
      <c r="L18" s="2377"/>
      <c r="M18" s="2377"/>
      <c r="N18" s="2377"/>
      <c r="O18" s="2377"/>
      <c r="P18" s="2377"/>
      <c r="Q18" s="2377"/>
      <c r="R18" s="2946" t="s">
        <v>1451</v>
      </c>
      <c r="S18" s="2377"/>
      <c r="T18" s="2377"/>
      <c r="U18" s="2946" t="s">
        <v>1451</v>
      </c>
      <c r="V18" s="2377"/>
      <c r="W18" s="86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AG18" s="529">
        <v>52</v>
      </c>
    </row>
    <row customHeight="1" ht="60">
      <c r="A19" s="529"/>
      <c r="C19" s="550"/>
      <c r="D19" s="545">
        <v>5</v>
      </c>
      <c r="E19" s="1954" t="str">
        <f>TP_P_G</f>
        <v>Резерв мощности источников тепловой энергии, входящих в систему теплоснабжения, в течение одного квартала, в том числе:</v>
      </c>
      <c r="F19" s="545" t="str">
        <f>IF(TEMPLATE_SPHERE="HEAT","Гкал/час","тыс. куб. м/сутки")</f>
        <v>Гкал/час</v>
      </c>
      <c r="G19" s="711">
        <f>SUM(G20:G22)</f>
        <v>0</v>
      </c>
      <c r="H19" s="711">
        <f>SUM(H20:H22)</f>
        <v>413.43</v>
      </c>
      <c r="I19" s="711">
        <f>SUM(I20:I22)</f>
        <v>91.85</v>
      </c>
      <c r="J19" s="711">
        <f>SUM(J20:J22)</f>
        <v>0.66</v>
      </c>
      <c r="K19" s="711">
        <f>SUM(K20:K22)</f>
        <v>102.09</v>
      </c>
      <c r="L19" s="711">
        <f>SUM(L20:L22)</f>
        <v>33.87</v>
      </c>
      <c r="M19" s="711">
        <f>SUM(M20:M22)</f>
        <v>242.41</v>
      </c>
      <c r="N19" s="711">
        <f>SUM(N20:N22)</f>
        <v>63.66</v>
      </c>
      <c r="O19" s="711">
        <f>SUM(O20:O22)</f>
        <v>131</v>
      </c>
      <c r="P19" s="711">
        <f>SUM(P20:P22)</f>
        <v>5.48</v>
      </c>
      <c r="Q19" s="711">
        <f>SUM(Q20:Q22)</f>
        <v>65.99</v>
      </c>
      <c r="R19" s="711">
        <f>SUM(R20:R22)</f>
        <v>-119.69</v>
      </c>
      <c r="S19" s="711">
        <f>SUM(S20:S22)</f>
        <v>-135.07</v>
      </c>
      <c r="T19" s="711">
        <f>SUM(T20:T22)</f>
        <v>2.85</v>
      </c>
      <c r="U19" s="711">
        <f>SUM(U20:U22)</f>
        <v>-38.23</v>
      </c>
      <c r="V19" s="711">
        <f>SUM(V20:V22)</f>
        <v>0.77</v>
      </c>
      <c r="W19" s="23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AG19" s="529">
        <v>57</v>
      </c>
    </row>
    <row customHeight="1" ht="15" hidden="1">
      <c r="D20" s="533" t="s">
        <v>1452</v>
      </c>
      <c r="E20" s="712"/>
      <c r="F20" s="533"/>
      <c r="G20" s="533"/>
      <c r="H20" s="533"/>
      <c r="I20" s="1659"/>
      <c r="J20" s="1659"/>
      <c r="K20" s="1659"/>
      <c r="L20" s="1659"/>
      <c r="M20" s="1659"/>
      <c r="N20" s="1659"/>
      <c r="O20" s="1659"/>
      <c r="P20" s="1659"/>
      <c r="Q20" s="1659"/>
      <c r="R20" s="1659"/>
      <c r="S20" s="1659"/>
      <c r="T20" s="1659"/>
      <c r="U20" s="1659"/>
      <c r="V20" s="1659"/>
      <c r="W20" s="1787"/>
      <c r="AG20" s="529">
        <v>0</v>
      </c>
    </row>
    <row customHeight="1" ht="29.25">
      <c r="C21" s="475"/>
      <c r="D21" s="563" t="s">
        <v>397</v>
      </c>
      <c r="E21" s="694" t="s">
        <v>1453</v>
      </c>
      <c r="F21" s="1785" t="str">
        <f>IF(TEMPLATE_SPHERE="HEAT","Гкал/час","тыс. куб. м/сутки")</f>
        <v>Гкал/час</v>
      </c>
      <c r="G21" s="704"/>
      <c r="H21" s="704">
        <v>413.43</v>
      </c>
      <c r="I21" s="704">
        <v>91.85</v>
      </c>
      <c r="J21" s="704">
        <v>0.66</v>
      </c>
      <c r="K21" s="704">
        <v>102.09</v>
      </c>
      <c r="L21" s="704">
        <v>33.87</v>
      </c>
      <c r="M21" s="704">
        <v>242.41</v>
      </c>
      <c r="N21" s="704">
        <v>63.66</v>
      </c>
      <c r="O21" s="704">
        <v>131</v>
      </c>
      <c r="P21" s="704">
        <v>5.48</v>
      </c>
      <c r="Q21" s="704">
        <v>65.99</v>
      </c>
      <c r="R21" s="704">
        <v>-119.69</v>
      </c>
      <c r="S21" s="704">
        <v>-135.07</v>
      </c>
      <c r="T21" s="704">
        <v>2.85</v>
      </c>
      <c r="U21" s="704">
        <v>-38.23</v>
      </c>
      <c r="V21" s="704">
        <v>0.77</v>
      </c>
      <c r="W21" s="219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AG21" s="529">
        <v>28</v>
      </c>
    </row>
    <row customHeight="1" ht="15.75">
      <c r="A22" s="529"/>
      <c r="C22" s="529"/>
      <c r="D22" s="371"/>
      <c r="E22" s="604" t="s">
        <v>1454</v>
      </c>
      <c r="F22" s="596"/>
      <c r="G22" s="596"/>
      <c r="H22" s="596"/>
      <c r="I22" s="2895"/>
      <c r="J22" s="2896"/>
      <c r="K22" s="2897"/>
      <c r="L22" s="2898"/>
      <c r="M22" s="2899"/>
      <c r="N22" s="2900"/>
      <c r="O22" s="2901"/>
      <c r="P22" s="2902"/>
      <c r="Q22" s="2903"/>
      <c r="R22" s="2904"/>
      <c r="S22" s="2905"/>
      <c r="T22" s="2906"/>
      <c r="U22" s="2907"/>
      <c r="V22" s="2908"/>
      <c r="W22" s="2195"/>
      <c r="AF22" s="529"/>
      <c r="AG22" s="529">
        <v>15</v>
      </c>
    </row>
    <row customHeight="1" ht="22.5" hidden="1">
      <c r="A23" s="473" t="s">
        <v>82</v>
      </c>
      <c r="B23" s="529">
        <v>0</v>
      </c>
      <c r="C23" s="707">
        <v>4</v>
      </c>
      <c r="D23" s="529">
        <v>6</v>
      </c>
      <c r="E23" s="529">
        <v>36</v>
      </c>
      <c r="F23" s="529">
        <v>9</v>
      </c>
      <c r="G23" s="782">
        <v>0</v>
      </c>
      <c r="H23" s="529">
        <v>40</v>
      </c>
      <c r="I23" s="1659">
        <v>0</v>
      </c>
      <c r="J23" s="1659">
        <v>0</v>
      </c>
      <c r="K23" s="1659">
        <v>0</v>
      </c>
      <c r="L23" s="1659">
        <v>0</v>
      </c>
      <c r="M23" s="1659">
        <v>0</v>
      </c>
      <c r="N23" s="1659">
        <v>0</v>
      </c>
      <c r="O23" s="1659">
        <v>0</v>
      </c>
      <c r="P23" s="1659">
        <v>0</v>
      </c>
      <c r="Q23" s="1659">
        <v>0</v>
      </c>
      <c r="R23" s="1659">
        <v>0</v>
      </c>
      <c r="S23" s="1659">
        <v>0</v>
      </c>
      <c r="T23" s="1659">
        <v>0</v>
      </c>
      <c r="U23" s="1659">
        <v>0</v>
      </c>
      <c r="V23" s="1659">
        <v>0</v>
      </c>
      <c r="W23" s="441">
        <v>93</v>
      </c>
      <c r="X23" s="529">
        <v>10</v>
      </c>
      <c r="Y23" s="529">
        <v>10</v>
      </c>
      <c r="Z23" s="529">
        <v>10</v>
      </c>
      <c r="AA23" s="529">
        <v>10</v>
      </c>
      <c r="AB23" s="529">
        <v>10</v>
      </c>
      <c r="AC23" s="529">
        <v>10</v>
      </c>
      <c r="AD23" s="529">
        <v>10</v>
      </c>
      <c r="AE23" s="529">
        <v>10</v>
      </c>
      <c r="AF23" s="699">
        <v>10</v>
      </c>
      <c r="AG23" s="529">
        <v>23</v>
      </c>
    </row>
  </sheetData>
  <sheetProtection sheet="1" formatColumns="0" formatRows="0" autoFilter="0" sort="1" insertRows="1" insertColumns="1" deleteRows="1" deleteColumns="1"/>
  <mergeCells count="8">
    <mergeCell ref="W21:W22"/>
    <mergeCell ref="W9:W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V18">
      <formula1>900</formula1>
    </dataValidation>
    <dataValidation type="whole" allowBlank="1" showErrorMessage="1" errorTitle="Ошибка" error="Допускается ввод только неотрицательных целых чисел!" sqref="G15:V17">
      <formula1>0</formula1>
      <formula2>9.99999999999999E+23</formula2>
    </dataValidation>
    <dataValidation type="decimal" allowBlank="1" showErrorMessage="1" errorTitle="Ошибка" error="Допускается ввод только действительных чисел!" sqref="G2:V2 G21:V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5015A6-8804-A082-480B-0.5D79B1F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21" width="9.140625" hidden="1" customWidth="1"/>
    <col min="2" max="2" style="1390" width="9.140625" hidden="1" customWidth="1"/>
    <col min="3" max="3" style="368" width="3.00390625" customWidth="1"/>
    <col min="4" max="4" style="1659" width="6.00390625" customWidth="1"/>
    <col min="5" max="6" style="1659" width="64.00390625" customWidth="1"/>
    <col min="7" max="7" style="1659" width="140.00390625" customWidth="1"/>
    <col min="8" max="8" style="1659" width="10.00390625" customWidth="1"/>
    <col min="9" max="10" style="1648" width="10.00390625" customWidth="1"/>
    <col min="11" max="16" style="1659" width="10.00390625" customWidth="1"/>
    <col min="17" max="17" style="1659" width="10.57421875" hidden="1"/>
  </cols>
  <sheetData>
    <row customHeight="1" ht="22.5" hidden="1">
      <c r="M1" s="279"/>
      <c r="N1" s="279"/>
      <c r="P1" s="279"/>
      <c r="Q1" s="107" t="s">
        <v>14</v>
      </c>
    </row>
    <row customHeight="1" ht="14.25" hidden="1">
      <c r="Q2" s="107">
        <v>0</v>
      </c>
    </row>
    <row customHeight="1" ht="14.25" hidden="1">
      <c r="Q3" s="107">
        <v>0</v>
      </c>
    </row>
    <row customHeight="1" ht="3">
      <c r="C4" s="120"/>
      <c r="D4" s="108"/>
      <c r="E4" s="108"/>
      <c r="F4" s="109"/>
      <c r="G4" s="109"/>
      <c r="Q4" s="107">
        <v>3</v>
      </c>
    </row>
    <row customHeight="1" ht="29.25">
      <c r="C5" s="120"/>
      <c r="D5" s="247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79"/>
      <c r="F5" s="2479"/>
      <c r="G5" s="2480"/>
      <c r="Q5" s="107">
        <v>28</v>
      </c>
    </row>
    <row s="1659" customFormat="1" customHeight="1" ht="18.75">
      <c r="A6" s="906"/>
      <c r="B6" s="441"/>
      <c r="C6" s="400"/>
      <c r="D6" s="2481" t="str">
        <f>IF(org=0,"Не определено",org)</f>
        <v>АО "ДГК"</v>
      </c>
      <c r="E6" s="2482"/>
      <c r="F6" s="2482"/>
      <c r="G6" s="2483"/>
      <c r="I6" s="524"/>
      <c r="J6" s="524"/>
      <c r="Q6" s="782">
        <v>18</v>
      </c>
    </row>
    <row customHeight="1" ht="14.699999999999998">
      <c r="C7" s="120"/>
      <c r="D7" s="108"/>
      <c r="E7" s="119"/>
      <c r="F7" s="776"/>
      <c r="G7" s="217"/>
      <c r="Q7" s="107">
        <v>14</v>
      </c>
    </row>
    <row s="1659" customFormat="1" customHeight="1" ht="1.05">
      <c r="A8" s="1693"/>
      <c r="B8" s="1184"/>
      <c r="C8" s="400"/>
      <c r="D8" s="387"/>
      <c r="E8" s="413"/>
      <c r="F8" s="776"/>
      <c r="G8" s="217"/>
      <c r="I8" s="1648"/>
      <c r="J8" s="1648"/>
      <c r="Q8" s="1655">
        <v>1</v>
      </c>
    </row>
    <row customHeight="1" ht="14.699999999999998">
      <c r="C9" s="120"/>
      <c r="D9" s="2233" t="s">
        <v>384</v>
      </c>
      <c r="E9" s="2233"/>
      <c r="F9" s="2233"/>
      <c r="G9" s="2413" t="s">
        <v>385</v>
      </c>
      <c r="Q9" s="107">
        <v>14</v>
      </c>
    </row>
    <row customHeight="1" ht="24">
      <c r="C10" s="120"/>
      <c r="D10" s="129" t="s">
        <v>88</v>
      </c>
      <c r="E10" s="132" t="s">
        <v>386</v>
      </c>
      <c r="F10" s="132" t="s">
        <v>474</v>
      </c>
      <c r="G10" s="2413"/>
      <c r="Q10" s="107">
        <v>23</v>
      </c>
    </row>
    <row customHeight="1" ht="12" hidden="1">
      <c r="C11" s="120"/>
      <c r="D11" s="111"/>
      <c r="E11" s="111"/>
      <c r="F11" s="111"/>
      <c r="G11" s="111"/>
      <c r="Q11" s="107">
        <v>0</v>
      </c>
    </row>
    <row customHeight="1" ht="65.25">
      <c r="A12" s="216"/>
      <c r="C12" s="120"/>
      <c r="D12" s="171">
        <v>1</v>
      </c>
      <c r="E12" s="22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22" t="s">
        <v>390</v>
      </c>
      <c r="G12" s="175"/>
      <c r="Q12" s="107">
        <v>62</v>
      </c>
    </row>
    <row customHeight="1" ht="24">
      <c r="A13" s="216"/>
      <c r="C13" s="120"/>
      <c r="D13" s="171" t="s">
        <v>1050</v>
      </c>
      <c r="E13" s="21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22" t="s">
        <v>390</v>
      </c>
      <c r="G13" s="175"/>
      <c r="Q13" s="107">
        <v>23</v>
      </c>
    </row>
    <row customHeight="1" ht="14.699999999999998">
      <c r="A14" s="216"/>
      <c r="C14" s="120"/>
      <c r="D14" s="171" t="s">
        <v>1393</v>
      </c>
      <c r="E14" s="219"/>
      <c r="F14" s="237"/>
      <c r="G14" s="219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07">
        <v>14</v>
      </c>
    </row>
    <row customHeight="1" ht="15.75">
      <c r="A15" s="216"/>
      <c r="C15" s="120"/>
      <c r="D15" s="133"/>
      <c r="E15" s="373" t="s">
        <v>1455</v>
      </c>
      <c r="F15" s="225"/>
      <c r="G15" s="2195"/>
      <c r="Q15" s="107">
        <v>15</v>
      </c>
    </row>
    <row customHeight="1" ht="14.699999999999998">
      <c r="A16" s="216"/>
      <c r="C16" s="120"/>
      <c r="D16" s="171" t="s">
        <v>1359</v>
      </c>
      <c r="E16" s="21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22" t="s">
        <v>390</v>
      </c>
      <c r="G16" s="361"/>
      <c r="Q16" s="107">
        <v>14</v>
      </c>
    </row>
    <row customHeight="1" ht="14.699999999999998">
      <c r="A17" s="216"/>
      <c r="C17" s="120"/>
      <c r="D17" s="171" t="s">
        <v>1401</v>
      </c>
      <c r="E17" s="219"/>
      <c r="F17" s="409"/>
      <c r="G17" s="219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07">
        <v>14</v>
      </c>
    </row>
    <row s="1659" customFormat="1" customHeight="1" ht="22.049999999999997">
      <c r="A18" s="367"/>
      <c r="B18" s="170"/>
      <c r="C18" s="331"/>
      <c r="D18" s="371"/>
      <c r="E18" s="373" t="s">
        <v>1456</v>
      </c>
      <c r="F18" s="362"/>
      <c r="G18" s="2195"/>
      <c r="I18" s="374"/>
      <c r="J18" s="374"/>
      <c r="Q18" s="366">
        <v>21</v>
      </c>
    </row>
    <row s="1659" customFormat="1" customHeight="1" ht="256.5" hidden="1">
      <c r="A19" s="367"/>
      <c r="B19" s="441"/>
      <c r="C19" s="400"/>
      <c r="D19" s="908" t="s">
        <v>1361</v>
      </c>
      <c r="E19" s="907" t="s">
        <v>1457</v>
      </c>
      <c r="F19" s="409"/>
      <c r="G19" s="361" t="s">
        <v>1458</v>
      </c>
      <c r="I19" s="524"/>
      <c r="J19" s="524"/>
      <c r="Q19" s="782">
        <v>0</v>
      </c>
    </row>
    <row s="1659" customFormat="1" customHeight="1" ht="14.699999999999998">
      <c r="A20" s="367"/>
      <c r="B20" s="170"/>
      <c r="C20" s="331"/>
      <c r="D20" s="909">
        <v>2</v>
      </c>
      <c r="E20" s="354" t="s">
        <v>1459</v>
      </c>
      <c r="F20" s="222" t="s">
        <v>390</v>
      </c>
      <c r="G20" s="361"/>
      <c r="I20" s="374"/>
      <c r="J20" s="374"/>
      <c r="Q20" s="366">
        <v>14</v>
      </c>
    </row>
    <row s="1659" customFormat="1" customHeight="1" ht="18.75" hidden="1">
      <c r="A21" s="367"/>
      <c r="B21" s="170"/>
      <c r="C21" s="331"/>
      <c r="D21" s="357" t="s">
        <v>734</v>
      </c>
      <c r="E21" s="356"/>
      <c r="F21" s="355"/>
      <c r="G21" s="365"/>
      <c r="H21" s="358"/>
      <c r="I21" s="374"/>
      <c r="J21" s="374"/>
      <c r="Q21" s="366">
        <v>0</v>
      </c>
    </row>
    <row customHeight="1" ht="15.75">
      <c r="A22" s="216"/>
      <c r="C22" s="120"/>
      <c r="D22" s="133"/>
      <c r="E22" s="227" t="s">
        <v>406</v>
      </c>
      <c r="F22" s="362"/>
      <c r="G22" s="363"/>
      <c r="Q22" s="107">
        <v>15</v>
      </c>
    </row>
    <row s="1659" customFormat="1" customHeight="1" ht="22.5" hidden="1">
      <c r="A23" s="367"/>
      <c r="B23" s="1184"/>
      <c r="C23" s="400"/>
      <c r="D23" s="1697" t="s">
        <v>103</v>
      </c>
      <c r="E23" s="221" t="s">
        <v>1460</v>
      </c>
      <c r="F23" s="1694" t="s">
        <v>390</v>
      </c>
      <c r="G23" s="369"/>
      <c r="I23" s="1648"/>
      <c r="J23" s="1648"/>
      <c r="Q23" s="1655">
        <v>0</v>
      </c>
    </row>
    <row s="1659" customFormat="1" customHeight="1" ht="14.25" hidden="1">
      <c r="A24" s="367"/>
      <c r="B24" s="1184"/>
      <c r="C24" s="400"/>
      <c r="D24" s="1697" t="s">
        <v>806</v>
      </c>
      <c r="E24" s="1696" t="s">
        <v>1461</v>
      </c>
      <c r="F24" s="1694" t="s">
        <v>390</v>
      </c>
      <c r="G24" s="361"/>
      <c r="I24" s="1648"/>
      <c r="J24" s="1648"/>
      <c r="Q24" s="1655">
        <v>0</v>
      </c>
    </row>
    <row s="1659" customFormat="1" customHeight="1" ht="14.25" hidden="1">
      <c r="A25" s="367"/>
      <c r="B25" s="1184"/>
      <c r="C25" s="400"/>
      <c r="D25" s="1697" t="s">
        <v>809</v>
      </c>
      <c r="E25" s="219"/>
      <c r="F25" s="409"/>
      <c r="G25" s="2193" t="s">
        <v>1462</v>
      </c>
      <c r="I25" s="1648"/>
      <c r="J25" s="1648"/>
      <c r="Q25" s="1655">
        <v>0</v>
      </c>
    </row>
    <row s="1659" customFormat="1" customHeight="1" ht="22.5" hidden="1">
      <c r="A26" s="367"/>
      <c r="B26" s="1184"/>
      <c r="C26" s="400"/>
      <c r="D26" s="371"/>
      <c r="E26" s="373" t="s">
        <v>1463</v>
      </c>
      <c r="F26" s="362"/>
      <c r="G26" s="2195"/>
      <c r="I26" s="1648"/>
      <c r="J26" s="1648"/>
      <c r="Q26" s="1655">
        <v>0</v>
      </c>
    </row>
    <row customHeight="1" ht="3">
      <c r="Q27" s="107">
        <v>3</v>
      </c>
    </row>
    <row customHeight="1" ht="14.699999999999998">
      <c r="D28" s="360"/>
      <c r="E28" s="359"/>
      <c r="F28" s="339"/>
      <c r="G28" s="339"/>
      <c r="H28" s="339"/>
      <c r="I28" s="339"/>
      <c r="J28" s="339"/>
      <c r="K28" s="339"/>
      <c r="L28" s="339"/>
      <c r="M28" s="339"/>
      <c r="N28" s="339"/>
      <c r="O28" s="339"/>
      <c r="P28" s="339"/>
      <c r="Q28" s="107">
        <v>14</v>
      </c>
    </row>
    <row customHeight="1" ht="14.699999999999998">
      <c r="D29" s="360"/>
      <c r="E29" s="606"/>
      <c r="Q29" s="107">
        <v>14</v>
      </c>
    </row>
    <row customHeight="1" ht="14.699999999999998">
      <c r="Q30" s="107">
        <v>14</v>
      </c>
    </row>
    <row customHeight="1" ht="14.699999999999998">
      <c r="E31" s="782"/>
      <c r="Q31" s="107">
        <v>14</v>
      </c>
    </row>
    <row customHeight="1" ht="22.5" hidden="1">
      <c r="A32" s="125" t="s">
        <v>82</v>
      </c>
      <c r="B32" s="170">
        <v>0</v>
      </c>
      <c r="C32" s="121">
        <v>3</v>
      </c>
      <c r="D32" s="107">
        <v>6</v>
      </c>
      <c r="E32" s="107">
        <v>64</v>
      </c>
      <c r="F32" s="107">
        <v>64</v>
      </c>
      <c r="G32" s="107">
        <v>140</v>
      </c>
      <c r="H32" s="107">
        <v>10</v>
      </c>
      <c r="I32" s="179">
        <v>10</v>
      </c>
      <c r="J32" s="179">
        <v>10</v>
      </c>
      <c r="K32" s="107">
        <v>10</v>
      </c>
      <c r="L32" s="107">
        <v>10</v>
      </c>
      <c r="M32" s="107">
        <v>10</v>
      </c>
      <c r="N32" s="107">
        <v>10</v>
      </c>
      <c r="O32" s="107">
        <v>10</v>
      </c>
      <c r="P32" s="107">
        <v>10</v>
      </c>
      <c r="Q32" s="107">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D2AFA5-9BF1-9185-CB77-0.36CDFC24}"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800" width="9.140625" hidden="1" customWidth="1"/>
    <col min="2" max="2" style="1390" width="9.140625" hidden="1" customWidth="1"/>
    <col min="3" max="3" style="368" width="3.00390625" customWidth="1"/>
    <col min="4" max="4" style="1659" width="6.00390625" customWidth="1"/>
    <col min="5" max="5" style="1659" width="63.00390625" customWidth="1"/>
    <col min="6" max="6" style="1659" width="1.7109375" hidden="1" customWidth="1"/>
    <col min="7" max="8" style="1659" width="35.00390625" customWidth="1"/>
    <col min="9" max="9" style="1659" width="91.00390625" customWidth="1"/>
    <col min="10" max="10" style="1659" width="68.00390625" customWidth="1"/>
    <col min="11" max="12" style="1648" width="10.00390625" customWidth="1"/>
    <col min="13" max="13" style="1659" width="10.57421875" hidden="1"/>
  </cols>
  <sheetData>
    <row customHeight="1" ht="22.5" hidden="1">
      <c r="M1" s="107" t="s">
        <v>14</v>
      </c>
    </row>
    <row s="1659" customFormat="1" customHeight="1" ht="18.75" hidden="1">
      <c r="A2" s="1707"/>
      <c r="B2" s="1184"/>
      <c r="C2" s="1754" t="s">
        <v>104</v>
      </c>
      <c r="D2" s="1697"/>
      <c r="E2" s="223"/>
      <c r="F2" s="1694"/>
      <c r="G2" s="1694" t="s">
        <v>390</v>
      </c>
      <c r="H2" s="1185"/>
      <c r="K2" s="1648"/>
      <c r="L2" s="1648"/>
      <c r="M2" s="1655">
        <v>0</v>
      </c>
    </row>
    <row s="1659" customFormat="1" customHeight="1" ht="14.25" hidden="1">
      <c r="A3" s="1386"/>
      <c r="B3" s="1184"/>
      <c r="C3" s="368"/>
      <c r="K3" s="1648"/>
      <c r="L3" s="1648"/>
      <c r="M3" s="1655">
        <v>0</v>
      </c>
    </row>
    <row s="1659" customFormat="1" customHeight="1" ht="18.75" hidden="1">
      <c r="A4" s="1707"/>
      <c r="B4" s="1184"/>
      <c r="C4" s="1754" t="s">
        <v>104</v>
      </c>
      <c r="D4" s="1697"/>
      <c r="E4" s="229" t="s">
        <v>1464</v>
      </c>
      <c r="F4" s="1694"/>
      <c r="G4" s="281"/>
      <c r="H4" s="1694" t="s">
        <v>390</v>
      </c>
      <c r="K4" s="1648"/>
      <c r="L4" s="1648"/>
      <c r="M4" s="1655">
        <v>0</v>
      </c>
    </row>
    <row s="1659" customFormat="1" customHeight="1" ht="14.25" hidden="1">
      <c r="A5" s="1386"/>
      <c r="B5" s="1184"/>
      <c r="C5" s="368"/>
      <c r="K5" s="1648"/>
      <c r="L5" s="1648"/>
      <c r="M5" s="1655">
        <v>0</v>
      </c>
    </row>
    <row s="1659" customFormat="1" customHeight="1" ht="18.75" hidden="1">
      <c r="A6" s="1707"/>
      <c r="B6" s="1184"/>
      <c r="C6" s="1754" t="s">
        <v>104</v>
      </c>
      <c r="D6" s="1697"/>
      <c r="E6" s="230" t="s">
        <v>1465</v>
      </c>
      <c r="F6" s="1694"/>
      <c r="G6" s="281"/>
      <c r="H6" s="1694" t="s">
        <v>390</v>
      </c>
      <c r="K6" s="1648"/>
      <c r="L6" s="1648"/>
      <c r="M6" s="1655">
        <v>0</v>
      </c>
    </row>
    <row s="1659" customFormat="1" customHeight="1" ht="14.25" hidden="1">
      <c r="A7" s="1386"/>
      <c r="B7" s="1184"/>
      <c r="C7" s="368"/>
      <c r="K7" s="1648"/>
      <c r="L7" s="1648"/>
      <c r="M7" s="1655">
        <v>0</v>
      </c>
    </row>
    <row s="1659" customFormat="1" customHeight="1" ht="18.75" hidden="1">
      <c r="A8" s="1707"/>
      <c r="B8" s="1184"/>
      <c r="C8" s="1754" t="s">
        <v>104</v>
      </c>
      <c r="D8" s="1697"/>
      <c r="E8" s="230" t="s">
        <v>1466</v>
      </c>
      <c r="F8" s="1694"/>
      <c r="G8" s="281"/>
      <c r="H8" s="1694" t="s">
        <v>390</v>
      </c>
      <c r="K8" s="1648"/>
      <c r="L8" s="1648"/>
      <c r="M8" s="1655">
        <v>0</v>
      </c>
    </row>
    <row s="1659" customFormat="1" customHeight="1" ht="14.25" hidden="1">
      <c r="A9" s="1386"/>
      <c r="B9" s="1184"/>
      <c r="C9" s="368"/>
      <c r="K9" s="1648"/>
      <c r="L9" s="1648"/>
      <c r="M9" s="1655">
        <v>0</v>
      </c>
    </row>
    <row s="1659" customFormat="1" customHeight="1" ht="18.75" hidden="1">
      <c r="A10" s="1707"/>
      <c r="B10" s="1184"/>
      <c r="C10" s="1754" t="s">
        <v>104</v>
      </c>
      <c r="D10" s="1697"/>
      <c r="E10" s="230" t="s">
        <v>1467</v>
      </c>
      <c r="F10" s="1694"/>
      <c r="G10" s="1698"/>
      <c r="H10" s="1694" t="s">
        <v>390</v>
      </c>
      <c r="K10" s="1648"/>
      <c r="L10" s="1648" t="s">
        <v>1468</v>
      </c>
      <c r="M10" s="1655">
        <v>0</v>
      </c>
    </row>
    <row customHeight="1" ht="14.25" hidden="1">
      <c r="M11" s="107">
        <v>0</v>
      </c>
    </row>
    <row customHeight="1" ht="14.25" hidden="1">
      <c r="M12" s="107">
        <v>0</v>
      </c>
    </row>
    <row customHeight="1" ht="14.699999999999998">
      <c r="C13" s="120"/>
      <c r="D13" s="108"/>
      <c r="E13" s="108"/>
      <c r="F13" s="108"/>
      <c r="G13" s="108"/>
      <c r="H13" s="109"/>
      <c r="I13" s="109"/>
      <c r="M13" s="107">
        <v>14</v>
      </c>
    </row>
    <row customHeight="1" ht="29.25">
      <c r="C14" s="120"/>
      <c r="D14" s="247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79"/>
      <c r="F14" s="2479"/>
      <c r="G14" s="2479"/>
      <c r="H14" s="2480"/>
      <c r="J14" s="1655"/>
      <c r="M14" s="107">
        <v>28</v>
      </c>
    </row>
    <row s="1659" customFormat="1" customHeight="1" ht="14.699999999999998">
      <c r="A15" s="1386"/>
      <c r="B15" s="1184"/>
      <c r="C15" s="400"/>
      <c r="D15" s="2481" t="str">
        <f>IF(org=0,"Не определено",org)</f>
        <v>АО "ДГК"</v>
      </c>
      <c r="E15" s="2482"/>
      <c r="F15" s="2482"/>
      <c r="G15" s="2482"/>
      <c r="H15" s="2483"/>
      <c r="J15" s="876"/>
      <c r="K15" s="1648"/>
      <c r="L15" s="1648"/>
      <c r="M15" s="1655">
        <v>14</v>
      </c>
    </row>
    <row customHeight="1" ht="14.699999999999998">
      <c r="C16" s="120"/>
      <c r="D16" s="108"/>
      <c r="E16" s="119"/>
      <c r="F16" s="119"/>
      <c r="G16" s="119"/>
      <c r="H16" s="776"/>
      <c r="I16" s="217"/>
      <c r="M16" s="107">
        <v>14</v>
      </c>
    </row>
    <row s="1659" customFormat="1" customHeight="1" ht="14.25" hidden="1">
      <c r="A17" s="1386"/>
      <c r="B17" s="1184"/>
      <c r="C17" s="400"/>
      <c r="D17" s="387"/>
      <c r="E17" s="413"/>
      <c r="F17" s="413"/>
      <c r="G17" s="413"/>
      <c r="H17" s="776"/>
      <c r="I17" s="217"/>
      <c r="K17" s="1648"/>
      <c r="L17" s="1648"/>
      <c r="M17" s="1655">
        <v>0</v>
      </c>
    </row>
    <row customHeight="1" ht="22.049999999999997">
      <c r="C18" s="120"/>
      <c r="D18" s="2233" t="s">
        <v>384</v>
      </c>
      <c r="E18" s="2233"/>
      <c r="F18" s="2233"/>
      <c r="G18" s="2233"/>
      <c r="H18" s="2233"/>
      <c r="I18" s="2413" t="s">
        <v>385</v>
      </c>
      <c r="M18" s="107">
        <v>21</v>
      </c>
    </row>
    <row customHeight="1" ht="22.049999999999997">
      <c r="C19" s="120"/>
      <c r="D19" s="129" t="s">
        <v>88</v>
      </c>
      <c r="E19" s="132" t="s">
        <v>386</v>
      </c>
      <c r="F19" s="132"/>
      <c r="G19" s="132" t="s">
        <v>387</v>
      </c>
      <c r="H19" s="132" t="s">
        <v>474</v>
      </c>
      <c r="I19" s="2413"/>
      <c r="M19" s="107">
        <v>21</v>
      </c>
    </row>
    <row customHeight="1" ht="12" hidden="1">
      <c r="C20" s="120"/>
      <c r="D20" s="111"/>
      <c r="E20" s="111"/>
      <c r="F20" s="111"/>
      <c r="G20" s="111"/>
      <c r="H20" s="111"/>
      <c r="I20" s="111"/>
      <c r="M20" s="107">
        <v>0</v>
      </c>
    </row>
    <row customHeight="1" ht="14.699999999999998">
      <c r="A21" s="1707"/>
      <c r="C21" s="120"/>
      <c r="D21" s="171">
        <v>1</v>
      </c>
      <c r="E21" s="2485" t="s">
        <v>1469</v>
      </c>
      <c r="F21" s="2485"/>
      <c r="G21" s="2485"/>
      <c r="H21" s="2485"/>
      <c r="I21" s="232"/>
      <c r="M21" s="107">
        <v>14</v>
      </c>
    </row>
    <row customHeight="1" ht="21">
      <c r="A22" s="1707"/>
      <c r="C22" s="120"/>
      <c r="D22" s="171" t="s">
        <v>1050</v>
      </c>
      <c r="E22" s="218" t="s">
        <v>1470</v>
      </c>
      <c r="F22" s="222"/>
      <c r="G22" s="1761"/>
      <c r="H22" s="222" t="s">
        <v>390</v>
      </c>
      <c r="I22" s="175" t="s">
        <v>1471</v>
      </c>
      <c r="M22" s="107">
        <v>20</v>
      </c>
    </row>
    <row customHeight="1" ht="60">
      <c r="A23" s="1707"/>
      <c r="C23" s="120"/>
      <c r="D23" s="171" t="s">
        <v>1359</v>
      </c>
      <c r="E23" s="218" t="s">
        <v>1472</v>
      </c>
      <c r="F23" s="222"/>
      <c r="G23" s="281"/>
      <c r="H23" s="237"/>
      <c r="I23" s="282" t="s">
        <v>1473</v>
      </c>
      <c r="M23" s="107">
        <v>57</v>
      </c>
    </row>
    <row customHeight="1" ht="14.699999999999998">
      <c r="A24" s="1707"/>
      <c r="B24" s="170">
        <v>3</v>
      </c>
      <c r="C24" s="120"/>
      <c r="D24" s="171">
        <v>2</v>
      </c>
      <c r="E24" s="24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22"/>
      <c r="G24" s="222" t="s">
        <v>390</v>
      </c>
      <c r="H24" s="237"/>
      <c r="I24" s="283" t="s">
        <v>729</v>
      </c>
      <c r="M24" s="107">
        <v>14</v>
      </c>
    </row>
    <row customHeight="1" ht="48.29999999999999">
      <c r="A25" s="1707"/>
      <c r="C25" s="120"/>
      <c r="D25" s="171">
        <v>3</v>
      </c>
      <c r="E25" s="248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84"/>
      <c r="G25" s="2484"/>
      <c r="H25" s="2484"/>
      <c r="I25" s="280"/>
      <c r="M25" s="107">
        <v>46</v>
      </c>
    </row>
    <row customHeight="1" ht="14.699999999999998">
      <c r="A26" s="1707"/>
      <c r="C26" s="120"/>
      <c r="D26" s="171" t="s">
        <v>408</v>
      </c>
      <c r="E26" s="223"/>
      <c r="F26" s="222"/>
      <c r="G26" s="222" t="s">
        <v>390</v>
      </c>
      <c r="H26" s="237"/>
      <c r="I26" s="2193" t="s">
        <v>1474</v>
      </c>
      <c r="M26" s="107">
        <v>14</v>
      </c>
    </row>
    <row customHeight="1" ht="15.75">
      <c r="A27" s="1707" t="s">
        <v>170</v>
      </c>
      <c r="C27" s="120"/>
      <c r="D27" s="133"/>
      <c r="E27" s="227" t="s">
        <v>406</v>
      </c>
      <c r="F27" s="228"/>
      <c r="G27" s="228"/>
      <c r="H27" s="225"/>
      <c r="I27" s="2195"/>
      <c r="M27" s="107">
        <v>15</v>
      </c>
    </row>
    <row customHeight="1" ht="39.75">
      <c r="A28" s="1707"/>
      <c r="B28" s="170">
        <v>3</v>
      </c>
      <c r="C28" s="120"/>
      <c r="D28" s="171">
        <v>4</v>
      </c>
      <c r="E28" s="248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84"/>
      <c r="G28" s="2484"/>
      <c r="H28" s="2484"/>
      <c r="I28" s="280"/>
      <c r="M28" s="107">
        <v>38</v>
      </c>
    </row>
    <row customHeight="1" ht="21">
      <c r="A29" s="1707"/>
      <c r="C29" s="120"/>
      <c r="D29" s="171" t="s">
        <v>851</v>
      </c>
      <c r="E29" s="229" t="s">
        <v>1464</v>
      </c>
      <c r="F29" s="222"/>
      <c r="G29" s="281"/>
      <c r="H29" s="222" t="s">
        <v>390</v>
      </c>
      <c r="I29" s="2193" t="s">
        <v>1475</v>
      </c>
      <c r="M29" s="107">
        <v>20</v>
      </c>
    </row>
    <row customHeight="1" ht="15.75">
      <c r="A30" s="1707" t="s">
        <v>103</v>
      </c>
      <c r="C30" s="120"/>
      <c r="D30" s="133"/>
      <c r="E30" s="227" t="s">
        <v>406</v>
      </c>
      <c r="F30" s="228"/>
      <c r="G30" s="228"/>
      <c r="H30" s="225"/>
      <c r="I30" s="2195"/>
      <c r="M30" s="107">
        <v>15</v>
      </c>
    </row>
    <row customHeight="1" ht="31.5">
      <c r="A31" s="1707"/>
      <c r="B31" s="170">
        <v>3</v>
      </c>
      <c r="C31" s="120"/>
      <c r="D31" s="171">
        <v>5</v>
      </c>
      <c r="E31" s="248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84"/>
      <c r="G31" s="2484"/>
      <c r="H31" s="2484"/>
      <c r="I31" s="280"/>
      <c r="M31" s="107">
        <v>30</v>
      </c>
    </row>
    <row customHeight="1" ht="27.299999999999997">
      <c r="A32" s="1707"/>
      <c r="C32" s="120"/>
      <c r="D32" s="171" t="s">
        <v>397</v>
      </c>
      <c r="E32" s="242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27"/>
      <c r="G32" s="2427"/>
      <c r="H32" s="2427"/>
      <c r="I32" s="280"/>
      <c r="M32" s="107">
        <v>26</v>
      </c>
    </row>
    <row customHeight="1" ht="14.699999999999998">
      <c r="A33" s="1707"/>
      <c r="C33" s="120"/>
      <c r="D33" s="171" t="s">
        <v>1476</v>
      </c>
      <c r="E33" s="230" t="s">
        <v>1465</v>
      </c>
      <c r="F33" s="222"/>
      <c r="G33" s="281"/>
      <c r="H33" s="222" t="s">
        <v>390</v>
      </c>
      <c r="I33" s="2193" t="s">
        <v>1477</v>
      </c>
      <c r="M33" s="107">
        <v>14</v>
      </c>
    </row>
    <row customHeight="1" ht="15.75">
      <c r="A34" s="1707" t="s">
        <v>90</v>
      </c>
      <c r="C34" s="120"/>
      <c r="D34" s="133"/>
      <c r="E34" s="228" t="s">
        <v>406</v>
      </c>
      <c r="F34" s="224"/>
      <c r="G34" s="224"/>
      <c r="H34" s="225"/>
      <c r="I34" s="2195"/>
      <c r="M34" s="107">
        <v>15</v>
      </c>
    </row>
    <row customHeight="1" ht="25.2">
      <c r="A35" s="1707"/>
      <c r="C35" s="120"/>
      <c r="D35" s="171" t="s">
        <v>979</v>
      </c>
      <c r="E35" s="242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27"/>
      <c r="G35" s="2427"/>
      <c r="H35" s="2427"/>
      <c r="I35" s="280"/>
      <c r="M35" s="107">
        <v>24</v>
      </c>
    </row>
    <row customHeight="1" ht="14.699999999999998">
      <c r="A36" s="1707"/>
      <c r="C36" s="120"/>
      <c r="D36" s="171" t="s">
        <v>1478</v>
      </c>
      <c r="E36" s="230" t="s">
        <v>1466</v>
      </c>
      <c r="F36" s="222"/>
      <c r="G36" s="281"/>
      <c r="H36" s="222" t="s">
        <v>390</v>
      </c>
      <c r="I36" s="2167" t="s">
        <v>1479</v>
      </c>
      <c r="M36" s="107">
        <v>14</v>
      </c>
    </row>
    <row customHeight="1" ht="15.75">
      <c r="A37" s="1707" t="s">
        <v>91</v>
      </c>
      <c r="C37" s="120"/>
      <c r="D37" s="133"/>
      <c r="E37" s="228" t="s">
        <v>406</v>
      </c>
      <c r="F37" s="224"/>
      <c r="G37" s="224"/>
      <c r="H37" s="225"/>
      <c r="I37" s="2167"/>
      <c r="M37" s="107">
        <v>15</v>
      </c>
    </row>
    <row customHeight="1" ht="27.299999999999997">
      <c r="A38" s="1707"/>
      <c r="C38" s="120"/>
      <c r="D38" s="171" t="s">
        <v>980</v>
      </c>
      <c r="E38" s="242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27"/>
      <c r="G38" s="2427"/>
      <c r="H38" s="2427"/>
      <c r="I38" s="280"/>
      <c r="M38" s="107">
        <v>26</v>
      </c>
    </row>
    <row customHeight="1" ht="14.699999999999998">
      <c r="A39" s="1707"/>
      <c r="C39" s="120"/>
      <c r="D39" s="171" t="s">
        <v>981</v>
      </c>
      <c r="E39" s="230" t="s">
        <v>1467</v>
      </c>
      <c r="F39" s="222"/>
      <c r="G39" s="231"/>
      <c r="H39" s="222" t="s">
        <v>390</v>
      </c>
      <c r="I39" s="2193" t="s">
        <v>1480</v>
      </c>
      <c r="L39" s="179" t="s">
        <v>1468</v>
      </c>
      <c r="M39" s="107">
        <v>14</v>
      </c>
    </row>
    <row customHeight="1" ht="15.75">
      <c r="A40" s="1707" t="s">
        <v>119</v>
      </c>
      <c r="C40" s="120"/>
      <c r="D40" s="133"/>
      <c r="E40" s="228" t="s">
        <v>406</v>
      </c>
      <c r="F40" s="224"/>
      <c r="G40" s="224"/>
      <c r="H40" s="225"/>
      <c r="I40" s="2195"/>
      <c r="M40" s="107">
        <v>15</v>
      </c>
    </row>
    <row s="1847" customFormat="1" customHeight="1" ht="3">
      <c r="A41" s="1707"/>
      <c r="K41" s="220"/>
      <c r="L41" s="220"/>
      <c r="M41" s="164">
        <v>3</v>
      </c>
    </row>
    <row customHeight="1" ht="26.25">
      <c r="D42" s="1705" t="s">
        <v>901</v>
      </c>
      <c r="E42" s="230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09"/>
      <c r="G42" s="2309"/>
      <c r="H42" s="2309"/>
      <c r="I42" s="2309"/>
      <c r="M42" s="107">
        <v>25</v>
      </c>
    </row>
    <row customHeight="1" ht="22.5" hidden="1">
      <c r="A43" s="1386" t="s">
        <v>82</v>
      </c>
      <c r="B43" s="170">
        <v>0</v>
      </c>
      <c r="C43" s="121">
        <v>3</v>
      </c>
      <c r="D43" s="107">
        <v>6</v>
      </c>
      <c r="E43" s="107">
        <v>63</v>
      </c>
      <c r="F43" s="107">
        <v>0</v>
      </c>
      <c r="G43" s="107">
        <v>35</v>
      </c>
      <c r="H43" s="107">
        <v>35</v>
      </c>
      <c r="I43" s="107">
        <v>91</v>
      </c>
      <c r="J43" s="107">
        <v>68</v>
      </c>
      <c r="K43" s="179">
        <v>10</v>
      </c>
      <c r="L43" s="179">
        <v>10</v>
      </c>
      <c r="M43" s="107">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7A322-4272-4D75-02FD-0.1E073736}"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803" width="25.140625" hidden="1" customWidth="1"/>
    <col min="3" max="3" style="1711" width="9.140625" hidden="1" customWidth="1"/>
    <col min="4" max="4" style="368" width="3.00390625" customWidth="1"/>
    <col min="5" max="5" style="1659" width="6.00390625" customWidth="1"/>
    <col min="6" max="6" style="1659" width="46.7109375" customWidth="1"/>
    <col min="7" max="7" style="1659" width="35.00390625" customWidth="1"/>
    <col min="8" max="8" style="1659" width="3.00390625" customWidth="1"/>
    <col min="9" max="10" style="1659" width="11.00390625" customWidth="1"/>
    <col min="11" max="12" style="1659" width="35.00390625" customWidth="1"/>
    <col min="13" max="13" style="1659" width="84.00390625" customWidth="1"/>
    <col min="14" max="14" style="1659" width="10.00390625" customWidth="1"/>
    <col min="15" max="16" style="1648" width="10.00390625" customWidth="1"/>
    <col min="17" max="33" style="1659" width="10.00390625" customWidth="1"/>
    <col min="34" max="34" style="1659" width="10.57421875" hidden="1"/>
  </cols>
  <sheetData>
    <row s="1659" customFormat="1" customHeight="1" ht="22.5" hidden="1">
      <c r="A1" s="1803"/>
      <c r="B1" s="1803"/>
      <c r="C1" s="393"/>
      <c r="D1" s="368"/>
      <c r="N1" s="1660">
        <f>_xlfn.IFERROR(MATCH("метод экономически обоснованных расходов (затрат)",OFFER_METHOD,0),0)</f>
        <v>0</v>
      </c>
      <c r="O1" s="1648"/>
      <c r="P1" s="1648"/>
      <c r="T1" s="855"/>
      <c r="AG1" s="279"/>
      <c r="AH1" s="1655" t="s">
        <v>14</v>
      </c>
    </row>
    <row s="1659" customFormat="1" customHeight="1" ht="18.75" hidden="1">
      <c r="A2" s="1804" t="s">
        <v>241</v>
      </c>
      <c r="B2" s="1804" t="s">
        <v>242</v>
      </c>
      <c r="C2" s="393"/>
      <c r="D2" s="368"/>
      <c r="E2" s="1055"/>
      <c r="F2" s="1055"/>
      <c r="G2" s="2451" t="str">
        <f>INDEX(PT_DIFFERENTIATION_NTAR,MATCH(B2,PT_DIFFERENTIATION_NTAR_ID,0))</f>
        <v/>
      </c>
      <c r="H2" s="1888"/>
      <c r="I2" s="1763"/>
      <c r="J2" s="1797"/>
      <c r="K2" s="1889"/>
      <c r="L2" s="1888" t="s">
        <v>390</v>
      </c>
      <c r="M2" s="1899"/>
      <c r="N2" s="358"/>
      <c r="O2" s="1648"/>
      <c r="P2" s="1648"/>
      <c r="AH2" s="1655">
        <v>0</v>
      </c>
    </row>
    <row s="1659" customFormat="1" customHeight="1" ht="18.75" hidden="1">
      <c r="A3" s="1804"/>
      <c r="B3" s="1804"/>
      <c r="C3" s="393" t="s">
        <v>1481</v>
      </c>
      <c r="D3" s="368"/>
      <c r="E3" s="1055"/>
      <c r="F3" s="1055"/>
      <c r="G3" s="2451"/>
      <c r="H3" s="1524"/>
      <c r="I3" s="675" t="s">
        <v>1482</v>
      </c>
      <c r="J3" s="595"/>
      <c r="K3" s="1524"/>
      <c r="L3" s="238"/>
      <c r="M3" s="1899"/>
      <c r="N3" s="358"/>
      <c r="O3" s="1648"/>
      <c r="P3" s="1648"/>
      <c r="AH3" s="1655">
        <v>0</v>
      </c>
    </row>
    <row s="1659" customFormat="1" customHeight="1" ht="14.25" hidden="1">
      <c r="A4" s="1803"/>
      <c r="B4" s="1803"/>
      <c r="C4" s="393"/>
      <c r="D4" s="368"/>
      <c r="N4" s="1660">
        <f>_xlfn.IFERROR(MATCH("метод экономически обоснованных расходов (затрат)",OFFER_METHOD,0),0)</f>
        <v>0</v>
      </c>
      <c r="O4" s="1648"/>
      <c r="P4" s="1648"/>
      <c r="T4" s="855"/>
      <c r="AG4" s="279"/>
      <c r="AH4" s="1655">
        <v>0</v>
      </c>
    </row>
    <row s="1659" customFormat="1" customHeight="1" ht="18.75" hidden="1">
      <c r="A5" s="1804" t="s">
        <v>241</v>
      </c>
      <c r="B5" s="1804" t="s">
        <v>242</v>
      </c>
      <c r="C5" s="393"/>
      <c r="D5" s="368"/>
      <c r="E5" s="1055"/>
      <c r="F5" s="1055"/>
      <c r="G5" s="2451" t="str">
        <f>INDEX(PT_DIFFERENTIATION_NTAR,MATCH(B5,PT_DIFFERENTIATION_NTAR_ID,0))</f>
        <v/>
      </c>
      <c r="H5" s="1888"/>
      <c r="I5" s="1763"/>
      <c r="J5" s="1797"/>
      <c r="K5" s="1802"/>
      <c r="L5" s="1888" t="s">
        <v>390</v>
      </c>
      <c r="M5" s="1899"/>
      <c r="N5" s="358"/>
      <c r="O5" s="1648"/>
      <c r="P5" s="1648"/>
      <c r="AH5" s="1655">
        <v>0</v>
      </c>
    </row>
    <row s="1659" customFormat="1" customHeight="1" ht="18.75" hidden="1">
      <c r="A6" s="1804"/>
      <c r="B6" s="1804"/>
      <c r="C6" s="393" t="s">
        <v>1483</v>
      </c>
      <c r="D6" s="368"/>
      <c r="E6" s="1055"/>
      <c r="F6" s="1055"/>
      <c r="G6" s="2451"/>
      <c r="H6" s="1524"/>
      <c r="I6" s="675" t="s">
        <v>1482</v>
      </c>
      <c r="J6" s="595"/>
      <c r="K6" s="1524"/>
      <c r="L6" s="238"/>
      <c r="M6" s="1899"/>
      <c r="N6" s="358"/>
      <c r="O6" s="1648"/>
      <c r="P6" s="1648"/>
      <c r="AH6" s="1655">
        <v>0</v>
      </c>
    </row>
    <row s="1659" customFormat="1" customHeight="1" ht="14.25" hidden="1">
      <c r="A7" s="1803"/>
      <c r="B7" s="1803"/>
      <c r="C7" s="393"/>
      <c r="D7" s="368"/>
      <c r="N7" s="1660">
        <f>_xlfn.IFERROR(MATCH("метод экономически обоснованных расходов (затрат)",OFFER_METHOD,0),0)</f>
        <v>0</v>
      </c>
      <c r="O7" s="1648"/>
      <c r="P7" s="1648"/>
      <c r="T7" s="855"/>
      <c r="AG7" s="279"/>
      <c r="AH7" s="1655">
        <v>0</v>
      </c>
    </row>
    <row s="1659" customFormat="1" customHeight="1" ht="56.25" hidden="1">
      <c r="A8" s="1804"/>
      <c r="B8" s="1804"/>
      <c r="C8" s="393"/>
      <c r="D8" s="368"/>
      <c r="E8" s="1055"/>
      <c r="F8" s="1055"/>
      <c r="G8" s="1055"/>
      <c r="H8" s="1795"/>
      <c r="I8" s="1763"/>
      <c r="J8" s="1797"/>
      <c r="K8" s="1889"/>
      <c r="L8" s="1795" t="s">
        <v>390</v>
      </c>
      <c r="M8" s="1899"/>
      <c r="N8" s="358"/>
      <c r="O8" s="1648"/>
      <c r="P8" s="1648"/>
      <c r="AH8" s="1655">
        <v>0</v>
      </c>
    </row>
    <row customHeight="1" ht="14.25" hidden="1">
      <c r="T9" s="421"/>
      <c r="AG9" s="279"/>
      <c r="AH9" s="398">
        <v>0</v>
      </c>
    </row>
    <row s="1659" customFormat="1" customHeight="1" ht="56.25" hidden="1">
      <c r="A10" s="1804"/>
      <c r="B10" s="1804"/>
      <c r="C10" s="393"/>
      <c r="D10" s="368"/>
      <c r="E10" s="1055"/>
      <c r="F10" s="1055"/>
      <c r="G10" s="1055"/>
      <c r="H10" s="1794"/>
      <c r="I10" s="1763"/>
      <c r="J10" s="1797"/>
      <c r="K10" s="1802"/>
      <c r="L10" s="1795" t="s">
        <v>390</v>
      </c>
      <c r="M10" s="1899"/>
      <c r="N10" s="358"/>
      <c r="O10" s="1648"/>
      <c r="P10" s="1648"/>
      <c r="AH10" s="1655">
        <v>0</v>
      </c>
    </row>
    <row customHeight="1" ht="14.25" hidden="1">
      <c r="AH11" s="398">
        <v>0</v>
      </c>
    </row>
    <row customHeight="1" ht="14.25" hidden="1">
      <c r="AH12" s="398">
        <v>0</v>
      </c>
    </row>
    <row customHeight="1" ht="6.3">
      <c r="D13" s="400"/>
      <c r="E13" s="387"/>
      <c r="F13" s="387"/>
      <c r="G13" s="387"/>
      <c r="H13" s="387"/>
      <c r="I13" s="387"/>
      <c r="J13" s="387"/>
      <c r="K13" s="387"/>
      <c r="L13" s="109"/>
      <c r="M13" s="109"/>
      <c r="AH13" s="398">
        <v>6</v>
      </c>
    </row>
    <row customHeight="1" ht="14.699999999999998">
      <c r="D14" s="400"/>
      <c r="E14" s="248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89"/>
      <c r="G14" s="2489"/>
      <c r="H14" s="2489"/>
      <c r="I14" s="2489"/>
      <c r="J14" s="2489"/>
      <c r="K14" s="2489"/>
      <c r="L14" s="2489"/>
      <c r="M14" s="244"/>
      <c r="AH14" s="398">
        <v>14</v>
      </c>
    </row>
    <row customHeight="1" ht="6.3">
      <c r="D15" s="400"/>
      <c r="E15" s="387"/>
      <c r="F15" s="413"/>
      <c r="G15" s="413"/>
      <c r="H15" s="413"/>
      <c r="I15" s="413"/>
      <c r="J15" s="413"/>
      <c r="K15" s="413"/>
      <c r="L15" s="346"/>
      <c r="M15" s="217"/>
      <c r="AH15" s="398">
        <v>6</v>
      </c>
    </row>
    <row customHeight="1" ht="24">
      <c r="D16" s="400"/>
      <c r="E16" s="387"/>
      <c r="F16" s="329" t="str">
        <f>"Дата подачи заявления об "&amp;IF(TITLE_DATE_PR_CHANGE="","утверждении","изменении")&amp;" тарифов"</f>
        <v>Дата подачи заявления об утверждении тарифов</v>
      </c>
      <c r="G16" s="2288" t="str">
        <f>IF(TITLE_DATE_PR_CHANGE="",IF(TITLE_DATE_PR="","",TITLE_DATE_PR),TITLE_DATE_PR_CHANGE)</f>
        <v/>
      </c>
      <c r="H16" s="2288"/>
      <c r="I16" s="2288"/>
      <c r="J16" s="2288"/>
      <c r="K16" s="2288"/>
      <c r="L16" s="2288"/>
      <c r="M16" s="422"/>
      <c r="N16" s="350"/>
      <c r="AH16" s="398">
        <v>23</v>
      </c>
    </row>
    <row customHeight="1" ht="24">
      <c r="D17" s="400"/>
      <c r="E17" s="387"/>
      <c r="F17" s="329" t="str">
        <f>"Номер подачи заявления об "&amp;IF(TITLE_DATE_PR_CHANGE="","утверждении","изменении")&amp;" тарифов"</f>
        <v>Номер подачи заявления об утверждении тарифов</v>
      </c>
      <c r="G17" s="2275" t="str">
        <f>IF(TITLE_NUMBER_PR_CHANGE="",IF(TITLE_NUMBER_PR="","",TITLE_NUMBER_PR),TITLE_NUMBER_PR_CHANGE)</f>
        <v/>
      </c>
      <c r="H17" s="2275"/>
      <c r="I17" s="2275"/>
      <c r="J17" s="2275"/>
      <c r="K17" s="2275"/>
      <c r="L17" s="2275"/>
      <c r="M17" s="422"/>
      <c r="N17" s="350"/>
      <c r="AH17" s="398">
        <v>23</v>
      </c>
    </row>
    <row customHeight="1" ht="14.699999999999998">
      <c r="D18" s="400"/>
      <c r="E18" s="387"/>
      <c r="F18" s="413"/>
      <c r="G18" s="413"/>
      <c r="H18" s="413"/>
      <c r="I18" s="413"/>
      <c r="J18" s="413"/>
      <c r="K18" s="413"/>
      <c r="L18" s="776"/>
      <c r="M18" s="217"/>
      <c r="AH18" s="398">
        <v>14</v>
      </c>
    </row>
    <row customHeight="1" ht="22.049999999999997">
      <c r="D19" s="400"/>
      <c r="E19" s="2233" t="s">
        <v>384</v>
      </c>
      <c r="F19" s="2233"/>
      <c r="G19" s="2233"/>
      <c r="H19" s="2233"/>
      <c r="I19" s="2233"/>
      <c r="J19" s="2233"/>
      <c r="K19" s="2233"/>
      <c r="L19" s="2233"/>
      <c r="M19" s="2413" t="s">
        <v>385</v>
      </c>
      <c r="AH19" s="398">
        <v>21</v>
      </c>
    </row>
    <row customHeight="1" ht="22.049999999999997">
      <c r="D20" s="400"/>
      <c r="E20" s="2301" t="s">
        <v>88</v>
      </c>
      <c r="F20" s="2248" t="s">
        <v>210</v>
      </c>
      <c r="G20" s="2248" t="s">
        <v>211</v>
      </c>
      <c r="H20" s="2410" t="s">
        <v>1484</v>
      </c>
      <c r="I20" s="2411"/>
      <c r="J20" s="2457"/>
      <c r="K20" s="2248" t="s">
        <v>387</v>
      </c>
      <c r="L20" s="2248" t="s">
        <v>474</v>
      </c>
      <c r="M20" s="2413"/>
      <c r="AH20" s="398">
        <v>21</v>
      </c>
    </row>
    <row customHeight="1" ht="22.049999999999997">
      <c r="D21" s="400"/>
      <c r="E21" s="2303"/>
      <c r="F21" s="2249"/>
      <c r="G21" s="2249"/>
      <c r="H21" s="2242" t="s">
        <v>1485</v>
      </c>
      <c r="I21" s="2244"/>
      <c r="J21" s="132" t="s">
        <v>1486</v>
      </c>
      <c r="K21" s="2249"/>
      <c r="L21" s="2249"/>
      <c r="M21" s="2413"/>
      <c r="AH21" s="398">
        <v>21</v>
      </c>
    </row>
    <row customHeight="1" ht="12.75">
      <c r="D22" s="400"/>
      <c r="E22" s="305"/>
      <c r="F22" s="305"/>
      <c r="G22" s="305"/>
      <c r="H22" s="2491"/>
      <c r="I22" s="2491"/>
      <c r="J22" s="305"/>
      <c r="K22" s="305"/>
      <c r="L22" s="305"/>
      <c r="M22" s="305"/>
      <c r="AH22" s="398">
        <v>12</v>
      </c>
    </row>
    <row customHeight="1" ht="19.95">
      <c r="A23" s="1804"/>
      <c r="B23" s="1804"/>
      <c r="D23" s="400"/>
      <c r="E23" s="1890" t="s">
        <v>170</v>
      </c>
      <c r="F23" s="2492" t="str">
        <f>"Предлагаемый метод регулирования"&amp;IF(TEMPLATE_SPHERE="HEAT"," в сфере "&amp;TEMPLATE_SPHERE_RUS,"")</f>
        <v>Предлагаемый метод регулирования в сфере теплоснабжения</v>
      </c>
      <c r="G23" s="2493"/>
      <c r="H23" s="2485"/>
      <c r="I23" s="2485"/>
      <c r="J23" s="2485"/>
      <c r="K23" s="2493" t="s">
        <v>390</v>
      </c>
      <c r="L23" s="2485"/>
      <c r="M23" s="1793"/>
      <c r="N23" s="358"/>
      <c r="AH23" s="398">
        <v>19</v>
      </c>
    </row>
    <row customHeight="1" ht="60.75" hidden="1">
      <c r="A24" s="1804" t="s">
        <v>241</v>
      </c>
      <c r="B24" s="1804" t="s">
        <v>242</v>
      </c>
      <c r="D24" s="2490"/>
      <c r="E24" s="2228"/>
      <c r="F24" s="249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51" t="str">
        <f>INDEX(PT_DIFFERENTIATION_NTAR,MATCH(B24,PT_DIFFERENTIATION_NTAR_ID,0))</f>
        <v/>
      </c>
      <c r="H24" s="1886"/>
      <c r="I24" s="1763"/>
      <c r="J24" s="1797"/>
      <c r="K24" s="1889"/>
      <c r="L24" s="1792" t="s">
        <v>390</v>
      </c>
      <c r="M24" s="219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58"/>
      <c r="AH24" s="398">
        <v>0</v>
      </c>
    </row>
    <row s="1659" customFormat="1" customHeight="1" ht="18.75" hidden="1">
      <c r="A25" s="1804"/>
      <c r="B25" s="1804"/>
      <c r="C25" s="393" t="s">
        <v>1481</v>
      </c>
      <c r="D25" s="2490"/>
      <c r="E25" s="2228"/>
      <c r="F25" s="2494"/>
      <c r="G25" s="2451"/>
      <c r="H25" s="1524"/>
      <c r="I25" s="675" t="s">
        <v>1482</v>
      </c>
      <c r="J25" s="595"/>
      <c r="K25" s="1524"/>
      <c r="L25" s="238"/>
      <c r="M25" s="2194"/>
      <c r="N25" s="358"/>
      <c r="O25" s="1648"/>
      <c r="P25" s="1648"/>
      <c r="AH25" s="1655">
        <v>0</v>
      </c>
    </row>
    <row customHeight="1" ht="0.75" hidden="1">
      <c r="A26" s="1804"/>
      <c r="B26" s="1804"/>
      <c r="C26" s="393" t="s">
        <v>1487</v>
      </c>
      <c r="D26" s="2490"/>
      <c r="E26" s="2228"/>
      <c r="F26" s="2407"/>
      <c r="G26" s="424"/>
      <c r="H26" s="1524"/>
      <c r="I26" s="419"/>
      <c r="J26" s="373"/>
      <c r="K26" s="1524"/>
      <c r="L26" s="225"/>
      <c r="M26" s="2194"/>
      <c r="N26" s="358"/>
      <c r="AH26" s="398">
        <v>0</v>
      </c>
    </row>
    <row s="1659" customFormat="1" customHeight="1" ht="45" hidden="1">
      <c r="A27" s="1804" t="s">
        <v>246</v>
      </c>
      <c r="B27" s="1804" t="s">
        <v>247</v>
      </c>
      <c r="C27" s="393"/>
      <c r="D27" s="2486"/>
      <c r="E27" s="2487"/>
      <c r="F27" s="2488" t="str">
        <f>INDEX(PT_DIFFERENTIATION_VTAR,MATCH(A27,PT_DIFFERENTIATION_VTAR_ID,0))</f>
        <v/>
      </c>
      <c r="G27" s="2451" t="str">
        <f>INDEX(PT_DIFFERENTIATION_NTAR,MATCH(B27,PT_DIFFERENTIATION_NTAR_ID,0))</f>
        <v/>
      </c>
      <c r="H27" s="1886"/>
      <c r="I27" s="1763"/>
      <c r="J27" s="1797"/>
      <c r="K27" s="1889"/>
      <c r="L27" s="1886" t="s">
        <v>390</v>
      </c>
      <c r="M27" s="2194"/>
      <c r="N27" s="358"/>
      <c r="O27" s="1648"/>
      <c r="P27" s="1648"/>
      <c r="AH27" s="1655">
        <v>0</v>
      </c>
    </row>
    <row s="1659" customFormat="1" customHeight="1" ht="18.75" hidden="1">
      <c r="A28" s="1804"/>
      <c r="B28" s="1804"/>
      <c r="C28" s="393" t="s">
        <v>1481</v>
      </c>
      <c r="D28" s="2486"/>
      <c r="E28" s="2487"/>
      <c r="F28" s="2488"/>
      <c r="G28" s="2451"/>
      <c r="H28" s="1524"/>
      <c r="I28" s="675" t="s">
        <v>1482</v>
      </c>
      <c r="J28" s="595"/>
      <c r="K28" s="1524"/>
      <c r="L28" s="238"/>
      <c r="M28" s="2194"/>
      <c r="N28" s="358"/>
      <c r="O28" s="1648"/>
      <c r="P28" s="1648"/>
      <c r="AH28" s="1655">
        <v>0</v>
      </c>
    </row>
    <row s="1659" customFormat="1" customHeight="1" ht="0.75" hidden="1">
      <c r="A29" s="1804"/>
      <c r="B29" s="1804"/>
      <c r="C29" s="393" t="s">
        <v>1487</v>
      </c>
      <c r="D29" s="2486"/>
      <c r="E29" s="2228"/>
      <c r="F29" s="2407"/>
      <c r="G29" s="424"/>
      <c r="H29" s="1524"/>
      <c r="I29" s="675"/>
      <c r="J29" s="595"/>
      <c r="K29" s="1524"/>
      <c r="L29" s="238"/>
      <c r="M29" s="2194"/>
      <c r="N29" s="358"/>
      <c r="O29" s="1648"/>
      <c r="P29" s="1648"/>
      <c r="AH29" s="1655">
        <v>0</v>
      </c>
    </row>
    <row s="1659" customFormat="1" customHeight="1" ht="45" hidden="1">
      <c r="A30" s="1804" t="s">
        <v>253</v>
      </c>
      <c r="B30" s="1804" t="s">
        <v>254</v>
      </c>
      <c r="C30" s="393"/>
      <c r="D30" s="2486"/>
      <c r="E30" s="2228"/>
      <c r="F30" s="240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51" t="str">
        <f>INDEX(PT_DIFFERENTIATION_NTAR,MATCH(B30,PT_DIFFERENTIATION_NTAR_ID,0))</f>
        <v/>
      </c>
      <c r="H30" s="1886"/>
      <c r="I30" s="1763"/>
      <c r="J30" s="1797"/>
      <c r="K30" s="1889"/>
      <c r="L30" s="1886" t="s">
        <v>390</v>
      </c>
      <c r="M30" s="2194"/>
      <c r="N30" s="358"/>
      <c r="O30" s="1648"/>
      <c r="P30" s="1648"/>
      <c r="AH30" s="1655">
        <v>0</v>
      </c>
    </row>
    <row s="1659" customFormat="1" customHeight="1" ht="18.75" hidden="1">
      <c r="A31" s="1804"/>
      <c r="B31" s="1804"/>
      <c r="C31" s="393" t="s">
        <v>1481</v>
      </c>
      <c r="D31" s="2486"/>
      <c r="E31" s="2228"/>
      <c r="F31" s="2407"/>
      <c r="G31" s="2451"/>
      <c r="H31" s="1524"/>
      <c r="I31" s="675" t="s">
        <v>1482</v>
      </c>
      <c r="J31" s="595"/>
      <c r="K31" s="1524"/>
      <c r="L31" s="238"/>
      <c r="M31" s="2194"/>
      <c r="N31" s="358"/>
      <c r="O31" s="1648"/>
      <c r="P31" s="1648"/>
      <c r="AH31" s="1655">
        <v>0</v>
      </c>
    </row>
    <row s="1659" customFormat="1" customHeight="1" ht="0.75" hidden="1">
      <c r="A32" s="1804"/>
      <c r="B32" s="1804"/>
      <c r="C32" s="393" t="s">
        <v>1487</v>
      </c>
      <c r="D32" s="2486"/>
      <c r="E32" s="2228"/>
      <c r="F32" s="2407"/>
      <c r="G32" s="424"/>
      <c r="H32" s="1524"/>
      <c r="I32" s="675"/>
      <c r="J32" s="595"/>
      <c r="K32" s="1524"/>
      <c r="L32" s="238"/>
      <c r="M32" s="2194"/>
      <c r="N32" s="358"/>
      <c r="O32" s="1648"/>
      <c r="P32" s="1648"/>
      <c r="AH32" s="1655">
        <v>0</v>
      </c>
    </row>
    <row s="1659" customFormat="1" customHeight="1" ht="45" hidden="1">
      <c r="A33" s="1804" t="s">
        <v>259</v>
      </c>
      <c r="B33" s="1804" t="s">
        <v>260</v>
      </c>
      <c r="C33" s="393"/>
      <c r="D33" s="2486"/>
      <c r="E33" s="2228"/>
      <c r="F33" s="240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51" t="str">
        <f>INDEX(PT_DIFFERENTIATION_NTAR,MATCH(B33,PT_DIFFERENTIATION_NTAR_ID,0))</f>
        <v/>
      </c>
      <c r="H33" s="1886"/>
      <c r="I33" s="1763"/>
      <c r="J33" s="1797"/>
      <c r="K33" s="1889"/>
      <c r="L33" s="1886" t="s">
        <v>390</v>
      </c>
      <c r="M33" s="2194"/>
      <c r="N33" s="358"/>
      <c r="O33" s="1648"/>
      <c r="P33" s="1648"/>
      <c r="AH33" s="1655">
        <v>0</v>
      </c>
    </row>
    <row s="1659" customFormat="1" customHeight="1" ht="18.75" hidden="1">
      <c r="A34" s="1804"/>
      <c r="B34" s="1804"/>
      <c r="C34" s="393" t="s">
        <v>1481</v>
      </c>
      <c r="D34" s="2486"/>
      <c r="E34" s="2228"/>
      <c r="F34" s="2407"/>
      <c r="G34" s="2451"/>
      <c r="H34" s="1524"/>
      <c r="I34" s="675" t="s">
        <v>1482</v>
      </c>
      <c r="J34" s="595"/>
      <c r="K34" s="1524"/>
      <c r="L34" s="238"/>
      <c r="M34" s="2194"/>
      <c r="N34" s="358"/>
      <c r="O34" s="1648"/>
      <c r="P34" s="1648"/>
      <c r="AH34" s="1655">
        <v>0</v>
      </c>
    </row>
    <row s="1659" customFormat="1" customHeight="1" ht="0.75" hidden="1">
      <c r="A35" s="1804"/>
      <c r="B35" s="1804"/>
      <c r="C35" s="393" t="s">
        <v>1487</v>
      </c>
      <c r="D35" s="2486"/>
      <c r="E35" s="2228"/>
      <c r="F35" s="2407"/>
      <c r="G35" s="424"/>
      <c r="H35" s="1524"/>
      <c r="I35" s="675"/>
      <c r="J35" s="595"/>
      <c r="K35" s="1524"/>
      <c r="L35" s="238"/>
      <c r="M35" s="2194"/>
      <c r="N35" s="358"/>
      <c r="O35" s="1648"/>
      <c r="P35" s="1648"/>
      <c r="AH35" s="1655">
        <v>0</v>
      </c>
    </row>
    <row s="1659" customFormat="1" customHeight="1" ht="18.75" hidden="1">
      <c r="A36" s="1804" t="s">
        <v>265</v>
      </c>
      <c r="B36" s="1804" t="s">
        <v>266</v>
      </c>
      <c r="C36" s="393"/>
      <c r="D36" s="2486"/>
      <c r="E36" s="2228"/>
      <c r="F36" s="2407" t="str">
        <f>INDEX(PT_DIFFERENTIATION_VTAR,MATCH(A36,PT_DIFFERENTIATION_VTAR_ID,0))</f>
        <v>Тарифы на услуги по передаче тепловой энергии</v>
      </c>
      <c r="G36" s="2451" t="str">
        <f>INDEX(PT_DIFFERENTIATION_NTAR,MATCH(B36,PT_DIFFERENTIATION_NTAR_ID,0))</f>
        <v/>
      </c>
      <c r="H36" s="1886"/>
      <c r="I36" s="1763"/>
      <c r="J36" s="1797"/>
      <c r="K36" s="1889"/>
      <c r="L36" s="1886" t="s">
        <v>390</v>
      </c>
      <c r="M36" s="2194"/>
      <c r="N36" s="358"/>
      <c r="O36" s="1648"/>
      <c r="P36" s="1648"/>
      <c r="AH36" s="1655">
        <v>0</v>
      </c>
    </row>
    <row s="1659" customFormat="1" customHeight="1" ht="18.75" hidden="1">
      <c r="A37" s="1804"/>
      <c r="B37" s="1804"/>
      <c r="C37" s="393" t="s">
        <v>1481</v>
      </c>
      <c r="D37" s="2486"/>
      <c r="E37" s="2228"/>
      <c r="F37" s="2407"/>
      <c r="G37" s="2451"/>
      <c r="H37" s="1524"/>
      <c r="I37" s="675" t="s">
        <v>1482</v>
      </c>
      <c r="J37" s="595"/>
      <c r="K37" s="1524"/>
      <c r="L37" s="238"/>
      <c r="M37" s="2194"/>
      <c r="N37" s="358"/>
      <c r="O37" s="1648"/>
      <c r="P37" s="1648"/>
      <c r="AH37" s="1655">
        <v>0</v>
      </c>
    </row>
    <row s="1659" customFormat="1" customHeight="1" ht="0.75" hidden="1">
      <c r="A38" s="1804"/>
      <c r="B38" s="1804"/>
      <c r="C38" s="393" t="s">
        <v>1487</v>
      </c>
      <c r="D38" s="2486"/>
      <c r="E38" s="2228"/>
      <c r="F38" s="2407"/>
      <c r="G38" s="424"/>
      <c r="H38" s="1524"/>
      <c r="I38" s="675"/>
      <c r="J38" s="595"/>
      <c r="K38" s="1524"/>
      <c r="L38" s="238"/>
      <c r="M38" s="2194"/>
      <c r="N38" s="358"/>
      <c r="O38" s="1648"/>
      <c r="P38" s="1648"/>
      <c r="AH38" s="1655">
        <v>0</v>
      </c>
    </row>
    <row s="1659" customFormat="1" customHeight="1" ht="18.75" hidden="1">
      <c r="A39" s="1804" t="s">
        <v>271</v>
      </c>
      <c r="B39" s="1804" t="s">
        <v>272</v>
      </c>
      <c r="C39" s="393"/>
      <c r="D39" s="2486"/>
      <c r="E39" s="2228"/>
      <c r="F39" s="2407" t="str">
        <f>INDEX(PT_DIFFERENTIATION_VTAR,MATCH(A39,PT_DIFFERENTIATION_VTAR_ID,0))</f>
        <v>Тарифы на услуги по передаче теплоносителя</v>
      </c>
      <c r="G39" s="2451" t="str">
        <f>INDEX(PT_DIFFERENTIATION_NTAR,MATCH(B39,PT_DIFFERENTIATION_NTAR_ID,0))</f>
        <v/>
      </c>
      <c r="H39" s="1886"/>
      <c r="I39" s="1763"/>
      <c r="J39" s="1797"/>
      <c r="K39" s="1889"/>
      <c r="L39" s="1886" t="s">
        <v>390</v>
      </c>
      <c r="M39" s="2194"/>
      <c r="N39" s="358"/>
      <c r="O39" s="1648"/>
      <c r="P39" s="1648"/>
      <c r="AH39" s="1655">
        <v>0</v>
      </c>
    </row>
    <row s="1659" customFormat="1" customHeight="1" ht="18.75" hidden="1">
      <c r="A40" s="1804"/>
      <c r="B40" s="1804"/>
      <c r="C40" s="393" t="s">
        <v>1481</v>
      </c>
      <c r="D40" s="2486"/>
      <c r="E40" s="2228"/>
      <c r="F40" s="2407"/>
      <c r="G40" s="2451"/>
      <c r="H40" s="1524"/>
      <c r="I40" s="675" t="s">
        <v>1482</v>
      </c>
      <c r="J40" s="595"/>
      <c r="K40" s="1524"/>
      <c r="L40" s="238"/>
      <c r="M40" s="2194"/>
      <c r="N40" s="358"/>
      <c r="O40" s="1648"/>
      <c r="P40" s="1648"/>
      <c r="AH40" s="1655">
        <v>0</v>
      </c>
    </row>
    <row s="1659" customFormat="1" customHeight="1" ht="0.75" hidden="1">
      <c r="A41" s="1804"/>
      <c r="B41" s="1804"/>
      <c r="C41" s="393" t="s">
        <v>1487</v>
      </c>
      <c r="D41" s="2486"/>
      <c r="E41" s="2228"/>
      <c r="F41" s="2407"/>
      <c r="G41" s="424"/>
      <c r="H41" s="1524"/>
      <c r="I41" s="675"/>
      <c r="J41" s="595"/>
      <c r="K41" s="1524"/>
      <c r="L41" s="238"/>
      <c r="M41" s="2194"/>
      <c r="N41" s="358"/>
      <c r="O41" s="1648"/>
      <c r="P41" s="1648"/>
      <c r="AH41" s="1655">
        <v>0</v>
      </c>
    </row>
    <row s="1659" customFormat="1" customHeight="1" ht="18.75" hidden="1">
      <c r="A42" s="1804" t="s">
        <v>277</v>
      </c>
      <c r="B42" s="1804" t="s">
        <v>278</v>
      </c>
      <c r="C42" s="393"/>
      <c r="D42" s="2486"/>
      <c r="E42" s="2228"/>
      <c r="F42" s="240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51" t="str">
        <f>INDEX(PT_DIFFERENTIATION_NTAR,MATCH(B42,PT_DIFFERENTIATION_NTAR_ID,0))</f>
        <v/>
      </c>
      <c r="H42" s="1886"/>
      <c r="I42" s="1763"/>
      <c r="J42" s="1797"/>
      <c r="K42" s="1889"/>
      <c r="L42" s="1886" t="s">
        <v>390</v>
      </c>
      <c r="M42" s="2194"/>
      <c r="N42" s="358"/>
      <c r="O42" s="1648"/>
      <c r="P42" s="1648"/>
      <c r="AH42" s="1655">
        <v>0</v>
      </c>
    </row>
    <row s="1659" customFormat="1" customHeight="1" ht="18.75" hidden="1">
      <c r="A43" s="1804"/>
      <c r="B43" s="1804"/>
      <c r="C43" s="393" t="s">
        <v>1481</v>
      </c>
      <c r="D43" s="2486"/>
      <c r="E43" s="2228"/>
      <c r="F43" s="2407"/>
      <c r="G43" s="2451"/>
      <c r="H43" s="1524"/>
      <c r="I43" s="675" t="s">
        <v>1482</v>
      </c>
      <c r="J43" s="595"/>
      <c r="K43" s="1524"/>
      <c r="L43" s="238"/>
      <c r="M43" s="2194"/>
      <c r="N43" s="358"/>
      <c r="O43" s="1648"/>
      <c r="P43" s="1648"/>
      <c r="AH43" s="1655">
        <v>0</v>
      </c>
    </row>
    <row s="1659" customFormat="1" customHeight="1" ht="0.75" hidden="1">
      <c r="A44" s="1804"/>
      <c r="B44" s="1804"/>
      <c r="C44" s="393" t="s">
        <v>1487</v>
      </c>
      <c r="D44" s="2486"/>
      <c r="E44" s="2228"/>
      <c r="F44" s="2407"/>
      <c r="G44" s="424"/>
      <c r="H44" s="1524"/>
      <c r="I44" s="675"/>
      <c r="J44" s="595"/>
      <c r="K44" s="1524"/>
      <c r="L44" s="238"/>
      <c r="M44" s="2194"/>
      <c r="N44" s="358"/>
      <c r="O44" s="1648"/>
      <c r="P44" s="1648"/>
      <c r="AH44" s="1655">
        <v>0</v>
      </c>
    </row>
    <row s="1659" customFormat="1" customHeight="1" ht="18.75" hidden="1">
      <c r="A45" s="1804" t="s">
        <v>283</v>
      </c>
      <c r="B45" s="1804" t="s">
        <v>284</v>
      </c>
      <c r="C45" s="393"/>
      <c r="D45" s="2486"/>
      <c r="E45" s="2228"/>
      <c r="F45" s="2407" t="str">
        <f>INDEX(PT_DIFFERENTIATION_VTAR,MATCH(A45,PT_DIFFERENTIATION_VTAR_ID,0))</f>
        <v>Плата за подключение (технологическое присоединение) к системе теплоснабжения</v>
      </c>
      <c r="G45" s="2451" t="str">
        <f>INDEX(PT_DIFFERENTIATION_NTAR,MATCH(B45,PT_DIFFERENTIATION_NTAR_ID,0))</f>
        <v/>
      </c>
      <c r="H45" s="1886"/>
      <c r="I45" s="1763"/>
      <c r="J45" s="1797"/>
      <c r="K45" s="1889"/>
      <c r="L45" s="1886" t="s">
        <v>390</v>
      </c>
      <c r="M45" s="2194"/>
      <c r="N45" s="358"/>
      <c r="O45" s="1648"/>
      <c r="P45" s="1648"/>
      <c r="AH45" s="1655">
        <v>0</v>
      </c>
    </row>
    <row s="1659" customFormat="1" customHeight="1" ht="18.75" hidden="1">
      <c r="A46" s="1804"/>
      <c r="B46" s="1804"/>
      <c r="C46" s="393" t="s">
        <v>1481</v>
      </c>
      <c r="D46" s="2486"/>
      <c r="E46" s="2228"/>
      <c r="F46" s="2407"/>
      <c r="G46" s="2451"/>
      <c r="H46" s="1524"/>
      <c r="I46" s="675" t="s">
        <v>1482</v>
      </c>
      <c r="J46" s="595"/>
      <c r="K46" s="1524"/>
      <c r="L46" s="238"/>
      <c r="M46" s="2194"/>
      <c r="N46" s="358"/>
      <c r="O46" s="1648"/>
      <c r="P46" s="1648"/>
      <c r="AH46" s="1655">
        <v>0</v>
      </c>
    </row>
    <row s="1659" customFormat="1" customHeight="1" ht="0.75" hidden="1">
      <c r="A47" s="1804"/>
      <c r="B47" s="1804"/>
      <c r="C47" s="393" t="s">
        <v>1487</v>
      </c>
      <c r="D47" s="2486"/>
      <c r="E47" s="2228"/>
      <c r="F47" s="2407"/>
      <c r="G47" s="424"/>
      <c r="H47" s="1524"/>
      <c r="I47" s="675"/>
      <c r="J47" s="595"/>
      <c r="K47" s="1524"/>
      <c r="L47" s="238"/>
      <c r="M47" s="2194"/>
      <c r="N47" s="358"/>
      <c r="O47" s="1648"/>
      <c r="P47" s="1648"/>
      <c r="AH47" s="1655">
        <v>0</v>
      </c>
    </row>
    <row s="1659" customFormat="1" customHeight="1" ht="18.75" hidden="1">
      <c r="A48" s="1804" t="s">
        <v>289</v>
      </c>
      <c r="B48" s="1804" t="s">
        <v>290</v>
      </c>
      <c r="C48" s="393"/>
      <c r="D48" s="2486"/>
      <c r="E48" s="2228"/>
      <c r="F48" s="2407" t="str">
        <f>INDEX(PT_DIFFERENTIATION_VTAR,MATCH(A48,PT_DIFFERENTIATION_VTAR_ID,0))</f>
        <v>Плата за подключение (технологическое присоединение) к системе теплоснабжения (индивидуальная)</v>
      </c>
      <c r="G48" s="2451" t="str">
        <f>INDEX(PT_DIFFERENTIATION_NTAR,MATCH(B48,PT_DIFFERENTIATION_NTAR_ID,0))</f>
        <v/>
      </c>
      <c r="H48" s="2013"/>
      <c r="I48" s="1763"/>
      <c r="J48" s="1797"/>
      <c r="K48" s="1889"/>
      <c r="L48" s="2013" t="s">
        <v>390</v>
      </c>
      <c r="M48" s="2194"/>
      <c r="N48" s="358"/>
      <c r="O48" s="1648"/>
      <c r="P48" s="1648"/>
      <c r="AH48" s="1655">
        <v>0</v>
      </c>
    </row>
    <row s="1659" customFormat="1" customHeight="1" ht="18.75" hidden="1">
      <c r="A49" s="1804"/>
      <c r="B49" s="1804"/>
      <c r="C49" s="393" t="s">
        <v>1481</v>
      </c>
      <c r="D49" s="2486"/>
      <c r="E49" s="2228"/>
      <c r="F49" s="2407"/>
      <c r="G49" s="2451"/>
      <c r="H49" s="1524"/>
      <c r="I49" s="675" t="s">
        <v>1482</v>
      </c>
      <c r="J49" s="595"/>
      <c r="K49" s="1524"/>
      <c r="L49" s="238"/>
      <c r="M49" s="2194"/>
      <c r="N49" s="358"/>
      <c r="O49" s="1648"/>
      <c r="P49" s="1648"/>
      <c r="AH49" s="1655">
        <v>0</v>
      </c>
    </row>
    <row s="1659" customFormat="1" customHeight="1" ht="0.75" hidden="1">
      <c r="A50" s="1804"/>
      <c r="B50" s="1804"/>
      <c r="C50" s="393" t="s">
        <v>1487</v>
      </c>
      <c r="D50" s="2486"/>
      <c r="E50" s="2228"/>
      <c r="F50" s="2407"/>
      <c r="G50" s="424"/>
      <c r="H50" s="1524"/>
      <c r="I50" s="675"/>
      <c r="J50" s="595"/>
      <c r="K50" s="1524"/>
      <c r="L50" s="238"/>
      <c r="M50" s="2194"/>
      <c r="N50" s="358"/>
      <c r="O50" s="1648"/>
      <c r="P50" s="1648"/>
      <c r="AH50" s="1655">
        <v>0</v>
      </c>
    </row>
    <row s="1659" customFormat="1" customHeight="1" ht="18.75" hidden="1">
      <c r="A51" s="1804" t="s">
        <v>309</v>
      </c>
      <c r="B51" s="1804" t="s">
        <v>310</v>
      </c>
      <c r="C51" s="393"/>
      <c r="D51" s="2486"/>
      <c r="E51" s="2228"/>
      <c r="F51" s="2407" t="str">
        <f>INDEX(PT_DIFFERENTIATION_VTAR,MATCH(A51,PT_DIFFERENTIATION_VTAR_ID,0))</f>
        <v>Тариф на питьевую воду (питьевое водоснабжение)</v>
      </c>
      <c r="G51" s="2451" t="str">
        <f>INDEX(PT_DIFFERENTIATION_NTAR,MATCH(B51,PT_DIFFERENTIATION_NTAR_ID,0))</f>
        <v/>
      </c>
      <c r="H51" s="1886"/>
      <c r="I51" s="1763"/>
      <c r="J51" s="1797"/>
      <c r="K51" s="1889"/>
      <c r="L51" s="1886" t="s">
        <v>390</v>
      </c>
      <c r="M51" s="2194"/>
      <c r="N51" s="358"/>
      <c r="O51" s="1648"/>
      <c r="P51" s="1648"/>
      <c r="AH51" s="1655">
        <v>0</v>
      </c>
    </row>
    <row s="1659" customFormat="1" customHeight="1" ht="18.75" hidden="1">
      <c r="A52" s="1804"/>
      <c r="B52" s="1804"/>
      <c r="C52" s="393" t="s">
        <v>1481</v>
      </c>
      <c r="D52" s="2486"/>
      <c r="E52" s="2228"/>
      <c r="F52" s="2407"/>
      <c r="G52" s="2451"/>
      <c r="H52" s="1524"/>
      <c r="I52" s="675" t="s">
        <v>1482</v>
      </c>
      <c r="J52" s="595"/>
      <c r="K52" s="1524"/>
      <c r="L52" s="238"/>
      <c r="M52" s="2194"/>
      <c r="N52" s="358"/>
      <c r="O52" s="1648"/>
      <c r="P52" s="1648"/>
      <c r="AH52" s="1655">
        <v>0</v>
      </c>
    </row>
    <row s="1659" customFormat="1" customHeight="1" ht="0.75" hidden="1">
      <c r="A53" s="1804"/>
      <c r="B53" s="1804"/>
      <c r="C53" s="393" t="s">
        <v>1487</v>
      </c>
      <c r="D53" s="2486"/>
      <c r="E53" s="2228"/>
      <c r="F53" s="2407"/>
      <c r="G53" s="424"/>
      <c r="H53" s="1524"/>
      <c r="I53" s="675"/>
      <c r="J53" s="595"/>
      <c r="K53" s="1524"/>
      <c r="L53" s="238"/>
      <c r="M53" s="2194"/>
      <c r="N53" s="358"/>
      <c r="O53" s="1648"/>
      <c r="P53" s="1648"/>
      <c r="AH53" s="1655">
        <v>0</v>
      </c>
    </row>
    <row s="1659" customFormat="1" customHeight="1" ht="18.75" hidden="1">
      <c r="A54" s="1804" t="s">
        <v>314</v>
      </c>
      <c r="B54" s="1804" t="s">
        <v>315</v>
      </c>
      <c r="C54" s="393"/>
      <c r="D54" s="2486"/>
      <c r="E54" s="2228"/>
      <c r="F54" s="2407" t="str">
        <f>INDEX(PT_DIFFERENTIATION_VTAR,MATCH(A54,PT_DIFFERENTIATION_VTAR_ID,0))</f>
        <v>Тариф на техническую воду</v>
      </c>
      <c r="G54" s="2451" t="str">
        <f>INDEX(PT_DIFFERENTIATION_NTAR,MATCH(B54,PT_DIFFERENTIATION_NTAR_ID,0))</f>
        <v/>
      </c>
      <c r="H54" s="1886"/>
      <c r="I54" s="1763"/>
      <c r="J54" s="1797"/>
      <c r="K54" s="1889"/>
      <c r="L54" s="1886" t="s">
        <v>390</v>
      </c>
      <c r="M54" s="2194"/>
      <c r="N54" s="358"/>
      <c r="O54" s="1648"/>
      <c r="P54" s="1648"/>
      <c r="AH54" s="1655">
        <v>0</v>
      </c>
    </row>
    <row s="1659" customFormat="1" customHeight="1" ht="18.75" hidden="1">
      <c r="A55" s="1804"/>
      <c r="B55" s="1804"/>
      <c r="C55" s="393" t="s">
        <v>1481</v>
      </c>
      <c r="D55" s="2486"/>
      <c r="E55" s="2228"/>
      <c r="F55" s="2407"/>
      <c r="G55" s="2451"/>
      <c r="H55" s="1524"/>
      <c r="I55" s="675" t="s">
        <v>1482</v>
      </c>
      <c r="J55" s="595"/>
      <c r="K55" s="1524"/>
      <c r="L55" s="238"/>
      <c r="M55" s="2194"/>
      <c r="N55" s="358"/>
      <c r="O55" s="1648"/>
      <c r="P55" s="1648"/>
      <c r="AH55" s="1655">
        <v>0</v>
      </c>
    </row>
    <row s="1659" customFormat="1" customHeight="1" ht="0.75" hidden="1">
      <c r="A56" s="1804"/>
      <c r="B56" s="1804"/>
      <c r="C56" s="393" t="s">
        <v>1487</v>
      </c>
      <c r="D56" s="2486"/>
      <c r="E56" s="2228"/>
      <c r="F56" s="2407"/>
      <c r="G56" s="424"/>
      <c r="H56" s="1524"/>
      <c r="I56" s="675"/>
      <c r="J56" s="595"/>
      <c r="K56" s="1524"/>
      <c r="L56" s="238"/>
      <c r="M56" s="2194"/>
      <c r="N56" s="358"/>
      <c r="O56" s="1648"/>
      <c r="P56" s="1648"/>
      <c r="AH56" s="1655">
        <v>0</v>
      </c>
    </row>
    <row s="1659" customFormat="1" customHeight="1" ht="18.75" hidden="1">
      <c r="A57" s="1804" t="s">
        <v>319</v>
      </c>
      <c r="B57" s="1804" t="s">
        <v>320</v>
      </c>
      <c r="C57" s="393"/>
      <c r="D57" s="2486"/>
      <c r="E57" s="2228"/>
      <c r="F57" s="2407" t="str">
        <f>INDEX(PT_DIFFERENTIATION_VTAR,MATCH(A57,PT_DIFFERENTIATION_VTAR_ID,0))</f>
        <v>Тариф на транспортировку воды</v>
      </c>
      <c r="G57" s="2451" t="str">
        <f>INDEX(PT_DIFFERENTIATION_NTAR,MATCH(B57,PT_DIFFERENTIATION_NTAR_ID,0))</f>
        <v/>
      </c>
      <c r="H57" s="1886"/>
      <c r="I57" s="1763"/>
      <c r="J57" s="1797"/>
      <c r="K57" s="1889"/>
      <c r="L57" s="1886" t="s">
        <v>390</v>
      </c>
      <c r="M57" s="2194"/>
      <c r="N57" s="358"/>
      <c r="O57" s="1648"/>
      <c r="P57" s="1648"/>
      <c r="AH57" s="1655">
        <v>0</v>
      </c>
    </row>
    <row s="1659" customFormat="1" customHeight="1" ht="18.75" hidden="1">
      <c r="A58" s="1804"/>
      <c r="B58" s="1804"/>
      <c r="C58" s="393" t="s">
        <v>1481</v>
      </c>
      <c r="D58" s="2486"/>
      <c r="E58" s="2228"/>
      <c r="F58" s="2407"/>
      <c r="G58" s="2451"/>
      <c r="H58" s="1524"/>
      <c r="I58" s="675" t="s">
        <v>1482</v>
      </c>
      <c r="J58" s="595"/>
      <c r="K58" s="1524"/>
      <c r="L58" s="238"/>
      <c r="M58" s="2194"/>
      <c r="N58" s="358"/>
      <c r="O58" s="1648"/>
      <c r="P58" s="1648"/>
      <c r="AH58" s="1655">
        <v>0</v>
      </c>
    </row>
    <row s="1659" customFormat="1" customHeight="1" ht="0.75" hidden="1">
      <c r="A59" s="1804"/>
      <c r="B59" s="1804"/>
      <c r="C59" s="393" t="s">
        <v>1487</v>
      </c>
      <c r="D59" s="2486"/>
      <c r="E59" s="2228"/>
      <c r="F59" s="2407"/>
      <c r="G59" s="424"/>
      <c r="H59" s="1524"/>
      <c r="I59" s="675"/>
      <c r="J59" s="595"/>
      <c r="K59" s="1524"/>
      <c r="L59" s="238"/>
      <c r="M59" s="2194"/>
      <c r="N59" s="358"/>
      <c r="O59" s="1648"/>
      <c r="P59" s="1648"/>
      <c r="AH59" s="1655">
        <v>0</v>
      </c>
    </row>
    <row s="1659" customFormat="1" customHeight="1" ht="18.75" hidden="1">
      <c r="A60" s="1804" t="s">
        <v>324</v>
      </c>
      <c r="B60" s="1804" t="s">
        <v>325</v>
      </c>
      <c r="C60" s="393"/>
      <c r="D60" s="2486"/>
      <c r="E60" s="2228"/>
      <c r="F60" s="2407" t="str">
        <f>INDEX(PT_DIFFERENTIATION_VTAR,MATCH(A60,PT_DIFFERENTIATION_VTAR_ID,0))</f>
        <v>Тариф на подвоз воды</v>
      </c>
      <c r="G60" s="2451" t="str">
        <f>INDEX(PT_DIFFERENTIATION_NTAR,MATCH(B60,PT_DIFFERENTIATION_NTAR_ID,0))</f>
        <v/>
      </c>
      <c r="H60" s="1886"/>
      <c r="I60" s="1763"/>
      <c r="J60" s="1797"/>
      <c r="K60" s="1889"/>
      <c r="L60" s="1886" t="s">
        <v>390</v>
      </c>
      <c r="M60" s="2194"/>
      <c r="N60" s="358"/>
      <c r="O60" s="1648"/>
      <c r="P60" s="1648"/>
      <c r="AH60" s="1655">
        <v>0</v>
      </c>
    </row>
    <row s="1659" customFormat="1" customHeight="1" ht="18.75" hidden="1">
      <c r="A61" s="1804"/>
      <c r="B61" s="1804"/>
      <c r="C61" s="393" t="s">
        <v>1481</v>
      </c>
      <c r="D61" s="2486"/>
      <c r="E61" s="2228"/>
      <c r="F61" s="2407"/>
      <c r="G61" s="2451"/>
      <c r="H61" s="1524"/>
      <c r="I61" s="675" t="s">
        <v>1482</v>
      </c>
      <c r="J61" s="595"/>
      <c r="K61" s="1524"/>
      <c r="L61" s="238"/>
      <c r="M61" s="2194"/>
      <c r="N61" s="358"/>
      <c r="O61" s="1648"/>
      <c r="P61" s="1648"/>
      <c r="AH61" s="1655">
        <v>0</v>
      </c>
    </row>
    <row s="1659" customFormat="1" customHeight="1" ht="0.75" hidden="1">
      <c r="A62" s="1804"/>
      <c r="B62" s="1804"/>
      <c r="C62" s="393" t="s">
        <v>1487</v>
      </c>
      <c r="D62" s="2486"/>
      <c r="E62" s="2228"/>
      <c r="F62" s="2407"/>
      <c r="G62" s="424"/>
      <c r="H62" s="1524"/>
      <c r="I62" s="675"/>
      <c r="J62" s="595"/>
      <c r="K62" s="1524"/>
      <c r="L62" s="238"/>
      <c r="M62" s="2194"/>
      <c r="N62" s="358"/>
      <c r="O62" s="1648"/>
      <c r="P62" s="1648"/>
      <c r="AH62" s="1655">
        <v>0</v>
      </c>
    </row>
    <row s="1659" customFormat="1" customHeight="1" ht="18.75" hidden="1">
      <c r="A63" s="1804" t="s">
        <v>329</v>
      </c>
      <c r="B63" s="1804" t="s">
        <v>330</v>
      </c>
      <c r="C63" s="393"/>
      <c r="D63" s="2486"/>
      <c r="E63" s="2228"/>
      <c r="F63" s="240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51" t="str">
        <f>INDEX(PT_DIFFERENTIATION_NTAR,MATCH(B63,PT_DIFFERENTIATION_NTAR_ID,0))</f>
        <v/>
      </c>
      <c r="H63" s="1886"/>
      <c r="I63" s="1763"/>
      <c r="J63" s="1797"/>
      <c r="K63" s="1889"/>
      <c r="L63" s="1886" t="s">
        <v>390</v>
      </c>
      <c r="M63" s="2194"/>
      <c r="N63" s="358"/>
      <c r="O63" s="1648"/>
      <c r="P63" s="1648"/>
      <c r="AH63" s="1655">
        <v>0</v>
      </c>
    </row>
    <row s="1659" customFormat="1" customHeight="1" ht="18.75" hidden="1">
      <c r="A64" s="1804"/>
      <c r="B64" s="1804"/>
      <c r="C64" s="393" t="s">
        <v>1481</v>
      </c>
      <c r="D64" s="2486"/>
      <c r="E64" s="2228"/>
      <c r="F64" s="2407"/>
      <c r="G64" s="2451"/>
      <c r="H64" s="1524"/>
      <c r="I64" s="675" t="s">
        <v>1482</v>
      </c>
      <c r="J64" s="595"/>
      <c r="K64" s="1524"/>
      <c r="L64" s="238"/>
      <c r="M64" s="2194"/>
      <c r="N64" s="358"/>
      <c r="O64" s="1648"/>
      <c r="P64" s="1648"/>
      <c r="AH64" s="1655">
        <v>0</v>
      </c>
    </row>
    <row s="1659" customFormat="1" customHeight="1" ht="0.75" hidden="1">
      <c r="A65" s="1804"/>
      <c r="B65" s="1804"/>
      <c r="C65" s="393" t="s">
        <v>1487</v>
      </c>
      <c r="D65" s="2486"/>
      <c r="E65" s="2228"/>
      <c r="F65" s="2407"/>
      <c r="G65" s="424"/>
      <c r="H65" s="1524"/>
      <c r="I65" s="675"/>
      <c r="J65" s="595"/>
      <c r="K65" s="1524"/>
      <c r="L65" s="238"/>
      <c r="M65" s="2194"/>
      <c r="N65" s="358"/>
      <c r="O65" s="1648"/>
      <c r="P65" s="1648"/>
      <c r="AH65" s="1655">
        <v>0</v>
      </c>
    </row>
    <row s="1659" customFormat="1" customHeight="1" ht="18.75" hidden="1">
      <c r="A66" s="1804" t="s">
        <v>334</v>
      </c>
      <c r="B66" s="1804" t="s">
        <v>335</v>
      </c>
      <c r="C66" s="393"/>
      <c r="D66" s="2486"/>
      <c r="E66" s="2228"/>
      <c r="F66" s="2407" t="str">
        <f>INDEX(PT_DIFFERENTIATION_VTAR,MATCH(A66,PT_DIFFERENTIATION_VTAR_ID,0))</f>
        <v>Тариф на горячую воду (горячее водоснабжение)</v>
      </c>
      <c r="G66" s="2451" t="str">
        <f>INDEX(PT_DIFFERENTIATION_NTAR,MATCH(B66,PT_DIFFERENTIATION_NTAR_ID,0))</f>
        <v/>
      </c>
      <c r="H66" s="1886"/>
      <c r="I66" s="1763"/>
      <c r="J66" s="1797"/>
      <c r="K66" s="1889"/>
      <c r="L66" s="1886" t="s">
        <v>390</v>
      </c>
      <c r="M66" s="2194"/>
      <c r="N66" s="358"/>
      <c r="O66" s="1648"/>
      <c r="P66" s="1648"/>
      <c r="AH66" s="1655">
        <v>0</v>
      </c>
    </row>
    <row s="1659" customFormat="1" customHeight="1" ht="18.75" hidden="1">
      <c r="A67" s="1804"/>
      <c r="B67" s="1804"/>
      <c r="C67" s="393" t="s">
        <v>1481</v>
      </c>
      <c r="D67" s="2486"/>
      <c r="E67" s="2228"/>
      <c r="F67" s="2407"/>
      <c r="G67" s="2451"/>
      <c r="H67" s="1524"/>
      <c r="I67" s="675" t="s">
        <v>1482</v>
      </c>
      <c r="J67" s="595"/>
      <c r="K67" s="1524"/>
      <c r="L67" s="238"/>
      <c r="M67" s="2194"/>
      <c r="N67" s="358"/>
      <c r="O67" s="1648"/>
      <c r="P67" s="1648"/>
      <c r="AH67" s="1655">
        <v>0</v>
      </c>
    </row>
    <row s="1659" customFormat="1" customHeight="1" ht="0.75" hidden="1">
      <c r="A68" s="1804"/>
      <c r="B68" s="1804"/>
      <c r="C68" s="393" t="s">
        <v>1487</v>
      </c>
      <c r="D68" s="2486"/>
      <c r="E68" s="2228"/>
      <c r="F68" s="2407"/>
      <c r="G68" s="424"/>
      <c r="H68" s="1524"/>
      <c r="I68" s="675"/>
      <c r="J68" s="595"/>
      <c r="K68" s="1524"/>
      <c r="L68" s="238"/>
      <c r="M68" s="2194"/>
      <c r="N68" s="358"/>
      <c r="O68" s="1648"/>
      <c r="P68" s="1648"/>
      <c r="AH68" s="1655">
        <v>0</v>
      </c>
    </row>
    <row s="1659" customFormat="1" customHeight="1" ht="18.75" hidden="1">
      <c r="A69" s="1804" t="s">
        <v>339</v>
      </c>
      <c r="B69" s="1804" t="s">
        <v>340</v>
      </c>
      <c r="C69" s="393"/>
      <c r="D69" s="2486"/>
      <c r="E69" s="2228"/>
      <c r="F69" s="2407" t="str">
        <f>INDEX(PT_DIFFERENTIATION_VTAR,MATCH(A69,PT_DIFFERENTIATION_VTAR_ID,0))</f>
        <v>Тариф на транспортировку горячей воды</v>
      </c>
      <c r="G69" s="2451" t="str">
        <f>INDEX(PT_DIFFERENTIATION_NTAR,MATCH(B69,PT_DIFFERENTIATION_NTAR_ID,0))</f>
        <v/>
      </c>
      <c r="H69" s="1886"/>
      <c r="I69" s="1763"/>
      <c r="J69" s="1797"/>
      <c r="K69" s="1889"/>
      <c r="L69" s="1886" t="s">
        <v>390</v>
      </c>
      <c r="M69" s="2194"/>
      <c r="N69" s="358"/>
      <c r="O69" s="1648"/>
      <c r="P69" s="1648"/>
      <c r="AH69" s="1655">
        <v>0</v>
      </c>
    </row>
    <row s="1659" customFormat="1" customHeight="1" ht="18.75" hidden="1">
      <c r="A70" s="1804"/>
      <c r="B70" s="1804"/>
      <c r="C70" s="393" t="s">
        <v>1481</v>
      </c>
      <c r="D70" s="2486"/>
      <c r="E70" s="2228"/>
      <c r="F70" s="2407"/>
      <c r="G70" s="2451"/>
      <c r="H70" s="1524"/>
      <c r="I70" s="675" t="s">
        <v>1482</v>
      </c>
      <c r="J70" s="595"/>
      <c r="K70" s="1524"/>
      <c r="L70" s="238"/>
      <c r="M70" s="2194"/>
      <c r="N70" s="358"/>
      <c r="O70" s="1648"/>
      <c r="P70" s="1648"/>
      <c r="AH70" s="1655">
        <v>0</v>
      </c>
    </row>
    <row s="1659" customFormat="1" customHeight="1" ht="0.75" hidden="1">
      <c r="A71" s="1804"/>
      <c r="B71" s="1804"/>
      <c r="C71" s="393" t="s">
        <v>1487</v>
      </c>
      <c r="D71" s="2486"/>
      <c r="E71" s="2228"/>
      <c r="F71" s="2407"/>
      <c r="G71" s="424"/>
      <c r="H71" s="1524"/>
      <c r="I71" s="675"/>
      <c r="J71" s="595"/>
      <c r="K71" s="1524"/>
      <c r="L71" s="238"/>
      <c r="M71" s="2194"/>
      <c r="N71" s="358"/>
      <c r="O71" s="1648"/>
      <c r="P71" s="1648"/>
      <c r="AH71" s="1655">
        <v>0</v>
      </c>
    </row>
    <row s="1659" customFormat="1" customHeight="1" ht="18.75" hidden="1">
      <c r="A72" s="1804" t="s">
        <v>344</v>
      </c>
      <c r="B72" s="1804" t="s">
        <v>345</v>
      </c>
      <c r="C72" s="393"/>
      <c r="D72" s="2486"/>
      <c r="E72" s="2228"/>
      <c r="F72" s="2407" t="str">
        <f>INDEX(PT_DIFFERENTIATION_VTAR,MATCH(A72,PT_DIFFERENTIATION_VTAR_ID,0))</f>
        <v>Тариф на подключение (технологическое присоединение) к централизованной системе горячего водоснабжения</v>
      </c>
      <c r="G72" s="2451" t="str">
        <f>INDEX(PT_DIFFERENTIATION_NTAR,MATCH(B72,PT_DIFFERENTIATION_NTAR_ID,0))</f>
        <v/>
      </c>
      <c r="H72" s="1886"/>
      <c r="I72" s="1763"/>
      <c r="J72" s="1797"/>
      <c r="K72" s="1889"/>
      <c r="L72" s="1886" t="s">
        <v>390</v>
      </c>
      <c r="M72" s="2194"/>
      <c r="N72" s="358"/>
      <c r="O72" s="1648"/>
      <c r="P72" s="1648"/>
      <c r="AH72" s="1655">
        <v>0</v>
      </c>
    </row>
    <row s="1659" customFormat="1" customHeight="1" ht="18.75" hidden="1">
      <c r="A73" s="1804"/>
      <c r="B73" s="1804"/>
      <c r="C73" s="393" t="s">
        <v>1481</v>
      </c>
      <c r="D73" s="2486"/>
      <c r="E73" s="2228"/>
      <c r="F73" s="2407"/>
      <c r="G73" s="2451"/>
      <c r="H73" s="1524"/>
      <c r="I73" s="675" t="s">
        <v>1482</v>
      </c>
      <c r="J73" s="595"/>
      <c r="K73" s="1524"/>
      <c r="L73" s="238"/>
      <c r="M73" s="2194"/>
      <c r="N73" s="358"/>
      <c r="O73" s="1648"/>
      <c r="P73" s="1648"/>
      <c r="AH73" s="1655">
        <v>0</v>
      </c>
    </row>
    <row s="1659" customFormat="1" customHeight="1" ht="0.75" hidden="1">
      <c r="A74" s="1804"/>
      <c r="B74" s="1804"/>
      <c r="C74" s="393" t="s">
        <v>1487</v>
      </c>
      <c r="D74" s="2486"/>
      <c r="E74" s="2228"/>
      <c r="F74" s="2407"/>
      <c r="G74" s="424"/>
      <c r="H74" s="1524"/>
      <c r="I74" s="675"/>
      <c r="J74" s="595"/>
      <c r="K74" s="1524"/>
      <c r="L74" s="238"/>
      <c r="M74" s="2194"/>
      <c r="N74" s="358"/>
      <c r="O74" s="1648"/>
      <c r="P74" s="1648"/>
      <c r="AH74" s="1655">
        <v>0</v>
      </c>
    </row>
    <row s="1659" customFormat="1" customHeight="1" ht="18.75" hidden="1">
      <c r="A75" s="1804" t="s">
        <v>349</v>
      </c>
      <c r="B75" s="1804" t="s">
        <v>350</v>
      </c>
      <c r="C75" s="393"/>
      <c r="D75" s="2486"/>
      <c r="E75" s="2228"/>
      <c r="F75" s="2407" t="str">
        <f>INDEX(PT_DIFFERENTIATION_VTAR,MATCH(A75,PT_DIFFERENTIATION_VTAR_ID,0))</f>
        <v>Тариф на водоотведение</v>
      </c>
      <c r="G75" s="2451" t="str">
        <f>INDEX(PT_DIFFERENTIATION_NTAR,MATCH(B75,PT_DIFFERENTIATION_NTAR_ID,0))</f>
        <v/>
      </c>
      <c r="H75" s="1886"/>
      <c r="I75" s="1763"/>
      <c r="J75" s="1797"/>
      <c r="K75" s="1889"/>
      <c r="L75" s="1886" t="s">
        <v>390</v>
      </c>
      <c r="M75" s="2194"/>
      <c r="N75" s="358"/>
      <c r="O75" s="1648"/>
      <c r="P75" s="1648"/>
      <c r="AH75" s="1655">
        <v>0</v>
      </c>
    </row>
    <row s="1659" customFormat="1" customHeight="1" ht="18.75" hidden="1">
      <c r="A76" s="1804"/>
      <c r="B76" s="1804"/>
      <c r="C76" s="393" t="s">
        <v>1481</v>
      </c>
      <c r="D76" s="2486"/>
      <c r="E76" s="2228"/>
      <c r="F76" s="2407"/>
      <c r="G76" s="2451"/>
      <c r="H76" s="1524"/>
      <c r="I76" s="675" t="s">
        <v>1482</v>
      </c>
      <c r="J76" s="595"/>
      <c r="K76" s="1524"/>
      <c r="L76" s="238"/>
      <c r="M76" s="2194"/>
      <c r="N76" s="358"/>
      <c r="O76" s="1648"/>
      <c r="P76" s="1648"/>
      <c r="AH76" s="1655">
        <v>0</v>
      </c>
    </row>
    <row s="1659" customFormat="1" customHeight="1" ht="0.75" hidden="1">
      <c r="A77" s="1804"/>
      <c r="B77" s="1804"/>
      <c r="C77" s="393" t="s">
        <v>1487</v>
      </c>
      <c r="D77" s="2486"/>
      <c r="E77" s="2228"/>
      <c r="F77" s="2407"/>
      <c r="G77" s="424"/>
      <c r="H77" s="1524"/>
      <c r="I77" s="675"/>
      <c r="J77" s="595"/>
      <c r="K77" s="1524"/>
      <c r="L77" s="238"/>
      <c r="M77" s="2194"/>
      <c r="N77" s="358"/>
      <c r="O77" s="1648"/>
      <c r="P77" s="1648"/>
      <c r="AH77" s="1655">
        <v>0</v>
      </c>
    </row>
    <row s="1659" customFormat="1" customHeight="1" ht="18.75" hidden="1">
      <c r="A78" s="1804" t="s">
        <v>354</v>
      </c>
      <c r="B78" s="1804" t="s">
        <v>355</v>
      </c>
      <c r="C78" s="393"/>
      <c r="D78" s="2486"/>
      <c r="E78" s="2228"/>
      <c r="F78" s="2407" t="str">
        <f>INDEX(PT_DIFFERENTIATION_VTAR,MATCH(A78,PT_DIFFERENTIATION_VTAR_ID,0))</f>
        <v>Тариф на транспортировку сточных вод</v>
      </c>
      <c r="G78" s="2451" t="str">
        <f>INDEX(PT_DIFFERENTIATION_NTAR,MATCH(B78,PT_DIFFERENTIATION_NTAR_ID,0))</f>
        <v/>
      </c>
      <c r="H78" s="1886"/>
      <c r="I78" s="1763"/>
      <c r="J78" s="1797"/>
      <c r="K78" s="1889"/>
      <c r="L78" s="1886" t="s">
        <v>390</v>
      </c>
      <c r="M78" s="2194"/>
      <c r="N78" s="358"/>
      <c r="O78" s="1648"/>
      <c r="P78" s="1648"/>
      <c r="AH78" s="1655">
        <v>0</v>
      </c>
    </row>
    <row s="1659" customFormat="1" customHeight="1" ht="18.75" hidden="1">
      <c r="A79" s="1804"/>
      <c r="B79" s="1804"/>
      <c r="C79" s="393" t="s">
        <v>1481</v>
      </c>
      <c r="D79" s="2486"/>
      <c r="E79" s="2228"/>
      <c r="F79" s="2407"/>
      <c r="G79" s="2451"/>
      <c r="H79" s="1524"/>
      <c r="I79" s="675" t="s">
        <v>1482</v>
      </c>
      <c r="J79" s="595"/>
      <c r="K79" s="1524"/>
      <c r="L79" s="238"/>
      <c r="M79" s="2194"/>
      <c r="N79" s="358"/>
      <c r="O79" s="1648"/>
      <c r="P79" s="1648"/>
      <c r="AH79" s="1655">
        <v>0</v>
      </c>
    </row>
    <row s="1659" customFormat="1" customHeight="1" ht="0.75" hidden="1">
      <c r="A80" s="1804"/>
      <c r="B80" s="1804"/>
      <c r="C80" s="393" t="s">
        <v>1487</v>
      </c>
      <c r="D80" s="2486"/>
      <c r="E80" s="2228"/>
      <c r="F80" s="2407"/>
      <c r="G80" s="424"/>
      <c r="H80" s="1524"/>
      <c r="I80" s="675"/>
      <c r="J80" s="595"/>
      <c r="K80" s="1524"/>
      <c r="L80" s="238"/>
      <c r="M80" s="2194"/>
      <c r="N80" s="358"/>
      <c r="O80" s="1648"/>
      <c r="P80" s="1648"/>
      <c r="AH80" s="1655">
        <v>0</v>
      </c>
    </row>
    <row s="1659" customFormat="1" customHeight="1" ht="18.75" hidden="1">
      <c r="A81" s="1804" t="s">
        <v>359</v>
      </c>
      <c r="B81" s="1804" t="s">
        <v>360</v>
      </c>
      <c r="C81" s="393"/>
      <c r="D81" s="2486"/>
      <c r="E81" s="2228"/>
      <c r="F81" s="2407" t="str">
        <f>INDEX(PT_DIFFERENTIATION_VTAR,MATCH(A81,PT_DIFFERENTIATION_VTAR_ID,0))</f>
        <v>Тариф на подключение (технологическое присоединение) к централизованной системе водоотведения</v>
      </c>
      <c r="G81" s="2451" t="str">
        <f>INDEX(PT_DIFFERENTIATION_NTAR,MATCH(B81,PT_DIFFERENTIATION_NTAR_ID,0))</f>
        <v/>
      </c>
      <c r="H81" s="1886"/>
      <c r="I81" s="1763"/>
      <c r="J81" s="1797"/>
      <c r="K81" s="1889"/>
      <c r="L81" s="1886" t="s">
        <v>390</v>
      </c>
      <c r="M81" s="2194"/>
      <c r="N81" s="358"/>
      <c r="O81" s="1648"/>
      <c r="P81" s="1648"/>
      <c r="AH81" s="1655">
        <v>0</v>
      </c>
    </row>
    <row s="1659" customFormat="1" customHeight="1" ht="18.75" hidden="1">
      <c r="A82" s="1804"/>
      <c r="B82" s="1804"/>
      <c r="C82" s="393" t="s">
        <v>1481</v>
      </c>
      <c r="D82" s="2486"/>
      <c r="E82" s="2228"/>
      <c r="F82" s="2407"/>
      <c r="G82" s="2451"/>
      <c r="H82" s="1524"/>
      <c r="I82" s="675" t="s">
        <v>1482</v>
      </c>
      <c r="J82" s="595"/>
      <c r="K82" s="1524"/>
      <c r="L82" s="238"/>
      <c r="M82" s="2194"/>
      <c r="N82" s="358"/>
      <c r="O82" s="1648"/>
      <c r="P82" s="1648"/>
      <c r="AH82" s="1655">
        <v>0</v>
      </c>
    </row>
    <row s="1659" customFormat="1" customHeight="1" ht="1.05">
      <c r="A83" s="1804"/>
      <c r="B83" s="1804"/>
      <c r="C83" s="393" t="s">
        <v>1487</v>
      </c>
      <c r="D83" s="2486"/>
      <c r="E83" s="2228"/>
      <c r="F83" s="2407"/>
      <c r="G83" s="424"/>
      <c r="H83" s="1524"/>
      <c r="I83" s="675"/>
      <c r="J83" s="595"/>
      <c r="K83" s="1524"/>
      <c r="L83" s="238"/>
      <c r="M83" s="2194"/>
      <c r="N83" s="358"/>
      <c r="O83" s="1648"/>
      <c r="P83" s="1648"/>
      <c r="AH83" s="1655">
        <v>1</v>
      </c>
    </row>
    <row customHeight="1" ht="19.95">
      <c r="A84" s="1804"/>
      <c r="B84" s="1804"/>
      <c r="D84" s="400"/>
      <c r="E84" s="171" t="s">
        <v>103</v>
      </c>
      <c r="F84" s="248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84"/>
      <c r="H84" s="2484"/>
      <c r="I84" s="2484"/>
      <c r="J84" s="2484"/>
      <c r="K84" s="2484"/>
      <c r="L84" s="2484"/>
      <c r="M84" s="321"/>
      <c r="N84" s="358"/>
      <c r="AH84" s="398">
        <v>19</v>
      </c>
    </row>
    <row customHeight="1" ht="35.699999999999996">
      <c r="A85" s="1804"/>
      <c r="B85" s="1804"/>
      <c r="D85" s="400"/>
      <c r="E85" s="423"/>
      <c r="F85" s="222" t="s">
        <v>390</v>
      </c>
      <c r="G85" s="222" t="s">
        <v>390</v>
      </c>
      <c r="H85" s="2242" t="s">
        <v>390</v>
      </c>
      <c r="I85" s="2244"/>
      <c r="J85" s="222" t="s">
        <v>390</v>
      </c>
      <c r="K85" s="222" t="s">
        <v>390</v>
      </c>
      <c r="L85" s="425"/>
      <c r="M85" s="369" t="s">
        <v>1488</v>
      </c>
      <c r="N85" s="358"/>
      <c r="AH85" s="398">
        <v>34</v>
      </c>
    </row>
    <row customHeight="1" ht="19.95">
      <c r="A86" s="1804"/>
      <c r="B86" s="1804"/>
      <c r="D86" s="400"/>
      <c r="E86" s="171" t="s">
        <v>90</v>
      </c>
      <c r="F86" s="2484" t="s">
        <v>1489</v>
      </c>
      <c r="G86" s="2484"/>
      <c r="H86" s="2484"/>
      <c r="I86" s="2484"/>
      <c r="J86" s="2484"/>
      <c r="K86" s="2484"/>
      <c r="L86" s="2484"/>
      <c r="M86" s="321"/>
      <c r="N86" s="358"/>
      <c r="AH86" s="398">
        <v>19</v>
      </c>
    </row>
    <row s="1659" customFormat="1" customHeight="1" ht="60.75" hidden="1">
      <c r="A87" s="1804" t="s">
        <v>241</v>
      </c>
      <c r="B87" s="1804" t="s">
        <v>242</v>
      </c>
      <c r="C87" s="393"/>
      <c r="D87" s="2486"/>
      <c r="E87" s="2228"/>
      <c r="F87" s="240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51" t="str">
        <f>INDEX(PT_DIFFERENTIATION_NTAR,MATCH(B87,PT_DIFFERENTIATION_NTAR_ID,0))</f>
        <v/>
      </c>
      <c r="H87" s="1886"/>
      <c r="I87" s="1763"/>
      <c r="J87" s="1797"/>
      <c r="K87" s="1802"/>
      <c r="L87" s="1886" t="s">
        <v>390</v>
      </c>
      <c r="M87" s="219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58"/>
      <c r="O87" s="1648"/>
      <c r="P87" s="1648"/>
      <c r="AH87" s="1655">
        <v>0</v>
      </c>
    </row>
    <row s="1659" customFormat="1" customHeight="1" ht="18.75" hidden="1">
      <c r="A88" s="1804"/>
      <c r="B88" s="1804"/>
      <c r="C88" s="393" t="s">
        <v>1483</v>
      </c>
      <c r="D88" s="2486"/>
      <c r="E88" s="2228"/>
      <c r="F88" s="2407"/>
      <c r="G88" s="2451"/>
      <c r="H88" s="1524"/>
      <c r="I88" s="675" t="s">
        <v>1482</v>
      </c>
      <c r="J88" s="595"/>
      <c r="K88" s="1524"/>
      <c r="L88" s="238"/>
      <c r="M88" s="2194"/>
      <c r="N88" s="358"/>
      <c r="O88" s="1648"/>
      <c r="P88" s="1648"/>
      <c r="AH88" s="1655">
        <v>0</v>
      </c>
    </row>
    <row s="1659" customFormat="1" customHeight="1" ht="0.75" hidden="1">
      <c r="A89" s="1804"/>
      <c r="B89" s="1804"/>
      <c r="C89" s="393" t="s">
        <v>1490</v>
      </c>
      <c r="D89" s="2486"/>
      <c r="E89" s="2228"/>
      <c r="F89" s="2407"/>
      <c r="G89" s="424"/>
      <c r="H89" s="1524"/>
      <c r="I89" s="675"/>
      <c r="J89" s="595"/>
      <c r="K89" s="1524"/>
      <c r="L89" s="238"/>
      <c r="M89" s="2194"/>
      <c r="N89" s="358"/>
      <c r="O89" s="1648"/>
      <c r="P89" s="1648"/>
      <c r="AH89" s="1655">
        <v>0</v>
      </c>
    </row>
    <row s="1659" customFormat="1" customHeight="1" ht="45" hidden="1">
      <c r="A90" s="1804" t="s">
        <v>246</v>
      </c>
      <c r="B90" s="1804" t="s">
        <v>247</v>
      </c>
      <c r="C90" s="393"/>
      <c r="D90" s="2486"/>
      <c r="E90" s="2228"/>
      <c r="F90" s="2407" t="str">
        <f>INDEX(PT_DIFFERENTIATION_VTAR,MATCH(A90,PT_DIFFERENTIATION_VTAR_ID,0))</f>
        <v/>
      </c>
      <c r="G90" s="2451" t="str">
        <f>INDEX(PT_DIFFERENTIATION_NTAR,MATCH(B90,PT_DIFFERENTIATION_NTAR_ID,0))</f>
        <v/>
      </c>
      <c r="H90" s="1886"/>
      <c r="I90" s="1763"/>
      <c r="J90" s="1797"/>
      <c r="K90" s="1802"/>
      <c r="L90" s="1886" t="s">
        <v>390</v>
      </c>
      <c r="M90" s="2195"/>
      <c r="N90" s="358"/>
      <c r="O90" s="1648"/>
      <c r="P90" s="1648"/>
      <c r="AH90" s="1655">
        <v>0</v>
      </c>
    </row>
    <row s="1659" customFormat="1" customHeight="1" ht="18.75" hidden="1">
      <c r="A91" s="1804"/>
      <c r="B91" s="1804"/>
      <c r="C91" s="393" t="s">
        <v>1483</v>
      </c>
      <c r="D91" s="2486"/>
      <c r="E91" s="2228"/>
      <c r="F91" s="2407"/>
      <c r="G91" s="2451"/>
      <c r="H91" s="1524"/>
      <c r="I91" s="675" t="s">
        <v>1482</v>
      </c>
      <c r="J91" s="595"/>
      <c r="K91" s="1524"/>
      <c r="L91" s="238"/>
      <c r="M91" s="1885"/>
      <c r="N91" s="358"/>
      <c r="O91" s="1648"/>
      <c r="P91" s="1648"/>
      <c r="AH91" s="1655">
        <v>0</v>
      </c>
    </row>
    <row s="1659" customFormat="1" customHeight="1" ht="0.75" hidden="1">
      <c r="A92" s="1804"/>
      <c r="B92" s="1804"/>
      <c r="C92" s="393" t="s">
        <v>1490</v>
      </c>
      <c r="D92" s="2486"/>
      <c r="E92" s="2228"/>
      <c r="F92" s="2407"/>
      <c r="G92" s="424"/>
      <c r="H92" s="1524"/>
      <c r="I92" s="675"/>
      <c r="J92" s="595"/>
      <c r="K92" s="1524"/>
      <c r="L92" s="238"/>
      <c r="M92" s="365"/>
      <c r="N92" s="358"/>
      <c r="O92" s="1648"/>
      <c r="P92" s="1648"/>
      <c r="AH92" s="1655">
        <v>0</v>
      </c>
    </row>
    <row s="1659" customFormat="1" customHeight="1" ht="45" hidden="1">
      <c r="A93" s="1804" t="s">
        <v>253</v>
      </c>
      <c r="B93" s="1804" t="s">
        <v>254</v>
      </c>
      <c r="C93" s="393"/>
      <c r="D93" s="2486"/>
      <c r="E93" s="2228"/>
      <c r="F93" s="240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51" t="str">
        <f>INDEX(PT_DIFFERENTIATION_NTAR,MATCH(B93,PT_DIFFERENTIATION_NTAR_ID,0))</f>
        <v/>
      </c>
      <c r="H93" s="1886"/>
      <c r="I93" s="1763"/>
      <c r="J93" s="1797"/>
      <c r="K93" s="1802"/>
      <c r="L93" s="1886" t="s">
        <v>390</v>
      </c>
      <c r="M93" s="365"/>
      <c r="N93" s="358"/>
      <c r="O93" s="1648"/>
      <c r="P93" s="1648"/>
      <c r="AH93" s="1655">
        <v>0</v>
      </c>
    </row>
    <row s="1659" customFormat="1" customHeight="1" ht="18.75" hidden="1">
      <c r="A94" s="1804"/>
      <c r="B94" s="1804"/>
      <c r="C94" s="393" t="s">
        <v>1483</v>
      </c>
      <c r="D94" s="2486"/>
      <c r="E94" s="2228"/>
      <c r="F94" s="2407"/>
      <c r="G94" s="2451"/>
      <c r="H94" s="1524"/>
      <c r="I94" s="675" t="s">
        <v>1482</v>
      </c>
      <c r="J94" s="595"/>
      <c r="K94" s="1524"/>
      <c r="L94" s="238"/>
      <c r="M94" s="365"/>
      <c r="N94" s="358"/>
      <c r="O94" s="1648"/>
      <c r="P94" s="1648"/>
      <c r="AH94" s="1655">
        <v>0</v>
      </c>
    </row>
    <row s="1659" customFormat="1" customHeight="1" ht="0.75" hidden="1">
      <c r="A95" s="1804"/>
      <c r="B95" s="1804"/>
      <c r="C95" s="393" t="s">
        <v>1490</v>
      </c>
      <c r="D95" s="2486"/>
      <c r="E95" s="2228"/>
      <c r="F95" s="2407"/>
      <c r="G95" s="424"/>
      <c r="H95" s="1524"/>
      <c r="I95" s="675"/>
      <c r="J95" s="595"/>
      <c r="K95" s="1524"/>
      <c r="L95" s="238"/>
      <c r="M95" s="365"/>
      <c r="N95" s="358"/>
      <c r="O95" s="1648"/>
      <c r="P95" s="1648"/>
      <c r="AH95" s="1655">
        <v>0</v>
      </c>
    </row>
    <row s="1659" customFormat="1" customHeight="1" ht="45" hidden="1">
      <c r="A96" s="1804" t="s">
        <v>259</v>
      </c>
      <c r="B96" s="1804" t="s">
        <v>260</v>
      </c>
      <c r="C96" s="393"/>
      <c r="D96" s="2486"/>
      <c r="E96" s="2228"/>
      <c r="F96" s="240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51" t="str">
        <f>INDEX(PT_DIFFERENTIATION_NTAR,MATCH(B96,PT_DIFFERENTIATION_NTAR_ID,0))</f>
        <v/>
      </c>
      <c r="H96" s="1886"/>
      <c r="I96" s="1763"/>
      <c r="J96" s="1797"/>
      <c r="K96" s="1802"/>
      <c r="L96" s="1886" t="s">
        <v>390</v>
      </c>
      <c r="M96" s="365"/>
      <c r="N96" s="358"/>
      <c r="O96" s="1648"/>
      <c r="P96" s="1648"/>
      <c r="AH96" s="1655">
        <v>0</v>
      </c>
    </row>
    <row s="1659" customFormat="1" customHeight="1" ht="18.75" hidden="1">
      <c r="A97" s="1804"/>
      <c r="B97" s="1804"/>
      <c r="C97" s="393" t="s">
        <v>1483</v>
      </c>
      <c r="D97" s="2486"/>
      <c r="E97" s="2228"/>
      <c r="F97" s="2407"/>
      <c r="G97" s="2451"/>
      <c r="H97" s="1524"/>
      <c r="I97" s="675" t="s">
        <v>1482</v>
      </c>
      <c r="J97" s="595"/>
      <c r="K97" s="1524"/>
      <c r="L97" s="238"/>
      <c r="M97" s="365"/>
      <c r="N97" s="358"/>
      <c r="O97" s="1648"/>
      <c r="P97" s="1648"/>
      <c r="AH97" s="1655">
        <v>0</v>
      </c>
    </row>
    <row s="1659" customFormat="1" customHeight="1" ht="0.75" hidden="1">
      <c r="A98" s="1804"/>
      <c r="B98" s="1804"/>
      <c r="C98" s="393" t="s">
        <v>1490</v>
      </c>
      <c r="D98" s="2486"/>
      <c r="E98" s="2228"/>
      <c r="F98" s="2407"/>
      <c r="G98" s="424"/>
      <c r="H98" s="1524"/>
      <c r="I98" s="675"/>
      <c r="J98" s="595"/>
      <c r="K98" s="1524"/>
      <c r="L98" s="238"/>
      <c r="M98" s="365"/>
      <c r="N98" s="358"/>
      <c r="O98" s="1648"/>
      <c r="P98" s="1648"/>
      <c r="AH98" s="1655">
        <v>0</v>
      </c>
    </row>
    <row s="1659" customFormat="1" customHeight="1" ht="18.75" hidden="1">
      <c r="A99" s="1804" t="s">
        <v>265</v>
      </c>
      <c r="B99" s="1804" t="s">
        <v>266</v>
      </c>
      <c r="C99" s="393"/>
      <c r="D99" s="2486"/>
      <c r="E99" s="2228"/>
      <c r="F99" s="2407" t="str">
        <f>INDEX(PT_DIFFERENTIATION_VTAR,MATCH(A99,PT_DIFFERENTIATION_VTAR_ID,0))</f>
        <v>Тарифы на услуги по передаче тепловой энергии</v>
      </c>
      <c r="G99" s="2451" t="str">
        <f>INDEX(PT_DIFFERENTIATION_NTAR,MATCH(B99,PT_DIFFERENTIATION_NTAR_ID,0))</f>
        <v/>
      </c>
      <c r="H99" s="1886"/>
      <c r="I99" s="1763"/>
      <c r="J99" s="1797"/>
      <c r="K99" s="1802"/>
      <c r="L99" s="1886" t="s">
        <v>390</v>
      </c>
      <c r="M99" s="365"/>
      <c r="N99" s="358"/>
      <c r="O99" s="1648"/>
      <c r="P99" s="1648"/>
      <c r="AH99" s="1655">
        <v>0</v>
      </c>
    </row>
    <row s="1659" customFormat="1" customHeight="1" ht="18.75" hidden="1">
      <c r="A100" s="1804"/>
      <c r="B100" s="1804"/>
      <c r="C100" s="393" t="s">
        <v>1483</v>
      </c>
      <c r="D100" s="2486"/>
      <c r="E100" s="2228"/>
      <c r="F100" s="2407"/>
      <c r="G100" s="2451"/>
      <c r="H100" s="1524"/>
      <c r="I100" s="675" t="s">
        <v>1482</v>
      </c>
      <c r="J100" s="595"/>
      <c r="K100" s="1524"/>
      <c r="L100" s="238"/>
      <c r="M100" s="365"/>
      <c r="N100" s="358"/>
      <c r="O100" s="1648"/>
      <c r="P100" s="1648"/>
      <c r="AH100" s="1655">
        <v>0</v>
      </c>
    </row>
    <row s="1659" customFormat="1" customHeight="1" ht="0.75" hidden="1">
      <c r="A101" s="1804"/>
      <c r="B101" s="1804"/>
      <c r="C101" s="393" t="s">
        <v>1490</v>
      </c>
      <c r="D101" s="2486"/>
      <c r="E101" s="2228"/>
      <c r="F101" s="2407"/>
      <c r="G101" s="424"/>
      <c r="H101" s="1524"/>
      <c r="I101" s="675"/>
      <c r="J101" s="595"/>
      <c r="K101" s="1524"/>
      <c r="L101" s="238"/>
      <c r="M101" s="365"/>
      <c r="N101" s="358"/>
      <c r="O101" s="1648"/>
      <c r="P101" s="1648"/>
      <c r="AH101" s="1655">
        <v>0</v>
      </c>
    </row>
    <row s="1659" customFormat="1" customHeight="1" ht="18.75" hidden="1">
      <c r="A102" s="1804" t="s">
        <v>271</v>
      </c>
      <c r="B102" s="1804" t="s">
        <v>272</v>
      </c>
      <c r="C102" s="393"/>
      <c r="D102" s="2486"/>
      <c r="E102" s="2228"/>
      <c r="F102" s="2407" t="str">
        <f>INDEX(PT_DIFFERENTIATION_VTAR,MATCH(A102,PT_DIFFERENTIATION_VTAR_ID,0))</f>
        <v>Тарифы на услуги по передаче теплоносителя</v>
      </c>
      <c r="G102" s="2451" t="str">
        <f>INDEX(PT_DIFFERENTIATION_NTAR,MATCH(B102,PT_DIFFERENTIATION_NTAR_ID,0))</f>
        <v/>
      </c>
      <c r="H102" s="1886"/>
      <c r="I102" s="1763"/>
      <c r="J102" s="1797"/>
      <c r="K102" s="1802"/>
      <c r="L102" s="1886" t="s">
        <v>390</v>
      </c>
      <c r="M102" s="365"/>
      <c r="N102" s="358"/>
      <c r="O102" s="1648"/>
      <c r="P102" s="1648"/>
      <c r="AH102" s="1655">
        <v>0</v>
      </c>
    </row>
    <row s="1659" customFormat="1" customHeight="1" ht="18.75" hidden="1">
      <c r="A103" s="1804"/>
      <c r="B103" s="1804"/>
      <c r="C103" s="393" t="s">
        <v>1483</v>
      </c>
      <c r="D103" s="2486"/>
      <c r="E103" s="2228"/>
      <c r="F103" s="2407"/>
      <c r="G103" s="2451"/>
      <c r="H103" s="1524"/>
      <c r="I103" s="675" t="s">
        <v>1482</v>
      </c>
      <c r="J103" s="595"/>
      <c r="K103" s="1524"/>
      <c r="L103" s="238"/>
      <c r="M103" s="365"/>
      <c r="N103" s="358"/>
      <c r="O103" s="1648"/>
      <c r="P103" s="1648"/>
      <c r="AH103" s="1655">
        <v>0</v>
      </c>
    </row>
    <row s="1659" customFormat="1" customHeight="1" ht="0.75" hidden="1">
      <c r="A104" s="1804"/>
      <c r="B104" s="1804"/>
      <c r="C104" s="393" t="s">
        <v>1490</v>
      </c>
      <c r="D104" s="2486"/>
      <c r="E104" s="2228"/>
      <c r="F104" s="2407"/>
      <c r="G104" s="424"/>
      <c r="H104" s="1524"/>
      <c r="I104" s="675"/>
      <c r="J104" s="595"/>
      <c r="K104" s="1524"/>
      <c r="L104" s="238"/>
      <c r="M104" s="365"/>
      <c r="N104" s="358"/>
      <c r="O104" s="1648"/>
      <c r="P104" s="1648"/>
      <c r="AH104" s="1655">
        <v>0</v>
      </c>
    </row>
    <row s="1659" customFormat="1" customHeight="1" ht="18.75" hidden="1">
      <c r="A105" s="1804" t="s">
        <v>277</v>
      </c>
      <c r="B105" s="1804" t="s">
        <v>278</v>
      </c>
      <c r="C105" s="393"/>
      <c r="D105" s="2486"/>
      <c r="E105" s="2228"/>
      <c r="F105" s="240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51" t="str">
        <f>INDEX(PT_DIFFERENTIATION_NTAR,MATCH(B105,PT_DIFFERENTIATION_NTAR_ID,0))</f>
        <v/>
      </c>
      <c r="H105" s="1886"/>
      <c r="I105" s="1763"/>
      <c r="J105" s="1797"/>
      <c r="K105" s="1802"/>
      <c r="L105" s="1886" t="s">
        <v>390</v>
      </c>
      <c r="M105" s="365"/>
      <c r="N105" s="358"/>
      <c r="O105" s="1648"/>
      <c r="P105" s="1648"/>
      <c r="AH105" s="1655">
        <v>0</v>
      </c>
    </row>
    <row s="1659" customFormat="1" customHeight="1" ht="18.75" hidden="1">
      <c r="A106" s="1804"/>
      <c r="B106" s="1804"/>
      <c r="C106" s="393" t="s">
        <v>1483</v>
      </c>
      <c r="D106" s="2486"/>
      <c r="E106" s="2228"/>
      <c r="F106" s="2407"/>
      <c r="G106" s="2451"/>
      <c r="H106" s="1524"/>
      <c r="I106" s="675" t="s">
        <v>1482</v>
      </c>
      <c r="J106" s="595"/>
      <c r="K106" s="1524"/>
      <c r="L106" s="238"/>
      <c r="M106" s="365"/>
      <c r="N106" s="358"/>
      <c r="O106" s="1648"/>
      <c r="P106" s="1648"/>
      <c r="AH106" s="1655">
        <v>0</v>
      </c>
    </row>
    <row s="1659" customFormat="1" customHeight="1" ht="0.75" hidden="1">
      <c r="A107" s="1804"/>
      <c r="B107" s="1804"/>
      <c r="C107" s="393" t="s">
        <v>1490</v>
      </c>
      <c r="D107" s="2486"/>
      <c r="E107" s="2228"/>
      <c r="F107" s="2407"/>
      <c r="G107" s="424"/>
      <c r="H107" s="1524"/>
      <c r="I107" s="675"/>
      <c r="J107" s="595"/>
      <c r="K107" s="1524"/>
      <c r="L107" s="238"/>
      <c r="M107" s="365"/>
      <c r="N107" s="358"/>
      <c r="O107" s="1648"/>
      <c r="P107" s="1648"/>
      <c r="AH107" s="1655">
        <v>0</v>
      </c>
    </row>
    <row s="1659" customFormat="1" customHeight="1" ht="18.75" hidden="1">
      <c r="A108" s="1804" t="s">
        <v>283</v>
      </c>
      <c r="B108" s="1804" t="s">
        <v>284</v>
      </c>
      <c r="C108" s="393"/>
      <c r="D108" s="2486"/>
      <c r="E108" s="2228"/>
      <c r="F108" s="2407" t="str">
        <f>INDEX(PT_DIFFERENTIATION_VTAR,MATCH(A108,PT_DIFFERENTIATION_VTAR_ID,0))</f>
        <v>Плата за подключение (технологическое присоединение) к системе теплоснабжения</v>
      </c>
      <c r="G108" s="2451" t="str">
        <f>INDEX(PT_DIFFERENTIATION_NTAR,MATCH(B108,PT_DIFFERENTIATION_NTAR_ID,0))</f>
        <v/>
      </c>
      <c r="H108" s="1886"/>
      <c r="I108" s="1763"/>
      <c r="J108" s="1797"/>
      <c r="K108" s="1802"/>
      <c r="L108" s="1886" t="s">
        <v>390</v>
      </c>
      <c r="M108" s="365"/>
      <c r="N108" s="358"/>
      <c r="O108" s="1648"/>
      <c r="P108" s="1648"/>
      <c r="AH108" s="1655">
        <v>0</v>
      </c>
    </row>
    <row s="1659" customFormat="1" customHeight="1" ht="18.75" hidden="1">
      <c r="A109" s="1804"/>
      <c r="B109" s="1804"/>
      <c r="C109" s="393" t="s">
        <v>1483</v>
      </c>
      <c r="D109" s="2486"/>
      <c r="E109" s="2228"/>
      <c r="F109" s="2407"/>
      <c r="G109" s="2451"/>
      <c r="H109" s="1524"/>
      <c r="I109" s="675" t="s">
        <v>1482</v>
      </c>
      <c r="J109" s="595"/>
      <c r="K109" s="1524"/>
      <c r="L109" s="238"/>
      <c r="M109" s="365"/>
      <c r="N109" s="358"/>
      <c r="O109" s="1648"/>
      <c r="P109" s="1648"/>
      <c r="AH109" s="1655">
        <v>0</v>
      </c>
    </row>
    <row s="1659" customFormat="1" customHeight="1" ht="0.75" hidden="1">
      <c r="A110" s="1804"/>
      <c r="B110" s="1804"/>
      <c r="C110" s="393" t="s">
        <v>1490</v>
      </c>
      <c r="D110" s="2486"/>
      <c r="E110" s="2228"/>
      <c r="F110" s="2407"/>
      <c r="G110" s="424"/>
      <c r="H110" s="1524"/>
      <c r="I110" s="675"/>
      <c r="J110" s="595"/>
      <c r="K110" s="1524"/>
      <c r="L110" s="238"/>
      <c r="M110" s="365"/>
      <c r="N110" s="358"/>
      <c r="O110" s="1648"/>
      <c r="P110" s="1648"/>
      <c r="AH110" s="1655">
        <v>0</v>
      </c>
    </row>
    <row s="1659" customFormat="1" customHeight="1" ht="18.75" hidden="1">
      <c r="A111" s="1804" t="s">
        <v>289</v>
      </c>
      <c r="B111" s="1804" t="s">
        <v>290</v>
      </c>
      <c r="C111" s="393"/>
      <c r="D111" s="2486"/>
      <c r="E111" s="2228"/>
      <c r="F111" s="2407" t="str">
        <f>INDEX(PT_DIFFERENTIATION_VTAR,MATCH(A111,PT_DIFFERENTIATION_VTAR_ID,0))</f>
        <v>Плата за подключение (технологическое присоединение) к системе теплоснабжения (индивидуальная)</v>
      </c>
      <c r="G111" s="2451" t="str">
        <f>INDEX(PT_DIFFERENTIATION_NTAR,MATCH(B111,PT_DIFFERENTIATION_NTAR_ID,0))</f>
        <v/>
      </c>
      <c r="H111" s="2013"/>
      <c r="I111" s="1763"/>
      <c r="J111" s="1797"/>
      <c r="K111" s="1802"/>
      <c r="L111" s="2013" t="s">
        <v>390</v>
      </c>
      <c r="M111" s="365"/>
      <c r="N111" s="358"/>
      <c r="O111" s="1648"/>
      <c r="P111" s="1648"/>
      <c r="AH111" s="1655">
        <v>0</v>
      </c>
    </row>
    <row s="1659" customFormat="1" customHeight="1" ht="18.75" hidden="1">
      <c r="A112" s="1804"/>
      <c r="B112" s="1804"/>
      <c r="C112" s="393" t="s">
        <v>1483</v>
      </c>
      <c r="D112" s="2486"/>
      <c r="E112" s="2228"/>
      <c r="F112" s="2407"/>
      <c r="G112" s="2451"/>
      <c r="H112" s="1524"/>
      <c r="I112" s="675" t="s">
        <v>1482</v>
      </c>
      <c r="J112" s="595"/>
      <c r="K112" s="1524"/>
      <c r="L112" s="238"/>
      <c r="M112" s="365"/>
      <c r="N112" s="358"/>
      <c r="O112" s="1648"/>
      <c r="P112" s="1648"/>
      <c r="AH112" s="1655">
        <v>0</v>
      </c>
    </row>
    <row s="1659" customFormat="1" customHeight="1" ht="0.75" hidden="1">
      <c r="A113" s="1804"/>
      <c r="B113" s="1804"/>
      <c r="C113" s="393" t="s">
        <v>1490</v>
      </c>
      <c r="D113" s="2486"/>
      <c r="E113" s="2228"/>
      <c r="F113" s="2407"/>
      <c r="G113" s="424"/>
      <c r="H113" s="1524"/>
      <c r="I113" s="675"/>
      <c r="J113" s="595"/>
      <c r="K113" s="1524"/>
      <c r="L113" s="238"/>
      <c r="M113" s="365"/>
      <c r="N113" s="358"/>
      <c r="O113" s="1648"/>
      <c r="P113" s="1648"/>
      <c r="AH113" s="1655">
        <v>0</v>
      </c>
    </row>
    <row s="1659" customFormat="1" customHeight="1" ht="18.75" hidden="1">
      <c r="A114" s="1804" t="s">
        <v>309</v>
      </c>
      <c r="B114" s="1804" t="s">
        <v>310</v>
      </c>
      <c r="C114" s="393"/>
      <c r="D114" s="2486"/>
      <c r="E114" s="2228"/>
      <c r="F114" s="2407" t="str">
        <f>INDEX(PT_DIFFERENTIATION_VTAR,MATCH(A114,PT_DIFFERENTIATION_VTAR_ID,0))</f>
        <v>Тариф на питьевую воду (питьевое водоснабжение)</v>
      </c>
      <c r="G114" s="2451" t="str">
        <f>INDEX(PT_DIFFERENTIATION_NTAR,MATCH(B114,PT_DIFFERENTIATION_NTAR_ID,0))</f>
        <v/>
      </c>
      <c r="H114" s="1886"/>
      <c r="I114" s="1763"/>
      <c r="J114" s="1797"/>
      <c r="K114" s="1802"/>
      <c r="L114" s="1886" t="s">
        <v>390</v>
      </c>
      <c r="M114" s="365"/>
      <c r="N114" s="358"/>
      <c r="O114" s="1648"/>
      <c r="P114" s="1648"/>
      <c r="AH114" s="1655">
        <v>0</v>
      </c>
    </row>
    <row s="1659" customFormat="1" customHeight="1" ht="18.75" hidden="1">
      <c r="A115" s="1804"/>
      <c r="B115" s="1804"/>
      <c r="C115" s="393" t="s">
        <v>1483</v>
      </c>
      <c r="D115" s="2486"/>
      <c r="E115" s="2228"/>
      <c r="F115" s="2407"/>
      <c r="G115" s="2451"/>
      <c r="H115" s="1524"/>
      <c r="I115" s="675" t="s">
        <v>1482</v>
      </c>
      <c r="J115" s="595"/>
      <c r="K115" s="1524"/>
      <c r="L115" s="238"/>
      <c r="M115" s="365"/>
      <c r="N115" s="358"/>
      <c r="O115" s="1648"/>
      <c r="P115" s="1648"/>
      <c r="AH115" s="1655">
        <v>0</v>
      </c>
    </row>
    <row s="1659" customFormat="1" customHeight="1" ht="0.75" hidden="1">
      <c r="A116" s="1804"/>
      <c r="B116" s="1804"/>
      <c r="C116" s="393" t="s">
        <v>1490</v>
      </c>
      <c r="D116" s="2486"/>
      <c r="E116" s="2228"/>
      <c r="F116" s="2407"/>
      <c r="G116" s="424"/>
      <c r="H116" s="1524"/>
      <c r="I116" s="675"/>
      <c r="J116" s="595"/>
      <c r="K116" s="1524"/>
      <c r="L116" s="238"/>
      <c r="M116" s="365"/>
      <c r="N116" s="358"/>
      <c r="O116" s="1648"/>
      <c r="P116" s="1648"/>
      <c r="AH116" s="1655">
        <v>0</v>
      </c>
    </row>
    <row s="1659" customFormat="1" customHeight="1" ht="18.75" hidden="1">
      <c r="A117" s="1804" t="s">
        <v>314</v>
      </c>
      <c r="B117" s="1804" t="s">
        <v>315</v>
      </c>
      <c r="C117" s="393"/>
      <c r="D117" s="2486"/>
      <c r="E117" s="2228"/>
      <c r="F117" s="2407" t="str">
        <f>INDEX(PT_DIFFERENTIATION_VTAR,MATCH(A117,PT_DIFFERENTIATION_VTAR_ID,0))</f>
        <v>Тариф на техническую воду</v>
      </c>
      <c r="G117" s="2451" t="str">
        <f>INDEX(PT_DIFFERENTIATION_NTAR,MATCH(B117,PT_DIFFERENTIATION_NTAR_ID,0))</f>
        <v/>
      </c>
      <c r="H117" s="1886"/>
      <c r="I117" s="1763"/>
      <c r="J117" s="1797"/>
      <c r="K117" s="1802"/>
      <c r="L117" s="1886" t="s">
        <v>390</v>
      </c>
      <c r="M117" s="365"/>
      <c r="N117" s="358"/>
      <c r="O117" s="1648"/>
      <c r="P117" s="1648"/>
      <c r="AH117" s="1655">
        <v>0</v>
      </c>
    </row>
    <row s="1659" customFormat="1" customHeight="1" ht="18.75" hidden="1">
      <c r="A118" s="1804"/>
      <c r="B118" s="1804"/>
      <c r="C118" s="393" t="s">
        <v>1483</v>
      </c>
      <c r="D118" s="2486"/>
      <c r="E118" s="2228"/>
      <c r="F118" s="2407"/>
      <c r="G118" s="2451"/>
      <c r="H118" s="1524"/>
      <c r="I118" s="675" t="s">
        <v>1482</v>
      </c>
      <c r="J118" s="595"/>
      <c r="K118" s="1524"/>
      <c r="L118" s="238"/>
      <c r="M118" s="365"/>
      <c r="N118" s="358"/>
      <c r="O118" s="1648"/>
      <c r="P118" s="1648"/>
      <c r="AH118" s="1655">
        <v>0</v>
      </c>
    </row>
    <row s="1659" customFormat="1" customHeight="1" ht="0.75" hidden="1">
      <c r="A119" s="1804"/>
      <c r="B119" s="1804"/>
      <c r="C119" s="393" t="s">
        <v>1490</v>
      </c>
      <c r="D119" s="2486"/>
      <c r="E119" s="2228"/>
      <c r="F119" s="2407"/>
      <c r="G119" s="424"/>
      <c r="H119" s="1524"/>
      <c r="I119" s="675"/>
      <c r="J119" s="595"/>
      <c r="K119" s="1524"/>
      <c r="L119" s="238"/>
      <c r="M119" s="365"/>
      <c r="N119" s="358"/>
      <c r="O119" s="1648"/>
      <c r="P119" s="1648"/>
      <c r="AH119" s="1655">
        <v>0</v>
      </c>
    </row>
    <row s="1659" customFormat="1" customHeight="1" ht="18.75" hidden="1">
      <c r="A120" s="1804" t="s">
        <v>319</v>
      </c>
      <c r="B120" s="1804" t="s">
        <v>320</v>
      </c>
      <c r="C120" s="393"/>
      <c r="D120" s="2486"/>
      <c r="E120" s="2228"/>
      <c r="F120" s="2407" t="str">
        <f>INDEX(PT_DIFFERENTIATION_VTAR,MATCH(A120,PT_DIFFERENTIATION_VTAR_ID,0))</f>
        <v>Тариф на транспортировку воды</v>
      </c>
      <c r="G120" s="2451" t="str">
        <f>INDEX(PT_DIFFERENTIATION_NTAR,MATCH(B120,PT_DIFFERENTIATION_NTAR_ID,0))</f>
        <v/>
      </c>
      <c r="H120" s="1886"/>
      <c r="I120" s="1763"/>
      <c r="J120" s="1797"/>
      <c r="K120" s="1802"/>
      <c r="L120" s="1886" t="s">
        <v>390</v>
      </c>
      <c r="M120" s="365"/>
      <c r="N120" s="358"/>
      <c r="O120" s="1648"/>
      <c r="P120" s="1648"/>
      <c r="AH120" s="1655">
        <v>0</v>
      </c>
    </row>
    <row s="1659" customFormat="1" customHeight="1" ht="18.75" hidden="1">
      <c r="A121" s="1804"/>
      <c r="B121" s="1804"/>
      <c r="C121" s="393" t="s">
        <v>1483</v>
      </c>
      <c r="D121" s="2486"/>
      <c r="E121" s="2228"/>
      <c r="F121" s="2407"/>
      <c r="G121" s="2451"/>
      <c r="H121" s="1524"/>
      <c r="I121" s="675" t="s">
        <v>1482</v>
      </c>
      <c r="J121" s="595"/>
      <c r="K121" s="1524"/>
      <c r="L121" s="238"/>
      <c r="M121" s="365"/>
      <c r="N121" s="358"/>
      <c r="O121" s="1648"/>
      <c r="P121" s="1648"/>
      <c r="AH121" s="1655">
        <v>0</v>
      </c>
    </row>
    <row s="1659" customFormat="1" customHeight="1" ht="0.75" hidden="1">
      <c r="A122" s="1804"/>
      <c r="B122" s="1804"/>
      <c r="C122" s="393" t="s">
        <v>1490</v>
      </c>
      <c r="D122" s="2486"/>
      <c r="E122" s="2228"/>
      <c r="F122" s="2407"/>
      <c r="G122" s="424"/>
      <c r="H122" s="1524"/>
      <c r="I122" s="675"/>
      <c r="J122" s="595"/>
      <c r="K122" s="1524"/>
      <c r="L122" s="238"/>
      <c r="M122" s="365"/>
      <c r="N122" s="358"/>
      <c r="O122" s="1648"/>
      <c r="P122" s="1648"/>
      <c r="AH122" s="1655">
        <v>0</v>
      </c>
    </row>
    <row s="1659" customFormat="1" customHeight="1" ht="18.75" hidden="1">
      <c r="A123" s="1804" t="s">
        <v>324</v>
      </c>
      <c r="B123" s="1804" t="s">
        <v>325</v>
      </c>
      <c r="C123" s="393"/>
      <c r="D123" s="2486"/>
      <c r="E123" s="2228"/>
      <c r="F123" s="2407" t="str">
        <f>INDEX(PT_DIFFERENTIATION_VTAR,MATCH(A123,PT_DIFFERENTIATION_VTAR_ID,0))</f>
        <v>Тариф на подвоз воды</v>
      </c>
      <c r="G123" s="2451" t="str">
        <f>INDEX(PT_DIFFERENTIATION_NTAR,MATCH(B123,PT_DIFFERENTIATION_NTAR_ID,0))</f>
        <v/>
      </c>
      <c r="H123" s="1886"/>
      <c r="I123" s="1763"/>
      <c r="J123" s="1797"/>
      <c r="K123" s="1802"/>
      <c r="L123" s="1886" t="s">
        <v>390</v>
      </c>
      <c r="M123" s="365"/>
      <c r="N123" s="358"/>
      <c r="O123" s="1648"/>
      <c r="P123" s="1648"/>
      <c r="AH123" s="1655">
        <v>0</v>
      </c>
    </row>
    <row s="1659" customFormat="1" customHeight="1" ht="18.75" hidden="1">
      <c r="A124" s="1804"/>
      <c r="B124" s="1804"/>
      <c r="C124" s="393" t="s">
        <v>1483</v>
      </c>
      <c r="D124" s="2486"/>
      <c r="E124" s="2228"/>
      <c r="F124" s="2407"/>
      <c r="G124" s="2451"/>
      <c r="H124" s="1524"/>
      <c r="I124" s="675" t="s">
        <v>1482</v>
      </c>
      <c r="J124" s="595"/>
      <c r="K124" s="1524"/>
      <c r="L124" s="238"/>
      <c r="M124" s="365"/>
      <c r="N124" s="358"/>
      <c r="O124" s="1648"/>
      <c r="P124" s="1648"/>
      <c r="AH124" s="1655">
        <v>0</v>
      </c>
    </row>
    <row s="1659" customFormat="1" customHeight="1" ht="0.75" hidden="1">
      <c r="A125" s="1804"/>
      <c r="B125" s="1804"/>
      <c r="C125" s="393" t="s">
        <v>1490</v>
      </c>
      <c r="D125" s="2486"/>
      <c r="E125" s="2228"/>
      <c r="F125" s="2407"/>
      <c r="G125" s="424"/>
      <c r="H125" s="1524"/>
      <c r="I125" s="675"/>
      <c r="J125" s="595"/>
      <c r="K125" s="1524"/>
      <c r="L125" s="238"/>
      <c r="M125" s="365"/>
      <c r="N125" s="358"/>
      <c r="O125" s="1648"/>
      <c r="P125" s="1648"/>
      <c r="AH125" s="1655">
        <v>0</v>
      </c>
    </row>
    <row s="1659" customFormat="1" customHeight="1" ht="18.75" hidden="1">
      <c r="A126" s="1804" t="s">
        <v>329</v>
      </c>
      <c r="B126" s="1804" t="s">
        <v>330</v>
      </c>
      <c r="C126" s="393"/>
      <c r="D126" s="2486"/>
      <c r="E126" s="2228"/>
      <c r="F126" s="240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51" t="str">
        <f>INDEX(PT_DIFFERENTIATION_NTAR,MATCH(B126,PT_DIFFERENTIATION_NTAR_ID,0))</f>
        <v/>
      </c>
      <c r="H126" s="1886"/>
      <c r="I126" s="1763"/>
      <c r="J126" s="1797"/>
      <c r="K126" s="1802"/>
      <c r="L126" s="1886" t="s">
        <v>390</v>
      </c>
      <c r="M126" s="365"/>
      <c r="N126" s="358"/>
      <c r="O126" s="1648"/>
      <c r="P126" s="1648"/>
      <c r="AH126" s="1655">
        <v>0</v>
      </c>
    </row>
    <row s="1659" customFormat="1" customHeight="1" ht="18.75" hidden="1">
      <c r="A127" s="1804"/>
      <c r="B127" s="1804"/>
      <c r="C127" s="393" t="s">
        <v>1483</v>
      </c>
      <c r="D127" s="2486"/>
      <c r="E127" s="2228"/>
      <c r="F127" s="2407"/>
      <c r="G127" s="2451"/>
      <c r="H127" s="1524"/>
      <c r="I127" s="675" t="s">
        <v>1482</v>
      </c>
      <c r="J127" s="595"/>
      <c r="K127" s="1524"/>
      <c r="L127" s="238"/>
      <c r="M127" s="365"/>
      <c r="N127" s="358"/>
      <c r="O127" s="1648"/>
      <c r="P127" s="1648"/>
      <c r="AH127" s="1655">
        <v>0</v>
      </c>
    </row>
    <row s="1659" customFormat="1" customHeight="1" ht="0.75" hidden="1">
      <c r="A128" s="1804"/>
      <c r="B128" s="1804"/>
      <c r="C128" s="393" t="s">
        <v>1490</v>
      </c>
      <c r="D128" s="2486"/>
      <c r="E128" s="2228"/>
      <c r="F128" s="2407"/>
      <c r="G128" s="424"/>
      <c r="H128" s="1524"/>
      <c r="I128" s="675"/>
      <c r="J128" s="595"/>
      <c r="K128" s="1524"/>
      <c r="L128" s="238"/>
      <c r="M128" s="365"/>
      <c r="N128" s="358"/>
      <c r="O128" s="1648"/>
      <c r="P128" s="1648"/>
      <c r="AH128" s="1655">
        <v>0</v>
      </c>
    </row>
    <row s="1659" customFormat="1" customHeight="1" ht="18.75" hidden="1">
      <c r="A129" s="1804" t="s">
        <v>334</v>
      </c>
      <c r="B129" s="1804" t="s">
        <v>335</v>
      </c>
      <c r="C129" s="393"/>
      <c r="D129" s="2486"/>
      <c r="E129" s="2228"/>
      <c r="F129" s="2407" t="str">
        <f>INDEX(PT_DIFFERENTIATION_VTAR,MATCH(A129,PT_DIFFERENTIATION_VTAR_ID,0))</f>
        <v>Тариф на горячую воду (горячее водоснабжение)</v>
      </c>
      <c r="G129" s="2451" t="str">
        <f>INDEX(PT_DIFFERENTIATION_NTAR,MATCH(B129,PT_DIFFERENTIATION_NTAR_ID,0))</f>
        <v/>
      </c>
      <c r="H129" s="1886"/>
      <c r="I129" s="1763"/>
      <c r="J129" s="1797"/>
      <c r="K129" s="1802"/>
      <c r="L129" s="1886" t="s">
        <v>390</v>
      </c>
      <c r="M129" s="365"/>
      <c r="N129" s="358"/>
      <c r="O129" s="1648"/>
      <c r="P129" s="1648"/>
      <c r="AH129" s="1655">
        <v>0</v>
      </c>
    </row>
    <row s="1659" customFormat="1" customHeight="1" ht="18.75" hidden="1">
      <c r="A130" s="1804"/>
      <c r="B130" s="1804"/>
      <c r="C130" s="393" t="s">
        <v>1483</v>
      </c>
      <c r="D130" s="2486"/>
      <c r="E130" s="2228"/>
      <c r="F130" s="2407"/>
      <c r="G130" s="2451"/>
      <c r="H130" s="1524"/>
      <c r="I130" s="675" t="s">
        <v>1482</v>
      </c>
      <c r="J130" s="595"/>
      <c r="K130" s="1524"/>
      <c r="L130" s="238"/>
      <c r="M130" s="365"/>
      <c r="N130" s="358"/>
      <c r="O130" s="1648"/>
      <c r="P130" s="1648"/>
      <c r="AH130" s="1655">
        <v>0</v>
      </c>
    </row>
    <row s="1659" customFormat="1" customHeight="1" ht="0.75" hidden="1">
      <c r="A131" s="1804"/>
      <c r="B131" s="1804"/>
      <c r="C131" s="393" t="s">
        <v>1490</v>
      </c>
      <c r="D131" s="2486"/>
      <c r="E131" s="2228"/>
      <c r="F131" s="2407"/>
      <c r="G131" s="424"/>
      <c r="H131" s="1524"/>
      <c r="I131" s="675"/>
      <c r="J131" s="595"/>
      <c r="K131" s="1524"/>
      <c r="L131" s="238"/>
      <c r="M131" s="365"/>
      <c r="N131" s="358"/>
      <c r="O131" s="1648"/>
      <c r="P131" s="1648"/>
      <c r="AH131" s="1655">
        <v>0</v>
      </c>
    </row>
    <row s="1659" customFormat="1" customHeight="1" ht="18.75" hidden="1">
      <c r="A132" s="1804" t="s">
        <v>339</v>
      </c>
      <c r="B132" s="1804" t="s">
        <v>340</v>
      </c>
      <c r="C132" s="393"/>
      <c r="D132" s="2486"/>
      <c r="E132" s="2228"/>
      <c r="F132" s="2407" t="str">
        <f>INDEX(PT_DIFFERENTIATION_VTAR,MATCH(A132,PT_DIFFERENTIATION_VTAR_ID,0))</f>
        <v>Тариф на транспортировку горячей воды</v>
      </c>
      <c r="G132" s="2451" t="str">
        <f>INDEX(PT_DIFFERENTIATION_NTAR,MATCH(B132,PT_DIFFERENTIATION_NTAR_ID,0))</f>
        <v/>
      </c>
      <c r="H132" s="1886"/>
      <c r="I132" s="1763"/>
      <c r="J132" s="1797"/>
      <c r="K132" s="1802"/>
      <c r="L132" s="1886" t="s">
        <v>390</v>
      </c>
      <c r="M132" s="365"/>
      <c r="N132" s="358"/>
      <c r="O132" s="1648"/>
      <c r="P132" s="1648"/>
      <c r="AH132" s="1655">
        <v>0</v>
      </c>
    </row>
    <row s="1659" customFormat="1" customHeight="1" ht="18.75" hidden="1">
      <c r="A133" s="1804"/>
      <c r="B133" s="1804"/>
      <c r="C133" s="393" t="s">
        <v>1483</v>
      </c>
      <c r="D133" s="2486"/>
      <c r="E133" s="2228"/>
      <c r="F133" s="2407"/>
      <c r="G133" s="2451"/>
      <c r="H133" s="1524"/>
      <c r="I133" s="675" t="s">
        <v>1482</v>
      </c>
      <c r="J133" s="595"/>
      <c r="K133" s="1524"/>
      <c r="L133" s="238"/>
      <c r="M133" s="365"/>
      <c r="N133" s="358"/>
      <c r="O133" s="1648"/>
      <c r="P133" s="1648"/>
      <c r="AH133" s="1655">
        <v>0</v>
      </c>
    </row>
    <row s="1659" customFormat="1" customHeight="1" ht="0.75" hidden="1">
      <c r="A134" s="1804"/>
      <c r="B134" s="1804"/>
      <c r="C134" s="393" t="s">
        <v>1490</v>
      </c>
      <c r="D134" s="2486"/>
      <c r="E134" s="2228"/>
      <c r="F134" s="2407"/>
      <c r="G134" s="424"/>
      <c r="H134" s="1524"/>
      <c r="I134" s="675"/>
      <c r="J134" s="595"/>
      <c r="K134" s="1524"/>
      <c r="L134" s="238"/>
      <c r="M134" s="365"/>
      <c r="N134" s="358"/>
      <c r="O134" s="1648"/>
      <c r="P134" s="1648"/>
      <c r="AH134" s="1655">
        <v>0</v>
      </c>
    </row>
    <row s="1659" customFormat="1" customHeight="1" ht="18.75" hidden="1">
      <c r="A135" s="1804" t="s">
        <v>344</v>
      </c>
      <c r="B135" s="1804" t="s">
        <v>345</v>
      </c>
      <c r="C135" s="393"/>
      <c r="D135" s="2486"/>
      <c r="E135" s="2228"/>
      <c r="F135" s="240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51" t="str">
        <f>INDEX(PT_DIFFERENTIATION_NTAR,MATCH(B135,PT_DIFFERENTIATION_NTAR_ID,0))</f>
        <v/>
      </c>
      <c r="H135" s="1886"/>
      <c r="I135" s="1763"/>
      <c r="J135" s="1797"/>
      <c r="K135" s="1802"/>
      <c r="L135" s="1886" t="s">
        <v>390</v>
      </c>
      <c r="M135" s="365"/>
      <c r="N135" s="358"/>
      <c r="O135" s="1648"/>
      <c r="P135" s="1648"/>
      <c r="AH135" s="1655">
        <v>0</v>
      </c>
    </row>
    <row s="1659" customFormat="1" customHeight="1" ht="18.75" hidden="1">
      <c r="A136" s="1804"/>
      <c r="B136" s="1804"/>
      <c r="C136" s="393" t="s">
        <v>1483</v>
      </c>
      <c r="D136" s="2486"/>
      <c r="E136" s="2228"/>
      <c r="F136" s="2407"/>
      <c r="G136" s="2451"/>
      <c r="H136" s="1524"/>
      <c r="I136" s="675" t="s">
        <v>1482</v>
      </c>
      <c r="J136" s="595"/>
      <c r="K136" s="1524"/>
      <c r="L136" s="238"/>
      <c r="M136" s="365"/>
      <c r="N136" s="358"/>
      <c r="O136" s="1648"/>
      <c r="P136" s="1648"/>
      <c r="AH136" s="1655">
        <v>0</v>
      </c>
    </row>
    <row s="1659" customFormat="1" customHeight="1" ht="0.75" hidden="1">
      <c r="A137" s="1804"/>
      <c r="B137" s="1804"/>
      <c r="C137" s="393" t="s">
        <v>1490</v>
      </c>
      <c r="D137" s="2486"/>
      <c r="E137" s="2228"/>
      <c r="F137" s="2407"/>
      <c r="G137" s="424"/>
      <c r="H137" s="1524"/>
      <c r="I137" s="675"/>
      <c r="J137" s="595"/>
      <c r="K137" s="1524"/>
      <c r="L137" s="238"/>
      <c r="M137" s="365"/>
      <c r="N137" s="358"/>
      <c r="O137" s="1648"/>
      <c r="P137" s="1648"/>
      <c r="AH137" s="1655">
        <v>0</v>
      </c>
    </row>
    <row s="1659" customFormat="1" customHeight="1" ht="18.75" hidden="1">
      <c r="A138" s="1804" t="s">
        <v>349</v>
      </c>
      <c r="B138" s="1804" t="s">
        <v>350</v>
      </c>
      <c r="C138" s="393"/>
      <c r="D138" s="2486"/>
      <c r="E138" s="2228"/>
      <c r="F138" s="2407" t="str">
        <f>INDEX(PT_DIFFERENTIATION_VTAR,MATCH(A138,PT_DIFFERENTIATION_VTAR_ID,0))</f>
        <v>Тариф на водоотведение</v>
      </c>
      <c r="G138" s="2451" t="str">
        <f>INDEX(PT_DIFFERENTIATION_NTAR,MATCH(B138,PT_DIFFERENTIATION_NTAR_ID,0))</f>
        <v/>
      </c>
      <c r="H138" s="1886"/>
      <c r="I138" s="1763"/>
      <c r="J138" s="1797"/>
      <c r="K138" s="1802"/>
      <c r="L138" s="1886" t="s">
        <v>390</v>
      </c>
      <c r="M138" s="365"/>
      <c r="N138" s="358"/>
      <c r="O138" s="1648"/>
      <c r="P138" s="1648"/>
      <c r="AH138" s="1655">
        <v>0</v>
      </c>
    </row>
    <row s="1659" customFormat="1" customHeight="1" ht="18.75" hidden="1">
      <c r="A139" s="1804"/>
      <c r="B139" s="1804"/>
      <c r="C139" s="393" t="s">
        <v>1483</v>
      </c>
      <c r="D139" s="2486"/>
      <c r="E139" s="2228"/>
      <c r="F139" s="2407"/>
      <c r="G139" s="2451"/>
      <c r="H139" s="1524"/>
      <c r="I139" s="675" t="s">
        <v>1482</v>
      </c>
      <c r="J139" s="595"/>
      <c r="K139" s="1524"/>
      <c r="L139" s="238"/>
      <c r="M139" s="365"/>
      <c r="N139" s="358"/>
      <c r="O139" s="1648"/>
      <c r="P139" s="1648"/>
      <c r="AH139" s="1655">
        <v>0</v>
      </c>
    </row>
    <row s="1659" customFormat="1" customHeight="1" ht="0.75" hidden="1">
      <c r="A140" s="1804"/>
      <c r="B140" s="1804"/>
      <c r="C140" s="393" t="s">
        <v>1490</v>
      </c>
      <c r="D140" s="2486"/>
      <c r="E140" s="2228"/>
      <c r="F140" s="2407"/>
      <c r="G140" s="424"/>
      <c r="H140" s="1524"/>
      <c r="I140" s="675"/>
      <c r="J140" s="595"/>
      <c r="K140" s="1524"/>
      <c r="L140" s="238"/>
      <c r="M140" s="365"/>
      <c r="N140" s="358"/>
      <c r="O140" s="1648"/>
      <c r="P140" s="1648"/>
      <c r="AH140" s="1655">
        <v>0</v>
      </c>
    </row>
    <row s="1659" customFormat="1" customHeight="1" ht="18.75" hidden="1">
      <c r="A141" s="1804" t="s">
        <v>354</v>
      </c>
      <c r="B141" s="1804" t="s">
        <v>355</v>
      </c>
      <c r="C141" s="393"/>
      <c r="D141" s="2486"/>
      <c r="E141" s="2228"/>
      <c r="F141" s="2407" t="str">
        <f>INDEX(PT_DIFFERENTIATION_VTAR,MATCH(A141,PT_DIFFERENTIATION_VTAR_ID,0))</f>
        <v>Тариф на транспортировку сточных вод</v>
      </c>
      <c r="G141" s="2451" t="str">
        <f>INDEX(PT_DIFFERENTIATION_NTAR,MATCH(B141,PT_DIFFERENTIATION_NTAR_ID,0))</f>
        <v/>
      </c>
      <c r="H141" s="1886"/>
      <c r="I141" s="1763"/>
      <c r="J141" s="1797"/>
      <c r="K141" s="1802"/>
      <c r="L141" s="1886" t="s">
        <v>390</v>
      </c>
      <c r="M141" s="365"/>
      <c r="N141" s="358"/>
      <c r="O141" s="1648"/>
      <c r="P141" s="1648"/>
      <c r="AH141" s="1655">
        <v>0</v>
      </c>
    </row>
    <row s="1659" customFormat="1" customHeight="1" ht="18.75" hidden="1">
      <c r="A142" s="1804"/>
      <c r="B142" s="1804"/>
      <c r="C142" s="393" t="s">
        <v>1483</v>
      </c>
      <c r="D142" s="2486"/>
      <c r="E142" s="2228"/>
      <c r="F142" s="2407"/>
      <c r="G142" s="2451"/>
      <c r="H142" s="1524"/>
      <c r="I142" s="675" t="s">
        <v>1482</v>
      </c>
      <c r="J142" s="595"/>
      <c r="K142" s="1524"/>
      <c r="L142" s="238"/>
      <c r="M142" s="365"/>
      <c r="N142" s="358"/>
      <c r="O142" s="1648"/>
      <c r="P142" s="1648"/>
      <c r="AH142" s="1655">
        <v>0</v>
      </c>
    </row>
    <row s="1659" customFormat="1" customHeight="1" ht="0.75" hidden="1">
      <c r="A143" s="1804"/>
      <c r="B143" s="1804"/>
      <c r="C143" s="393" t="s">
        <v>1490</v>
      </c>
      <c r="D143" s="2486"/>
      <c r="E143" s="2228"/>
      <c r="F143" s="2407"/>
      <c r="G143" s="424"/>
      <c r="H143" s="1524"/>
      <c r="I143" s="675"/>
      <c r="J143" s="595"/>
      <c r="K143" s="1524"/>
      <c r="L143" s="238"/>
      <c r="M143" s="365"/>
      <c r="N143" s="358"/>
      <c r="O143" s="1648"/>
      <c r="P143" s="1648"/>
      <c r="AH143" s="1655">
        <v>0</v>
      </c>
    </row>
    <row s="1659" customFormat="1" customHeight="1" ht="18.75" hidden="1">
      <c r="A144" s="1804" t="s">
        <v>359</v>
      </c>
      <c r="B144" s="1804" t="s">
        <v>360</v>
      </c>
      <c r="C144" s="393"/>
      <c r="D144" s="2486"/>
      <c r="E144" s="2228"/>
      <c r="F144" s="2407" t="str">
        <f>INDEX(PT_DIFFERENTIATION_VTAR,MATCH(A144,PT_DIFFERENTIATION_VTAR_ID,0))</f>
        <v>Тариф на подключение (технологическое присоединение) к централизованной системе водоотведения</v>
      </c>
      <c r="G144" s="2451" t="str">
        <f>INDEX(PT_DIFFERENTIATION_NTAR,MATCH(B144,PT_DIFFERENTIATION_NTAR_ID,0))</f>
        <v/>
      </c>
      <c r="H144" s="1886"/>
      <c r="I144" s="1763"/>
      <c r="J144" s="1797"/>
      <c r="K144" s="1802"/>
      <c r="L144" s="1886" t="s">
        <v>390</v>
      </c>
      <c r="M144" s="365"/>
      <c r="N144" s="358"/>
      <c r="O144" s="1648"/>
      <c r="P144" s="1648"/>
      <c r="AH144" s="1655">
        <v>0</v>
      </c>
    </row>
    <row s="1659" customFormat="1" customHeight="1" ht="18.75" hidden="1">
      <c r="A145" s="1804"/>
      <c r="B145" s="1804"/>
      <c r="C145" s="393" t="s">
        <v>1483</v>
      </c>
      <c r="D145" s="2486"/>
      <c r="E145" s="2228"/>
      <c r="F145" s="2407"/>
      <c r="G145" s="2451"/>
      <c r="H145" s="1524"/>
      <c r="I145" s="675" t="s">
        <v>1482</v>
      </c>
      <c r="J145" s="595"/>
      <c r="K145" s="1524"/>
      <c r="L145" s="238"/>
      <c r="M145" s="365"/>
      <c r="N145" s="358"/>
      <c r="O145" s="1648"/>
      <c r="P145" s="1648"/>
      <c r="AH145" s="1655">
        <v>0</v>
      </c>
    </row>
    <row s="1659" customFormat="1" customHeight="1" ht="1.05">
      <c r="A146" s="1804"/>
      <c r="B146" s="1804"/>
      <c r="C146" s="393" t="s">
        <v>1490</v>
      </c>
      <c r="D146" s="2486"/>
      <c r="E146" s="2228"/>
      <c r="F146" s="2407"/>
      <c r="G146" s="424"/>
      <c r="H146" s="1524"/>
      <c r="I146" s="675"/>
      <c r="J146" s="595"/>
      <c r="K146" s="1524"/>
      <c r="L146" s="238"/>
      <c r="M146" s="365"/>
      <c r="N146" s="358"/>
      <c r="O146" s="1648"/>
      <c r="P146" s="1648"/>
      <c r="AH146" s="1655">
        <v>1</v>
      </c>
    </row>
    <row customHeight="1" ht="19.95">
      <c r="A147" s="1804"/>
      <c r="B147" s="1804"/>
      <c r="D147" s="400"/>
      <c r="E147" s="171" t="s">
        <v>91</v>
      </c>
      <c r="F147" s="248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84"/>
      <c r="H147" s="2484"/>
      <c r="I147" s="2484"/>
      <c r="J147" s="2484"/>
      <c r="K147" s="2484"/>
      <c r="L147" s="2484"/>
      <c r="M147" s="321"/>
      <c r="N147" s="358"/>
      <c r="AH147" s="398">
        <v>19</v>
      </c>
    </row>
    <row s="1659" customFormat="1" customHeight="1" ht="60.75" hidden="1">
      <c r="A148" s="1804" t="s">
        <v>241</v>
      </c>
      <c r="B148" s="1804" t="s">
        <v>242</v>
      </c>
      <c r="C148" s="393"/>
      <c r="D148" s="2486"/>
      <c r="E148" s="2228"/>
      <c r="F148" s="240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51" t="str">
        <f>INDEX(PT_DIFFERENTIATION_NTAR,MATCH(B148,PT_DIFFERENTIATION_NTAR_ID,0))</f>
        <v/>
      </c>
      <c r="H148" s="1886"/>
      <c r="I148" s="1763"/>
      <c r="J148" s="1797"/>
      <c r="K148" s="1802"/>
      <c r="L148" s="1886" t="s">
        <v>390</v>
      </c>
      <c r="M148" s="219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58"/>
      <c r="O148" s="1648"/>
      <c r="P148" s="1648"/>
      <c r="AH148" s="1655">
        <v>0</v>
      </c>
    </row>
    <row s="1659" customFormat="1" customHeight="1" ht="18.75" hidden="1">
      <c r="A149" s="1804"/>
      <c r="B149" s="1804"/>
      <c r="C149" s="393" t="s">
        <v>1483</v>
      </c>
      <c r="D149" s="2486"/>
      <c r="E149" s="2228"/>
      <c r="F149" s="2407"/>
      <c r="G149" s="2451"/>
      <c r="H149" s="1524"/>
      <c r="I149" s="675" t="s">
        <v>1482</v>
      </c>
      <c r="J149" s="595"/>
      <c r="K149" s="1524"/>
      <c r="L149" s="238"/>
      <c r="M149" s="2194"/>
      <c r="N149" s="358"/>
      <c r="O149" s="1648"/>
      <c r="P149" s="1648"/>
      <c r="AH149" s="1655">
        <v>0</v>
      </c>
    </row>
    <row s="1659" customFormat="1" customHeight="1" ht="0.75" hidden="1">
      <c r="A150" s="1804"/>
      <c r="B150" s="1804"/>
      <c r="C150" s="393" t="s">
        <v>1490</v>
      </c>
      <c r="D150" s="2486"/>
      <c r="E150" s="2228"/>
      <c r="F150" s="2407"/>
      <c r="G150" s="424"/>
      <c r="H150" s="1524"/>
      <c r="I150" s="675"/>
      <c r="J150" s="595"/>
      <c r="K150" s="1524"/>
      <c r="L150" s="238"/>
      <c r="M150" s="2194"/>
      <c r="N150" s="358"/>
      <c r="O150" s="1648"/>
      <c r="P150" s="1648"/>
      <c r="AH150" s="1655">
        <v>0</v>
      </c>
    </row>
    <row s="1659" customFormat="1" customHeight="1" ht="45" hidden="1">
      <c r="A151" s="1804" t="s">
        <v>246</v>
      </c>
      <c r="B151" s="1804" t="s">
        <v>247</v>
      </c>
      <c r="C151" s="393"/>
      <c r="D151" s="2486"/>
      <c r="E151" s="2228"/>
      <c r="F151" s="2407" t="str">
        <f>INDEX(PT_DIFFERENTIATION_VTAR,MATCH(A151,PT_DIFFERENTIATION_VTAR_ID,0))</f>
        <v/>
      </c>
      <c r="G151" s="2451" t="str">
        <f>INDEX(PT_DIFFERENTIATION_NTAR,MATCH(B151,PT_DIFFERENTIATION_NTAR_ID,0))</f>
        <v/>
      </c>
      <c r="H151" s="1886"/>
      <c r="I151" s="1763"/>
      <c r="J151" s="1797"/>
      <c r="K151" s="1802"/>
      <c r="L151" s="1886" t="s">
        <v>390</v>
      </c>
      <c r="M151" s="2195"/>
      <c r="N151" s="358"/>
      <c r="O151" s="1648"/>
      <c r="P151" s="1648"/>
      <c r="AH151" s="1655">
        <v>0</v>
      </c>
    </row>
    <row s="1659" customFormat="1" customHeight="1" ht="18.75" hidden="1">
      <c r="A152" s="1804"/>
      <c r="B152" s="1804"/>
      <c r="C152" s="393" t="s">
        <v>1483</v>
      </c>
      <c r="D152" s="2486"/>
      <c r="E152" s="2228"/>
      <c r="F152" s="2407"/>
      <c r="G152" s="2451"/>
      <c r="H152" s="1524"/>
      <c r="I152" s="675" t="s">
        <v>1482</v>
      </c>
      <c r="J152" s="595"/>
      <c r="K152" s="1524"/>
      <c r="L152" s="238"/>
      <c r="M152" s="1885"/>
      <c r="N152" s="358"/>
      <c r="O152" s="1648"/>
      <c r="P152" s="1648"/>
      <c r="AH152" s="1655">
        <v>0</v>
      </c>
    </row>
    <row s="1659" customFormat="1" customHeight="1" ht="0.75" hidden="1">
      <c r="A153" s="1804"/>
      <c r="B153" s="1804"/>
      <c r="C153" s="393" t="s">
        <v>1490</v>
      </c>
      <c r="D153" s="2486"/>
      <c r="E153" s="2228"/>
      <c r="F153" s="2407"/>
      <c r="G153" s="424"/>
      <c r="H153" s="1524"/>
      <c r="I153" s="675"/>
      <c r="J153" s="595"/>
      <c r="K153" s="1524"/>
      <c r="L153" s="238"/>
      <c r="M153" s="365"/>
      <c r="N153" s="358"/>
      <c r="O153" s="1648"/>
      <c r="P153" s="1648"/>
      <c r="AH153" s="1655">
        <v>0</v>
      </c>
    </row>
    <row s="1659" customFormat="1" customHeight="1" ht="45" hidden="1">
      <c r="A154" s="1804" t="s">
        <v>253</v>
      </c>
      <c r="B154" s="1804" t="s">
        <v>254</v>
      </c>
      <c r="C154" s="393"/>
      <c r="D154" s="2486"/>
      <c r="E154" s="2228"/>
      <c r="F154" s="240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51" t="str">
        <f>INDEX(PT_DIFFERENTIATION_NTAR,MATCH(B154,PT_DIFFERENTIATION_NTAR_ID,0))</f>
        <v/>
      </c>
      <c r="H154" s="1886"/>
      <c r="I154" s="1763"/>
      <c r="J154" s="1797"/>
      <c r="K154" s="1802"/>
      <c r="L154" s="1886" t="s">
        <v>390</v>
      </c>
      <c r="M154" s="365"/>
      <c r="N154" s="358"/>
      <c r="O154" s="1648"/>
      <c r="P154" s="1648"/>
      <c r="AH154" s="1655">
        <v>0</v>
      </c>
    </row>
    <row s="1659" customFormat="1" customHeight="1" ht="18.75" hidden="1">
      <c r="A155" s="1804"/>
      <c r="B155" s="1804"/>
      <c r="C155" s="393" t="s">
        <v>1483</v>
      </c>
      <c r="D155" s="2486"/>
      <c r="E155" s="2228"/>
      <c r="F155" s="2407"/>
      <c r="G155" s="2451"/>
      <c r="H155" s="1524"/>
      <c r="I155" s="675" t="s">
        <v>1482</v>
      </c>
      <c r="J155" s="595"/>
      <c r="K155" s="1524"/>
      <c r="L155" s="238"/>
      <c r="M155" s="365"/>
      <c r="N155" s="358"/>
      <c r="O155" s="1648"/>
      <c r="P155" s="1648"/>
      <c r="AH155" s="1655">
        <v>0</v>
      </c>
    </row>
    <row s="1659" customFormat="1" customHeight="1" ht="0.75" hidden="1">
      <c r="A156" s="1804"/>
      <c r="B156" s="1804"/>
      <c r="C156" s="393" t="s">
        <v>1490</v>
      </c>
      <c r="D156" s="2486"/>
      <c r="E156" s="2228"/>
      <c r="F156" s="2407"/>
      <c r="G156" s="424"/>
      <c r="H156" s="1524"/>
      <c r="I156" s="675"/>
      <c r="J156" s="595"/>
      <c r="K156" s="1524"/>
      <c r="L156" s="238"/>
      <c r="M156" s="365"/>
      <c r="N156" s="358"/>
      <c r="O156" s="1648"/>
      <c r="P156" s="1648"/>
      <c r="AH156" s="1655">
        <v>0</v>
      </c>
    </row>
    <row s="1659" customFormat="1" customHeight="1" ht="45" hidden="1">
      <c r="A157" s="1804" t="s">
        <v>259</v>
      </c>
      <c r="B157" s="1804" t="s">
        <v>260</v>
      </c>
      <c r="C157" s="393"/>
      <c r="D157" s="2486"/>
      <c r="E157" s="2228"/>
      <c r="F157" s="240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51" t="str">
        <f>INDEX(PT_DIFFERENTIATION_NTAR,MATCH(B157,PT_DIFFERENTIATION_NTAR_ID,0))</f>
        <v/>
      </c>
      <c r="H157" s="1886"/>
      <c r="I157" s="1763"/>
      <c r="J157" s="1797"/>
      <c r="K157" s="1802"/>
      <c r="L157" s="1886" t="s">
        <v>390</v>
      </c>
      <c r="M157" s="365"/>
      <c r="N157" s="358"/>
      <c r="O157" s="1648"/>
      <c r="P157" s="1648"/>
      <c r="AH157" s="1655">
        <v>0</v>
      </c>
    </row>
    <row s="1659" customFormat="1" customHeight="1" ht="18.75" hidden="1">
      <c r="A158" s="1804"/>
      <c r="B158" s="1804"/>
      <c r="C158" s="393" t="s">
        <v>1483</v>
      </c>
      <c r="D158" s="2486"/>
      <c r="E158" s="2228"/>
      <c r="F158" s="2407"/>
      <c r="G158" s="2451"/>
      <c r="H158" s="1524"/>
      <c r="I158" s="675" t="s">
        <v>1482</v>
      </c>
      <c r="J158" s="595"/>
      <c r="K158" s="1524"/>
      <c r="L158" s="238"/>
      <c r="M158" s="365"/>
      <c r="N158" s="358"/>
      <c r="O158" s="1648"/>
      <c r="P158" s="1648"/>
      <c r="AH158" s="1655">
        <v>0</v>
      </c>
    </row>
    <row s="1659" customFormat="1" customHeight="1" ht="0.75" hidden="1">
      <c r="A159" s="1804"/>
      <c r="B159" s="1804"/>
      <c r="C159" s="393" t="s">
        <v>1490</v>
      </c>
      <c r="D159" s="2486"/>
      <c r="E159" s="2228"/>
      <c r="F159" s="2407"/>
      <c r="G159" s="424"/>
      <c r="H159" s="1524"/>
      <c r="I159" s="675"/>
      <c r="J159" s="595"/>
      <c r="K159" s="1524"/>
      <c r="L159" s="238"/>
      <c r="M159" s="365"/>
      <c r="N159" s="358"/>
      <c r="O159" s="1648"/>
      <c r="P159" s="1648"/>
      <c r="AH159" s="1655">
        <v>0</v>
      </c>
    </row>
    <row s="1659" customFormat="1" customHeight="1" ht="18.75" hidden="1">
      <c r="A160" s="1804" t="s">
        <v>265</v>
      </c>
      <c r="B160" s="1804" t="s">
        <v>266</v>
      </c>
      <c r="C160" s="393"/>
      <c r="D160" s="2486"/>
      <c r="E160" s="2228"/>
      <c r="F160" s="2407" t="str">
        <f>INDEX(PT_DIFFERENTIATION_VTAR,MATCH(A160,PT_DIFFERENTIATION_VTAR_ID,0))</f>
        <v>Тарифы на услуги по передаче тепловой энергии</v>
      </c>
      <c r="G160" s="2451" t="str">
        <f>INDEX(PT_DIFFERENTIATION_NTAR,MATCH(B160,PT_DIFFERENTIATION_NTAR_ID,0))</f>
        <v/>
      </c>
      <c r="H160" s="1886"/>
      <c r="I160" s="1763"/>
      <c r="J160" s="1797"/>
      <c r="K160" s="1802"/>
      <c r="L160" s="1886" t="s">
        <v>390</v>
      </c>
      <c r="M160" s="365"/>
      <c r="N160" s="358"/>
      <c r="O160" s="1648"/>
      <c r="P160" s="1648"/>
      <c r="AH160" s="1655">
        <v>0</v>
      </c>
    </row>
    <row s="1659" customFormat="1" customHeight="1" ht="18.75" hidden="1">
      <c r="A161" s="1804"/>
      <c r="B161" s="1804"/>
      <c r="C161" s="393" t="s">
        <v>1483</v>
      </c>
      <c r="D161" s="2486"/>
      <c r="E161" s="2228"/>
      <c r="F161" s="2407"/>
      <c r="G161" s="2451"/>
      <c r="H161" s="1524"/>
      <c r="I161" s="675" t="s">
        <v>1482</v>
      </c>
      <c r="J161" s="595"/>
      <c r="K161" s="1524"/>
      <c r="L161" s="238"/>
      <c r="M161" s="365"/>
      <c r="N161" s="358"/>
      <c r="O161" s="1648"/>
      <c r="P161" s="1648"/>
      <c r="AH161" s="1655">
        <v>0</v>
      </c>
    </row>
    <row s="1659" customFormat="1" customHeight="1" ht="0.75" hidden="1">
      <c r="A162" s="1804"/>
      <c r="B162" s="1804"/>
      <c r="C162" s="393" t="s">
        <v>1490</v>
      </c>
      <c r="D162" s="2486"/>
      <c r="E162" s="2228"/>
      <c r="F162" s="2407"/>
      <c r="G162" s="424"/>
      <c r="H162" s="1524"/>
      <c r="I162" s="675"/>
      <c r="J162" s="595"/>
      <c r="K162" s="1524"/>
      <c r="L162" s="238"/>
      <c r="M162" s="365"/>
      <c r="N162" s="358"/>
      <c r="O162" s="1648"/>
      <c r="P162" s="1648"/>
      <c r="AH162" s="1655">
        <v>0</v>
      </c>
    </row>
    <row s="1659" customFormat="1" customHeight="1" ht="18.75" hidden="1">
      <c r="A163" s="1804" t="s">
        <v>271</v>
      </c>
      <c r="B163" s="1804" t="s">
        <v>272</v>
      </c>
      <c r="C163" s="393"/>
      <c r="D163" s="2486"/>
      <c r="E163" s="2228"/>
      <c r="F163" s="2407" t="str">
        <f>INDEX(PT_DIFFERENTIATION_VTAR,MATCH(A163,PT_DIFFERENTIATION_VTAR_ID,0))</f>
        <v>Тарифы на услуги по передаче теплоносителя</v>
      </c>
      <c r="G163" s="2451" t="str">
        <f>INDEX(PT_DIFFERENTIATION_NTAR,MATCH(B163,PT_DIFFERENTIATION_NTAR_ID,0))</f>
        <v/>
      </c>
      <c r="H163" s="1886"/>
      <c r="I163" s="1763"/>
      <c r="J163" s="1797"/>
      <c r="K163" s="1802"/>
      <c r="L163" s="1886" t="s">
        <v>390</v>
      </c>
      <c r="M163" s="365"/>
      <c r="N163" s="358"/>
      <c r="O163" s="1648"/>
      <c r="P163" s="1648"/>
      <c r="AH163" s="1655">
        <v>0</v>
      </c>
    </row>
    <row s="1659" customFormat="1" customHeight="1" ht="18.75" hidden="1">
      <c r="A164" s="1804"/>
      <c r="B164" s="1804"/>
      <c r="C164" s="393" t="s">
        <v>1483</v>
      </c>
      <c r="D164" s="2486"/>
      <c r="E164" s="2228"/>
      <c r="F164" s="2407"/>
      <c r="G164" s="2451"/>
      <c r="H164" s="1524"/>
      <c r="I164" s="675" t="s">
        <v>1482</v>
      </c>
      <c r="J164" s="595"/>
      <c r="K164" s="1524"/>
      <c r="L164" s="238"/>
      <c r="M164" s="365"/>
      <c r="N164" s="358"/>
      <c r="O164" s="1648"/>
      <c r="P164" s="1648"/>
      <c r="AH164" s="1655">
        <v>0</v>
      </c>
    </row>
    <row s="1659" customFormat="1" customHeight="1" ht="0.75" hidden="1">
      <c r="A165" s="1804"/>
      <c r="B165" s="1804"/>
      <c r="C165" s="393" t="s">
        <v>1490</v>
      </c>
      <c r="D165" s="2486"/>
      <c r="E165" s="2228"/>
      <c r="F165" s="2407"/>
      <c r="G165" s="424"/>
      <c r="H165" s="1524"/>
      <c r="I165" s="675"/>
      <c r="J165" s="595"/>
      <c r="K165" s="1524"/>
      <c r="L165" s="238"/>
      <c r="M165" s="365"/>
      <c r="N165" s="358"/>
      <c r="O165" s="1648"/>
      <c r="P165" s="1648"/>
      <c r="AH165" s="1655">
        <v>0</v>
      </c>
    </row>
    <row s="1659" customFormat="1" customHeight="1" ht="18.75" hidden="1">
      <c r="A166" s="1804" t="s">
        <v>277</v>
      </c>
      <c r="B166" s="1804" t="s">
        <v>278</v>
      </c>
      <c r="C166" s="393"/>
      <c r="D166" s="2486"/>
      <c r="E166" s="2228"/>
      <c r="F166" s="240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51" t="str">
        <f>INDEX(PT_DIFFERENTIATION_NTAR,MATCH(B166,PT_DIFFERENTIATION_NTAR_ID,0))</f>
        <v/>
      </c>
      <c r="H166" s="1886"/>
      <c r="I166" s="1763"/>
      <c r="J166" s="1797"/>
      <c r="K166" s="1802"/>
      <c r="L166" s="1886" t="s">
        <v>390</v>
      </c>
      <c r="M166" s="365"/>
      <c r="N166" s="358"/>
      <c r="O166" s="1648"/>
      <c r="P166" s="1648"/>
      <c r="AH166" s="1655">
        <v>0</v>
      </c>
    </row>
    <row s="1659" customFormat="1" customHeight="1" ht="18.75" hidden="1">
      <c r="A167" s="1804"/>
      <c r="B167" s="1804"/>
      <c r="C167" s="393" t="s">
        <v>1483</v>
      </c>
      <c r="D167" s="2486"/>
      <c r="E167" s="2228"/>
      <c r="F167" s="2407"/>
      <c r="G167" s="2451"/>
      <c r="H167" s="1524"/>
      <c r="I167" s="675" t="s">
        <v>1482</v>
      </c>
      <c r="J167" s="595"/>
      <c r="K167" s="1524"/>
      <c r="L167" s="238"/>
      <c r="M167" s="365"/>
      <c r="N167" s="358"/>
      <c r="O167" s="1648"/>
      <c r="P167" s="1648"/>
      <c r="AH167" s="1655">
        <v>0</v>
      </c>
    </row>
    <row s="1659" customFormat="1" customHeight="1" ht="0.75" hidden="1">
      <c r="A168" s="1804"/>
      <c r="B168" s="1804"/>
      <c r="C168" s="393" t="s">
        <v>1490</v>
      </c>
      <c r="D168" s="2486"/>
      <c r="E168" s="2228"/>
      <c r="F168" s="2407"/>
      <c r="G168" s="424"/>
      <c r="H168" s="1524"/>
      <c r="I168" s="675"/>
      <c r="J168" s="595"/>
      <c r="K168" s="1524"/>
      <c r="L168" s="238"/>
      <c r="M168" s="365"/>
      <c r="N168" s="358"/>
      <c r="O168" s="1648"/>
      <c r="P168" s="1648"/>
      <c r="AH168" s="1655">
        <v>0</v>
      </c>
    </row>
    <row s="1659" customFormat="1" customHeight="1" ht="18.75" hidden="1">
      <c r="A169" s="1804" t="s">
        <v>283</v>
      </c>
      <c r="B169" s="1804" t="s">
        <v>284</v>
      </c>
      <c r="C169" s="393"/>
      <c r="D169" s="2486"/>
      <c r="E169" s="2228"/>
      <c r="F169" s="2407" t="str">
        <f>INDEX(PT_DIFFERENTIATION_VTAR,MATCH(A169,PT_DIFFERENTIATION_VTAR_ID,0))</f>
        <v>Плата за подключение (технологическое присоединение) к системе теплоснабжения</v>
      </c>
      <c r="G169" s="2451" t="str">
        <f>INDEX(PT_DIFFERENTIATION_NTAR,MATCH(B169,PT_DIFFERENTIATION_NTAR_ID,0))</f>
        <v/>
      </c>
      <c r="H169" s="1886"/>
      <c r="I169" s="1763"/>
      <c r="J169" s="1797"/>
      <c r="K169" s="1802"/>
      <c r="L169" s="1886" t="s">
        <v>390</v>
      </c>
      <c r="M169" s="365"/>
      <c r="N169" s="358"/>
      <c r="O169" s="1648"/>
      <c r="P169" s="1648"/>
      <c r="AH169" s="1655">
        <v>0</v>
      </c>
    </row>
    <row s="1659" customFormat="1" customHeight="1" ht="18.75" hidden="1">
      <c r="A170" s="1804"/>
      <c r="B170" s="1804"/>
      <c r="C170" s="393" t="s">
        <v>1483</v>
      </c>
      <c r="D170" s="2486"/>
      <c r="E170" s="2228"/>
      <c r="F170" s="2407"/>
      <c r="G170" s="2451"/>
      <c r="H170" s="1524"/>
      <c r="I170" s="675" t="s">
        <v>1482</v>
      </c>
      <c r="J170" s="595"/>
      <c r="K170" s="1524"/>
      <c r="L170" s="238"/>
      <c r="M170" s="365"/>
      <c r="N170" s="358"/>
      <c r="O170" s="1648"/>
      <c r="P170" s="1648"/>
      <c r="AH170" s="1655">
        <v>0</v>
      </c>
    </row>
    <row s="1659" customFormat="1" customHeight="1" ht="0.75" hidden="1">
      <c r="A171" s="1804"/>
      <c r="B171" s="1804"/>
      <c r="C171" s="393" t="s">
        <v>1490</v>
      </c>
      <c r="D171" s="2486"/>
      <c r="E171" s="2228"/>
      <c r="F171" s="2407"/>
      <c r="G171" s="424"/>
      <c r="H171" s="1524"/>
      <c r="I171" s="675"/>
      <c r="J171" s="595"/>
      <c r="K171" s="1524"/>
      <c r="L171" s="238"/>
      <c r="M171" s="365"/>
      <c r="N171" s="358"/>
      <c r="O171" s="1648"/>
      <c r="P171" s="1648"/>
      <c r="AH171" s="1655">
        <v>0</v>
      </c>
    </row>
    <row s="1659" customFormat="1" customHeight="1" ht="18.75" hidden="1">
      <c r="A172" s="1804" t="s">
        <v>289</v>
      </c>
      <c r="B172" s="1804" t="s">
        <v>290</v>
      </c>
      <c r="C172" s="393"/>
      <c r="D172" s="2486"/>
      <c r="E172" s="2228"/>
      <c r="F172" s="2407" t="str">
        <f>INDEX(PT_DIFFERENTIATION_VTAR,MATCH(A172,PT_DIFFERENTIATION_VTAR_ID,0))</f>
        <v>Плата за подключение (технологическое присоединение) к системе теплоснабжения (индивидуальная)</v>
      </c>
      <c r="G172" s="2451" t="str">
        <f>INDEX(PT_DIFFERENTIATION_NTAR,MATCH(B172,PT_DIFFERENTIATION_NTAR_ID,0))</f>
        <v/>
      </c>
      <c r="H172" s="2013"/>
      <c r="I172" s="1763"/>
      <c r="J172" s="1797"/>
      <c r="K172" s="1802"/>
      <c r="L172" s="2013" t="s">
        <v>390</v>
      </c>
      <c r="M172" s="365"/>
      <c r="N172" s="358"/>
      <c r="O172" s="1648"/>
      <c r="P172" s="1648"/>
      <c r="AH172" s="1655">
        <v>0</v>
      </c>
    </row>
    <row s="1659" customFormat="1" customHeight="1" ht="18.75" hidden="1">
      <c r="A173" s="1804"/>
      <c r="B173" s="1804"/>
      <c r="C173" s="393" t="s">
        <v>1483</v>
      </c>
      <c r="D173" s="2486"/>
      <c r="E173" s="2228"/>
      <c r="F173" s="2407"/>
      <c r="G173" s="2451"/>
      <c r="H173" s="1524"/>
      <c r="I173" s="675" t="s">
        <v>1482</v>
      </c>
      <c r="J173" s="595"/>
      <c r="K173" s="1524"/>
      <c r="L173" s="238"/>
      <c r="M173" s="365"/>
      <c r="N173" s="358"/>
      <c r="O173" s="1648"/>
      <c r="P173" s="1648"/>
      <c r="AH173" s="1655">
        <v>0</v>
      </c>
    </row>
    <row s="1659" customFormat="1" customHeight="1" ht="0.75" hidden="1">
      <c r="A174" s="1804"/>
      <c r="B174" s="1804"/>
      <c r="C174" s="393" t="s">
        <v>1490</v>
      </c>
      <c r="D174" s="2486"/>
      <c r="E174" s="2228"/>
      <c r="F174" s="2407"/>
      <c r="G174" s="424"/>
      <c r="H174" s="1524"/>
      <c r="I174" s="675"/>
      <c r="J174" s="595"/>
      <c r="K174" s="1524"/>
      <c r="L174" s="238"/>
      <c r="M174" s="365"/>
      <c r="N174" s="358"/>
      <c r="O174" s="1648"/>
      <c r="P174" s="1648"/>
      <c r="AH174" s="1655">
        <v>0</v>
      </c>
    </row>
    <row s="1659" customFormat="1" customHeight="1" ht="18.75" hidden="1">
      <c r="A175" s="1804" t="s">
        <v>309</v>
      </c>
      <c r="B175" s="1804" t="s">
        <v>310</v>
      </c>
      <c r="C175" s="393"/>
      <c r="D175" s="2486"/>
      <c r="E175" s="2228"/>
      <c r="F175" s="2407" t="str">
        <f>INDEX(PT_DIFFERENTIATION_VTAR,MATCH(A175,PT_DIFFERENTIATION_VTAR_ID,0))</f>
        <v>Тариф на питьевую воду (питьевое водоснабжение)</v>
      </c>
      <c r="G175" s="2451" t="str">
        <f>INDEX(PT_DIFFERENTIATION_NTAR,MATCH(B175,PT_DIFFERENTIATION_NTAR_ID,0))</f>
        <v/>
      </c>
      <c r="H175" s="1886"/>
      <c r="I175" s="1763"/>
      <c r="J175" s="1797"/>
      <c r="K175" s="1802"/>
      <c r="L175" s="1886" t="s">
        <v>390</v>
      </c>
      <c r="M175" s="365"/>
      <c r="N175" s="358"/>
      <c r="O175" s="1648"/>
      <c r="P175" s="1648"/>
      <c r="AH175" s="1655">
        <v>0</v>
      </c>
    </row>
    <row s="1659" customFormat="1" customHeight="1" ht="18.75" hidden="1">
      <c r="A176" s="1804"/>
      <c r="B176" s="1804"/>
      <c r="C176" s="393" t="s">
        <v>1483</v>
      </c>
      <c r="D176" s="2486"/>
      <c r="E176" s="2228"/>
      <c r="F176" s="2407"/>
      <c r="G176" s="2451"/>
      <c r="H176" s="1524"/>
      <c r="I176" s="675" t="s">
        <v>1482</v>
      </c>
      <c r="J176" s="595"/>
      <c r="K176" s="1524"/>
      <c r="L176" s="238"/>
      <c r="M176" s="365"/>
      <c r="N176" s="358"/>
      <c r="O176" s="1648"/>
      <c r="P176" s="1648"/>
      <c r="AH176" s="1655">
        <v>0</v>
      </c>
    </row>
    <row s="1659" customFormat="1" customHeight="1" ht="0.75" hidden="1">
      <c r="A177" s="1804"/>
      <c r="B177" s="1804"/>
      <c r="C177" s="393" t="s">
        <v>1490</v>
      </c>
      <c r="D177" s="2486"/>
      <c r="E177" s="2228"/>
      <c r="F177" s="2407"/>
      <c r="G177" s="424"/>
      <c r="H177" s="1524"/>
      <c r="I177" s="675"/>
      <c r="J177" s="595"/>
      <c r="K177" s="1524"/>
      <c r="L177" s="238"/>
      <c r="M177" s="365"/>
      <c r="N177" s="358"/>
      <c r="O177" s="1648"/>
      <c r="P177" s="1648"/>
      <c r="AH177" s="1655">
        <v>0</v>
      </c>
    </row>
    <row s="1659" customFormat="1" customHeight="1" ht="18.75" hidden="1">
      <c r="A178" s="1804" t="s">
        <v>314</v>
      </c>
      <c r="B178" s="1804" t="s">
        <v>315</v>
      </c>
      <c r="C178" s="393"/>
      <c r="D178" s="2486"/>
      <c r="E178" s="2228"/>
      <c r="F178" s="2407" t="str">
        <f>INDEX(PT_DIFFERENTIATION_VTAR,MATCH(A178,PT_DIFFERENTIATION_VTAR_ID,0))</f>
        <v>Тариф на техническую воду</v>
      </c>
      <c r="G178" s="2451" t="str">
        <f>INDEX(PT_DIFFERENTIATION_NTAR,MATCH(B178,PT_DIFFERENTIATION_NTAR_ID,0))</f>
        <v/>
      </c>
      <c r="H178" s="1886"/>
      <c r="I178" s="1763"/>
      <c r="J178" s="1797"/>
      <c r="K178" s="1802"/>
      <c r="L178" s="1886" t="s">
        <v>390</v>
      </c>
      <c r="M178" s="365"/>
      <c r="N178" s="358"/>
      <c r="O178" s="1648"/>
      <c r="P178" s="1648"/>
      <c r="AH178" s="1655">
        <v>0</v>
      </c>
    </row>
    <row s="1659" customFormat="1" customHeight="1" ht="18.75" hidden="1">
      <c r="A179" s="1804"/>
      <c r="B179" s="1804"/>
      <c r="C179" s="393" t="s">
        <v>1483</v>
      </c>
      <c r="D179" s="2486"/>
      <c r="E179" s="2228"/>
      <c r="F179" s="2407"/>
      <c r="G179" s="2451"/>
      <c r="H179" s="1524"/>
      <c r="I179" s="675" t="s">
        <v>1482</v>
      </c>
      <c r="J179" s="595"/>
      <c r="K179" s="1524"/>
      <c r="L179" s="238"/>
      <c r="M179" s="365"/>
      <c r="N179" s="358"/>
      <c r="O179" s="1648"/>
      <c r="P179" s="1648"/>
      <c r="AH179" s="1655">
        <v>0</v>
      </c>
    </row>
    <row s="1659" customFormat="1" customHeight="1" ht="0.75" hidden="1">
      <c r="A180" s="1804"/>
      <c r="B180" s="1804"/>
      <c r="C180" s="393" t="s">
        <v>1490</v>
      </c>
      <c r="D180" s="2486"/>
      <c r="E180" s="2228"/>
      <c r="F180" s="2407"/>
      <c r="G180" s="424"/>
      <c r="H180" s="1524"/>
      <c r="I180" s="675"/>
      <c r="J180" s="595"/>
      <c r="K180" s="1524"/>
      <c r="L180" s="238"/>
      <c r="M180" s="365"/>
      <c r="N180" s="358"/>
      <c r="O180" s="1648"/>
      <c r="P180" s="1648"/>
      <c r="AH180" s="1655">
        <v>0</v>
      </c>
    </row>
    <row s="1659" customFormat="1" customHeight="1" ht="18.75" hidden="1">
      <c r="A181" s="1804" t="s">
        <v>319</v>
      </c>
      <c r="B181" s="1804" t="s">
        <v>320</v>
      </c>
      <c r="C181" s="393"/>
      <c r="D181" s="2486"/>
      <c r="E181" s="2228"/>
      <c r="F181" s="2407" t="str">
        <f>INDEX(PT_DIFFERENTIATION_VTAR,MATCH(A181,PT_DIFFERENTIATION_VTAR_ID,0))</f>
        <v>Тариф на транспортировку воды</v>
      </c>
      <c r="G181" s="2451" t="str">
        <f>INDEX(PT_DIFFERENTIATION_NTAR,MATCH(B181,PT_DIFFERENTIATION_NTAR_ID,0))</f>
        <v/>
      </c>
      <c r="H181" s="1886"/>
      <c r="I181" s="1763"/>
      <c r="J181" s="1797"/>
      <c r="K181" s="1802"/>
      <c r="L181" s="1886" t="s">
        <v>390</v>
      </c>
      <c r="M181" s="365"/>
      <c r="N181" s="358"/>
      <c r="O181" s="1648"/>
      <c r="P181" s="1648"/>
      <c r="AH181" s="1655">
        <v>0</v>
      </c>
    </row>
    <row s="1659" customFormat="1" customHeight="1" ht="18.75" hidden="1">
      <c r="A182" s="1804"/>
      <c r="B182" s="1804"/>
      <c r="C182" s="393" t="s">
        <v>1483</v>
      </c>
      <c r="D182" s="2486"/>
      <c r="E182" s="2228"/>
      <c r="F182" s="2407"/>
      <c r="G182" s="2451"/>
      <c r="H182" s="1524"/>
      <c r="I182" s="675" t="s">
        <v>1482</v>
      </c>
      <c r="J182" s="595"/>
      <c r="K182" s="1524"/>
      <c r="L182" s="238"/>
      <c r="M182" s="365"/>
      <c r="N182" s="358"/>
      <c r="O182" s="1648"/>
      <c r="P182" s="1648"/>
      <c r="AH182" s="1655">
        <v>0</v>
      </c>
    </row>
    <row s="1659" customFormat="1" customHeight="1" ht="0.75" hidden="1">
      <c r="A183" s="1804"/>
      <c r="B183" s="1804"/>
      <c r="C183" s="393" t="s">
        <v>1490</v>
      </c>
      <c r="D183" s="2486"/>
      <c r="E183" s="2228"/>
      <c r="F183" s="2407"/>
      <c r="G183" s="424"/>
      <c r="H183" s="1524"/>
      <c r="I183" s="675"/>
      <c r="J183" s="595"/>
      <c r="K183" s="1524"/>
      <c r="L183" s="238"/>
      <c r="M183" s="365"/>
      <c r="N183" s="358"/>
      <c r="O183" s="1648"/>
      <c r="P183" s="1648"/>
      <c r="AH183" s="1655">
        <v>0</v>
      </c>
    </row>
    <row s="1659" customFormat="1" customHeight="1" ht="18.75" hidden="1">
      <c r="A184" s="1804" t="s">
        <v>324</v>
      </c>
      <c r="B184" s="1804" t="s">
        <v>325</v>
      </c>
      <c r="C184" s="393"/>
      <c r="D184" s="2486"/>
      <c r="E184" s="2228"/>
      <c r="F184" s="2407" t="str">
        <f>INDEX(PT_DIFFERENTIATION_VTAR,MATCH(A184,PT_DIFFERENTIATION_VTAR_ID,0))</f>
        <v>Тариф на подвоз воды</v>
      </c>
      <c r="G184" s="2451" t="str">
        <f>INDEX(PT_DIFFERENTIATION_NTAR,MATCH(B184,PT_DIFFERENTIATION_NTAR_ID,0))</f>
        <v/>
      </c>
      <c r="H184" s="1886"/>
      <c r="I184" s="1763"/>
      <c r="J184" s="1797"/>
      <c r="K184" s="1802"/>
      <c r="L184" s="1886" t="s">
        <v>390</v>
      </c>
      <c r="M184" s="365"/>
      <c r="N184" s="358"/>
      <c r="O184" s="1648"/>
      <c r="P184" s="1648"/>
      <c r="AH184" s="1655">
        <v>0</v>
      </c>
    </row>
    <row s="1659" customFormat="1" customHeight="1" ht="18.75" hidden="1">
      <c r="A185" s="1804"/>
      <c r="B185" s="1804"/>
      <c r="C185" s="393" t="s">
        <v>1483</v>
      </c>
      <c r="D185" s="2486"/>
      <c r="E185" s="2228"/>
      <c r="F185" s="2407"/>
      <c r="G185" s="2451"/>
      <c r="H185" s="1524"/>
      <c r="I185" s="675" t="s">
        <v>1482</v>
      </c>
      <c r="J185" s="595"/>
      <c r="K185" s="1524"/>
      <c r="L185" s="238"/>
      <c r="M185" s="365"/>
      <c r="N185" s="358"/>
      <c r="O185" s="1648"/>
      <c r="P185" s="1648"/>
      <c r="AH185" s="1655">
        <v>0</v>
      </c>
    </row>
    <row s="1659" customFormat="1" customHeight="1" ht="0.75" hidden="1">
      <c r="A186" s="1804"/>
      <c r="B186" s="1804"/>
      <c r="C186" s="393" t="s">
        <v>1490</v>
      </c>
      <c r="D186" s="2486"/>
      <c r="E186" s="2228"/>
      <c r="F186" s="2407"/>
      <c r="G186" s="424"/>
      <c r="H186" s="1524"/>
      <c r="I186" s="675"/>
      <c r="J186" s="595"/>
      <c r="K186" s="1524"/>
      <c r="L186" s="238"/>
      <c r="M186" s="365"/>
      <c r="N186" s="358"/>
      <c r="O186" s="1648"/>
      <c r="P186" s="1648"/>
      <c r="AH186" s="1655">
        <v>0</v>
      </c>
    </row>
    <row s="1659" customFormat="1" customHeight="1" ht="18.75" hidden="1">
      <c r="A187" s="1804" t="s">
        <v>329</v>
      </c>
      <c r="B187" s="1804" t="s">
        <v>330</v>
      </c>
      <c r="C187" s="393"/>
      <c r="D187" s="2486"/>
      <c r="E187" s="2228"/>
      <c r="F187" s="240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51" t="str">
        <f>INDEX(PT_DIFFERENTIATION_NTAR,MATCH(B187,PT_DIFFERENTIATION_NTAR_ID,0))</f>
        <v/>
      </c>
      <c r="H187" s="1886"/>
      <c r="I187" s="1763"/>
      <c r="J187" s="1797"/>
      <c r="K187" s="1802"/>
      <c r="L187" s="1886" t="s">
        <v>390</v>
      </c>
      <c r="M187" s="365"/>
      <c r="N187" s="358"/>
      <c r="O187" s="1648"/>
      <c r="P187" s="1648"/>
      <c r="AH187" s="1655">
        <v>0</v>
      </c>
    </row>
    <row s="1659" customFormat="1" customHeight="1" ht="18.75" hidden="1">
      <c r="A188" s="1804"/>
      <c r="B188" s="1804"/>
      <c r="C188" s="393" t="s">
        <v>1483</v>
      </c>
      <c r="D188" s="2486"/>
      <c r="E188" s="2228"/>
      <c r="F188" s="2407"/>
      <c r="G188" s="2451"/>
      <c r="H188" s="1524"/>
      <c r="I188" s="675" t="s">
        <v>1482</v>
      </c>
      <c r="J188" s="595"/>
      <c r="K188" s="1524"/>
      <c r="L188" s="238"/>
      <c r="M188" s="365"/>
      <c r="N188" s="358"/>
      <c r="O188" s="1648"/>
      <c r="P188" s="1648"/>
      <c r="AH188" s="1655">
        <v>0</v>
      </c>
    </row>
    <row s="1659" customFormat="1" customHeight="1" ht="0.75" hidden="1">
      <c r="A189" s="1804"/>
      <c r="B189" s="1804"/>
      <c r="C189" s="393" t="s">
        <v>1490</v>
      </c>
      <c r="D189" s="2486"/>
      <c r="E189" s="2228"/>
      <c r="F189" s="2407"/>
      <c r="G189" s="424"/>
      <c r="H189" s="1524"/>
      <c r="I189" s="675"/>
      <c r="J189" s="595"/>
      <c r="K189" s="1524"/>
      <c r="L189" s="238"/>
      <c r="M189" s="365"/>
      <c r="N189" s="358"/>
      <c r="O189" s="1648"/>
      <c r="P189" s="1648"/>
      <c r="AH189" s="1655">
        <v>0</v>
      </c>
    </row>
    <row s="1659" customFormat="1" customHeight="1" ht="18.75" hidden="1">
      <c r="A190" s="1804" t="s">
        <v>334</v>
      </c>
      <c r="B190" s="1804" t="s">
        <v>335</v>
      </c>
      <c r="C190" s="393"/>
      <c r="D190" s="2486"/>
      <c r="E190" s="2228"/>
      <c r="F190" s="2407" t="str">
        <f>INDEX(PT_DIFFERENTIATION_VTAR,MATCH(A190,PT_DIFFERENTIATION_VTAR_ID,0))</f>
        <v>Тариф на горячую воду (горячее водоснабжение)</v>
      </c>
      <c r="G190" s="2451" t="str">
        <f>INDEX(PT_DIFFERENTIATION_NTAR,MATCH(B190,PT_DIFFERENTIATION_NTAR_ID,0))</f>
        <v/>
      </c>
      <c r="H190" s="1886"/>
      <c r="I190" s="1763"/>
      <c r="J190" s="1797"/>
      <c r="K190" s="1802"/>
      <c r="L190" s="1886" t="s">
        <v>390</v>
      </c>
      <c r="M190" s="365"/>
      <c r="N190" s="358"/>
      <c r="O190" s="1648"/>
      <c r="P190" s="1648"/>
      <c r="AH190" s="1655">
        <v>0</v>
      </c>
    </row>
    <row s="1659" customFormat="1" customHeight="1" ht="18.75" hidden="1">
      <c r="A191" s="1804"/>
      <c r="B191" s="1804"/>
      <c r="C191" s="393" t="s">
        <v>1483</v>
      </c>
      <c r="D191" s="2486"/>
      <c r="E191" s="2228"/>
      <c r="F191" s="2407"/>
      <c r="G191" s="2451"/>
      <c r="H191" s="1524"/>
      <c r="I191" s="675" t="s">
        <v>1482</v>
      </c>
      <c r="J191" s="595"/>
      <c r="K191" s="1524"/>
      <c r="L191" s="238"/>
      <c r="M191" s="365"/>
      <c r="N191" s="358"/>
      <c r="O191" s="1648"/>
      <c r="P191" s="1648"/>
      <c r="AH191" s="1655">
        <v>0</v>
      </c>
    </row>
    <row s="1659" customFormat="1" customHeight="1" ht="0.75" hidden="1">
      <c r="A192" s="1804"/>
      <c r="B192" s="1804"/>
      <c r="C192" s="393" t="s">
        <v>1490</v>
      </c>
      <c r="D192" s="2486"/>
      <c r="E192" s="2228"/>
      <c r="F192" s="2407"/>
      <c r="G192" s="424"/>
      <c r="H192" s="1524"/>
      <c r="I192" s="675"/>
      <c r="J192" s="595"/>
      <c r="K192" s="1524"/>
      <c r="L192" s="238"/>
      <c r="M192" s="365"/>
      <c r="N192" s="358"/>
      <c r="O192" s="1648"/>
      <c r="P192" s="1648"/>
      <c r="AH192" s="1655">
        <v>0</v>
      </c>
    </row>
    <row s="1659" customFormat="1" customHeight="1" ht="18.75" hidden="1">
      <c r="A193" s="1804" t="s">
        <v>339</v>
      </c>
      <c r="B193" s="1804" t="s">
        <v>340</v>
      </c>
      <c r="C193" s="393"/>
      <c r="D193" s="2486"/>
      <c r="E193" s="2228"/>
      <c r="F193" s="2407" t="str">
        <f>INDEX(PT_DIFFERENTIATION_VTAR,MATCH(A193,PT_DIFFERENTIATION_VTAR_ID,0))</f>
        <v>Тариф на транспортировку горячей воды</v>
      </c>
      <c r="G193" s="2451" t="str">
        <f>INDEX(PT_DIFFERENTIATION_NTAR,MATCH(B193,PT_DIFFERENTIATION_NTAR_ID,0))</f>
        <v/>
      </c>
      <c r="H193" s="1886"/>
      <c r="I193" s="1763"/>
      <c r="J193" s="1797"/>
      <c r="K193" s="1802"/>
      <c r="L193" s="1886" t="s">
        <v>390</v>
      </c>
      <c r="M193" s="365"/>
      <c r="N193" s="358"/>
      <c r="O193" s="1648"/>
      <c r="P193" s="1648"/>
      <c r="AH193" s="1655">
        <v>0</v>
      </c>
    </row>
    <row s="1659" customFormat="1" customHeight="1" ht="18.75" hidden="1">
      <c r="A194" s="1804"/>
      <c r="B194" s="1804"/>
      <c r="C194" s="393" t="s">
        <v>1483</v>
      </c>
      <c r="D194" s="2486"/>
      <c r="E194" s="2228"/>
      <c r="F194" s="2407"/>
      <c r="G194" s="2451"/>
      <c r="H194" s="1524"/>
      <c r="I194" s="675" t="s">
        <v>1482</v>
      </c>
      <c r="J194" s="595"/>
      <c r="K194" s="1524"/>
      <c r="L194" s="238"/>
      <c r="M194" s="365"/>
      <c r="N194" s="358"/>
      <c r="O194" s="1648"/>
      <c r="P194" s="1648"/>
      <c r="AH194" s="1655">
        <v>0</v>
      </c>
    </row>
    <row s="1659" customFormat="1" customHeight="1" ht="0.75" hidden="1">
      <c r="A195" s="1804"/>
      <c r="B195" s="1804"/>
      <c r="C195" s="393" t="s">
        <v>1490</v>
      </c>
      <c r="D195" s="2486"/>
      <c r="E195" s="2228"/>
      <c r="F195" s="2407"/>
      <c r="G195" s="424"/>
      <c r="H195" s="1524"/>
      <c r="I195" s="675"/>
      <c r="J195" s="595"/>
      <c r="K195" s="1524"/>
      <c r="L195" s="238"/>
      <c r="M195" s="365"/>
      <c r="N195" s="358"/>
      <c r="O195" s="1648"/>
      <c r="P195" s="1648"/>
      <c r="AH195" s="1655">
        <v>0</v>
      </c>
    </row>
    <row s="1659" customFormat="1" customHeight="1" ht="18.75" hidden="1">
      <c r="A196" s="1804" t="s">
        <v>344</v>
      </c>
      <c r="B196" s="1804" t="s">
        <v>345</v>
      </c>
      <c r="C196" s="393"/>
      <c r="D196" s="2486"/>
      <c r="E196" s="2228"/>
      <c r="F196" s="240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51" t="str">
        <f>INDEX(PT_DIFFERENTIATION_NTAR,MATCH(B196,PT_DIFFERENTIATION_NTAR_ID,0))</f>
        <v/>
      </c>
      <c r="H196" s="1886"/>
      <c r="I196" s="1763"/>
      <c r="J196" s="1797"/>
      <c r="K196" s="1802"/>
      <c r="L196" s="1886" t="s">
        <v>390</v>
      </c>
      <c r="M196" s="365"/>
      <c r="N196" s="358"/>
      <c r="O196" s="1648"/>
      <c r="P196" s="1648"/>
      <c r="AH196" s="1655">
        <v>0</v>
      </c>
    </row>
    <row s="1659" customFormat="1" customHeight="1" ht="18.75" hidden="1">
      <c r="A197" s="1804"/>
      <c r="B197" s="1804"/>
      <c r="C197" s="393" t="s">
        <v>1483</v>
      </c>
      <c r="D197" s="2486"/>
      <c r="E197" s="2228"/>
      <c r="F197" s="2407"/>
      <c r="G197" s="2451"/>
      <c r="H197" s="1524"/>
      <c r="I197" s="675" t="s">
        <v>1482</v>
      </c>
      <c r="J197" s="595"/>
      <c r="K197" s="1524"/>
      <c r="L197" s="238"/>
      <c r="M197" s="365"/>
      <c r="N197" s="358"/>
      <c r="O197" s="1648"/>
      <c r="P197" s="1648"/>
      <c r="AH197" s="1655">
        <v>0</v>
      </c>
    </row>
    <row s="1659" customFormat="1" customHeight="1" ht="0.75" hidden="1">
      <c r="A198" s="1804"/>
      <c r="B198" s="1804"/>
      <c r="C198" s="393" t="s">
        <v>1490</v>
      </c>
      <c r="D198" s="2486"/>
      <c r="E198" s="2228"/>
      <c r="F198" s="2407"/>
      <c r="G198" s="424"/>
      <c r="H198" s="1524"/>
      <c r="I198" s="675"/>
      <c r="J198" s="595"/>
      <c r="K198" s="1524"/>
      <c r="L198" s="238"/>
      <c r="M198" s="365"/>
      <c r="N198" s="358"/>
      <c r="O198" s="1648"/>
      <c r="P198" s="1648"/>
      <c r="AH198" s="1655">
        <v>0</v>
      </c>
    </row>
    <row s="1659" customFormat="1" customHeight="1" ht="18.75" hidden="1">
      <c r="A199" s="1804" t="s">
        <v>349</v>
      </c>
      <c r="B199" s="1804" t="s">
        <v>350</v>
      </c>
      <c r="C199" s="393"/>
      <c r="D199" s="2486"/>
      <c r="E199" s="2228"/>
      <c r="F199" s="2407" t="str">
        <f>INDEX(PT_DIFFERENTIATION_VTAR,MATCH(A199,PT_DIFFERENTIATION_VTAR_ID,0))</f>
        <v>Тариф на водоотведение</v>
      </c>
      <c r="G199" s="2451" t="str">
        <f>INDEX(PT_DIFFERENTIATION_NTAR,MATCH(B199,PT_DIFFERENTIATION_NTAR_ID,0))</f>
        <v/>
      </c>
      <c r="H199" s="1886"/>
      <c r="I199" s="1763"/>
      <c r="J199" s="1797"/>
      <c r="K199" s="1802"/>
      <c r="L199" s="1886" t="s">
        <v>390</v>
      </c>
      <c r="M199" s="365"/>
      <c r="N199" s="358"/>
      <c r="O199" s="1648"/>
      <c r="P199" s="1648"/>
      <c r="AH199" s="1655">
        <v>0</v>
      </c>
    </row>
    <row s="1659" customFormat="1" customHeight="1" ht="18.75" hidden="1">
      <c r="A200" s="1804"/>
      <c r="B200" s="1804"/>
      <c r="C200" s="393" t="s">
        <v>1483</v>
      </c>
      <c r="D200" s="2486"/>
      <c r="E200" s="2228"/>
      <c r="F200" s="2407"/>
      <c r="G200" s="2451"/>
      <c r="H200" s="1524"/>
      <c r="I200" s="675" t="s">
        <v>1482</v>
      </c>
      <c r="J200" s="595"/>
      <c r="K200" s="1524"/>
      <c r="L200" s="238"/>
      <c r="M200" s="365"/>
      <c r="N200" s="358"/>
      <c r="O200" s="1648"/>
      <c r="P200" s="1648"/>
      <c r="AH200" s="1655">
        <v>0</v>
      </c>
    </row>
    <row s="1659" customFormat="1" customHeight="1" ht="0.75" hidden="1">
      <c r="A201" s="1804"/>
      <c r="B201" s="1804"/>
      <c r="C201" s="393" t="s">
        <v>1490</v>
      </c>
      <c r="D201" s="2486"/>
      <c r="E201" s="2228"/>
      <c r="F201" s="2407"/>
      <c r="G201" s="424"/>
      <c r="H201" s="1524"/>
      <c r="I201" s="675"/>
      <c r="J201" s="595"/>
      <c r="K201" s="1524"/>
      <c r="L201" s="238"/>
      <c r="M201" s="365"/>
      <c r="N201" s="358"/>
      <c r="O201" s="1648"/>
      <c r="P201" s="1648"/>
      <c r="AH201" s="1655">
        <v>0</v>
      </c>
    </row>
    <row s="1659" customFormat="1" customHeight="1" ht="18.75" hidden="1">
      <c r="A202" s="1804" t="s">
        <v>354</v>
      </c>
      <c r="B202" s="1804" t="s">
        <v>355</v>
      </c>
      <c r="C202" s="393"/>
      <c r="D202" s="2486"/>
      <c r="E202" s="2228"/>
      <c r="F202" s="2407" t="str">
        <f>INDEX(PT_DIFFERENTIATION_VTAR,MATCH(A202,PT_DIFFERENTIATION_VTAR_ID,0))</f>
        <v>Тариф на транспортировку сточных вод</v>
      </c>
      <c r="G202" s="2451" t="str">
        <f>INDEX(PT_DIFFERENTIATION_NTAR,MATCH(B202,PT_DIFFERENTIATION_NTAR_ID,0))</f>
        <v/>
      </c>
      <c r="H202" s="1886"/>
      <c r="I202" s="1763"/>
      <c r="J202" s="1797"/>
      <c r="K202" s="1802"/>
      <c r="L202" s="1886" t="s">
        <v>390</v>
      </c>
      <c r="M202" s="365"/>
      <c r="N202" s="358"/>
      <c r="O202" s="1648"/>
      <c r="P202" s="1648"/>
      <c r="AH202" s="1655">
        <v>0</v>
      </c>
    </row>
    <row s="1659" customFormat="1" customHeight="1" ht="18.75" hidden="1">
      <c r="A203" s="1804"/>
      <c r="B203" s="1804"/>
      <c r="C203" s="393" t="s">
        <v>1483</v>
      </c>
      <c r="D203" s="2486"/>
      <c r="E203" s="2228"/>
      <c r="F203" s="2407"/>
      <c r="G203" s="2451"/>
      <c r="H203" s="1524"/>
      <c r="I203" s="675" t="s">
        <v>1482</v>
      </c>
      <c r="J203" s="595"/>
      <c r="K203" s="1524"/>
      <c r="L203" s="238"/>
      <c r="M203" s="365"/>
      <c r="N203" s="358"/>
      <c r="O203" s="1648"/>
      <c r="P203" s="1648"/>
      <c r="AH203" s="1655">
        <v>0</v>
      </c>
    </row>
    <row s="1659" customFormat="1" customHeight="1" ht="0.75" hidden="1">
      <c r="A204" s="1804"/>
      <c r="B204" s="1804"/>
      <c r="C204" s="393" t="s">
        <v>1490</v>
      </c>
      <c r="D204" s="2486"/>
      <c r="E204" s="2228"/>
      <c r="F204" s="2407"/>
      <c r="G204" s="424"/>
      <c r="H204" s="1524"/>
      <c r="I204" s="675"/>
      <c r="J204" s="595"/>
      <c r="K204" s="1524"/>
      <c r="L204" s="238"/>
      <c r="M204" s="365"/>
      <c r="N204" s="358"/>
      <c r="O204" s="1648"/>
      <c r="P204" s="1648"/>
      <c r="AH204" s="1655">
        <v>0</v>
      </c>
    </row>
    <row s="1659" customFormat="1" customHeight="1" ht="18.75" hidden="1">
      <c r="A205" s="1804" t="s">
        <v>359</v>
      </c>
      <c r="B205" s="1804" t="s">
        <v>360</v>
      </c>
      <c r="C205" s="393"/>
      <c r="D205" s="2486"/>
      <c r="E205" s="2228"/>
      <c r="F205" s="2407" t="str">
        <f>INDEX(PT_DIFFERENTIATION_VTAR,MATCH(A205,PT_DIFFERENTIATION_VTAR_ID,0))</f>
        <v>Тариф на подключение (технологическое присоединение) к централизованной системе водоотведения</v>
      </c>
      <c r="G205" s="2451" t="str">
        <f>INDEX(PT_DIFFERENTIATION_NTAR,MATCH(B205,PT_DIFFERENTIATION_NTAR_ID,0))</f>
        <v/>
      </c>
      <c r="H205" s="1886"/>
      <c r="I205" s="1763"/>
      <c r="J205" s="1797"/>
      <c r="K205" s="1802"/>
      <c r="L205" s="1886" t="s">
        <v>390</v>
      </c>
      <c r="M205" s="365"/>
      <c r="N205" s="358"/>
      <c r="O205" s="1648"/>
      <c r="P205" s="1648"/>
      <c r="AH205" s="1655">
        <v>0</v>
      </c>
    </row>
    <row s="1659" customFormat="1" customHeight="1" ht="18.75" hidden="1">
      <c r="A206" s="1804"/>
      <c r="B206" s="1804"/>
      <c r="C206" s="393" t="s">
        <v>1483</v>
      </c>
      <c r="D206" s="2486"/>
      <c r="E206" s="2228"/>
      <c r="F206" s="2407"/>
      <c r="G206" s="2451"/>
      <c r="H206" s="1524"/>
      <c r="I206" s="675" t="s">
        <v>1482</v>
      </c>
      <c r="J206" s="595"/>
      <c r="K206" s="1524"/>
      <c r="L206" s="238"/>
      <c r="M206" s="365"/>
      <c r="N206" s="358"/>
      <c r="O206" s="1648"/>
      <c r="P206" s="1648"/>
      <c r="AH206" s="1655">
        <v>0</v>
      </c>
    </row>
    <row s="1659" customFormat="1" customHeight="1" ht="1.05">
      <c r="A207" s="1804"/>
      <c r="B207" s="1804"/>
      <c r="C207" s="393" t="s">
        <v>1490</v>
      </c>
      <c r="D207" s="2486"/>
      <c r="E207" s="2228"/>
      <c r="F207" s="2407"/>
      <c r="G207" s="424"/>
      <c r="H207" s="1524"/>
      <c r="I207" s="675"/>
      <c r="J207" s="595"/>
      <c r="K207" s="1524"/>
      <c r="L207" s="238"/>
      <c r="M207" s="365"/>
      <c r="N207" s="358"/>
      <c r="O207" s="1648"/>
      <c r="P207" s="1648"/>
      <c r="AH207" s="1655">
        <v>1</v>
      </c>
    </row>
    <row customHeight="1" ht="27.299999999999997">
      <c r="A208" s="1804"/>
      <c r="B208" s="1804"/>
      <c r="D208" s="400"/>
      <c r="E208" s="171" t="s">
        <v>119</v>
      </c>
      <c r="F208" s="248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84"/>
      <c r="H208" s="2484"/>
      <c r="I208" s="2484"/>
      <c r="J208" s="2484"/>
      <c r="K208" s="2484"/>
      <c r="L208" s="2484"/>
      <c r="M208" s="321"/>
      <c r="N208" s="358"/>
      <c r="AH208" s="398">
        <v>26</v>
      </c>
    </row>
    <row s="1659" customFormat="1" customHeight="1" ht="60.75" hidden="1">
      <c r="A209" s="1804" t="s">
        <v>241</v>
      </c>
      <c r="B209" s="1804" t="s">
        <v>242</v>
      </c>
      <c r="C209" s="393"/>
      <c r="D209" s="2486"/>
      <c r="E209" s="2228"/>
      <c r="F209" s="240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51" t="str">
        <f>INDEX(PT_DIFFERENTIATION_NTAR,MATCH(B209,PT_DIFFERENTIATION_NTAR_ID,0))</f>
        <v/>
      </c>
      <c r="H209" s="1886"/>
      <c r="I209" s="1763"/>
      <c r="J209" s="1797"/>
      <c r="K209" s="1802"/>
      <c r="L209" s="1886" t="s">
        <v>390</v>
      </c>
      <c r="M209" s="219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58"/>
      <c r="O209" s="1648"/>
      <c r="P209" s="1648"/>
      <c r="AH209" s="1655">
        <v>0</v>
      </c>
    </row>
    <row s="1659" customFormat="1" customHeight="1" ht="18.75" hidden="1">
      <c r="A210" s="1804"/>
      <c r="B210" s="1804"/>
      <c r="C210" s="393" t="s">
        <v>1483</v>
      </c>
      <c r="D210" s="2486"/>
      <c r="E210" s="2228"/>
      <c r="F210" s="2407"/>
      <c r="G210" s="2451"/>
      <c r="H210" s="1524"/>
      <c r="I210" s="675" t="s">
        <v>1482</v>
      </c>
      <c r="J210" s="595"/>
      <c r="K210" s="1524"/>
      <c r="L210" s="238"/>
      <c r="M210" s="2194"/>
      <c r="N210" s="358"/>
      <c r="O210" s="1648"/>
      <c r="P210" s="1648"/>
      <c r="AH210" s="1655">
        <v>0</v>
      </c>
    </row>
    <row s="1659" customFormat="1" customHeight="1" ht="0.75" hidden="1">
      <c r="A211" s="1804"/>
      <c r="B211" s="1804"/>
      <c r="C211" s="393" t="s">
        <v>1490</v>
      </c>
      <c r="D211" s="2486"/>
      <c r="E211" s="2228"/>
      <c r="F211" s="2407"/>
      <c r="G211" s="424"/>
      <c r="H211" s="1524"/>
      <c r="I211" s="675"/>
      <c r="J211" s="595"/>
      <c r="K211" s="1524"/>
      <c r="L211" s="238"/>
      <c r="M211" s="2194"/>
      <c r="N211" s="358"/>
      <c r="O211" s="1648"/>
      <c r="P211" s="1648"/>
      <c r="AH211" s="1655">
        <v>0</v>
      </c>
    </row>
    <row s="1659" customFormat="1" customHeight="1" ht="45" hidden="1">
      <c r="A212" s="1804" t="s">
        <v>246</v>
      </c>
      <c r="B212" s="1804" t="s">
        <v>247</v>
      </c>
      <c r="C212" s="393"/>
      <c r="D212" s="2486"/>
      <c r="E212" s="2228"/>
      <c r="F212" s="2407" t="str">
        <f>INDEX(PT_DIFFERENTIATION_VTAR,MATCH(A212,PT_DIFFERENTIATION_VTAR_ID,0))</f>
        <v/>
      </c>
      <c r="G212" s="2451" t="str">
        <f>INDEX(PT_DIFFERENTIATION_NTAR,MATCH(B212,PT_DIFFERENTIATION_NTAR_ID,0))</f>
        <v/>
      </c>
      <c r="H212" s="1886"/>
      <c r="I212" s="1763"/>
      <c r="J212" s="1797"/>
      <c r="K212" s="1802"/>
      <c r="L212" s="1886" t="s">
        <v>390</v>
      </c>
      <c r="M212" s="2195"/>
      <c r="N212" s="358"/>
      <c r="O212" s="1648"/>
      <c r="P212" s="1648"/>
      <c r="AH212" s="1655">
        <v>0</v>
      </c>
    </row>
    <row s="1659" customFormat="1" customHeight="1" ht="18.75" hidden="1">
      <c r="A213" s="1804"/>
      <c r="B213" s="1804"/>
      <c r="C213" s="393" t="s">
        <v>1483</v>
      </c>
      <c r="D213" s="2486"/>
      <c r="E213" s="2228"/>
      <c r="F213" s="2407"/>
      <c r="G213" s="2451"/>
      <c r="H213" s="1524"/>
      <c r="I213" s="675" t="s">
        <v>1482</v>
      </c>
      <c r="J213" s="595"/>
      <c r="K213" s="1524"/>
      <c r="L213" s="238"/>
      <c r="M213" s="1885"/>
      <c r="N213" s="358"/>
      <c r="O213" s="1648"/>
      <c r="P213" s="1648"/>
      <c r="AH213" s="1655">
        <v>0</v>
      </c>
    </row>
    <row s="1659" customFormat="1" customHeight="1" ht="0.75" hidden="1">
      <c r="A214" s="1804"/>
      <c r="B214" s="1804"/>
      <c r="C214" s="393" t="s">
        <v>1490</v>
      </c>
      <c r="D214" s="2486"/>
      <c r="E214" s="2228"/>
      <c r="F214" s="2407"/>
      <c r="G214" s="424"/>
      <c r="H214" s="1524"/>
      <c r="I214" s="675"/>
      <c r="J214" s="595"/>
      <c r="K214" s="1524"/>
      <c r="L214" s="238"/>
      <c r="M214" s="365"/>
      <c r="N214" s="358"/>
      <c r="O214" s="1648"/>
      <c r="P214" s="1648"/>
      <c r="AH214" s="1655">
        <v>0</v>
      </c>
    </row>
    <row s="1659" customFormat="1" customHeight="1" ht="45" hidden="1">
      <c r="A215" s="1804" t="s">
        <v>253</v>
      </c>
      <c r="B215" s="1804" t="s">
        <v>254</v>
      </c>
      <c r="C215" s="393"/>
      <c r="D215" s="2486"/>
      <c r="E215" s="2228"/>
      <c r="F215" s="240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51" t="str">
        <f>INDEX(PT_DIFFERENTIATION_NTAR,MATCH(B215,PT_DIFFERENTIATION_NTAR_ID,0))</f>
        <v/>
      </c>
      <c r="H215" s="1886"/>
      <c r="I215" s="1763"/>
      <c r="J215" s="1797"/>
      <c r="K215" s="1802"/>
      <c r="L215" s="1886" t="s">
        <v>390</v>
      </c>
      <c r="M215" s="365"/>
      <c r="N215" s="358"/>
      <c r="O215" s="1648"/>
      <c r="P215" s="1648"/>
      <c r="AH215" s="1655">
        <v>0</v>
      </c>
    </row>
    <row s="1659" customFormat="1" customHeight="1" ht="18.75" hidden="1">
      <c r="A216" s="1804"/>
      <c r="B216" s="1804"/>
      <c r="C216" s="393" t="s">
        <v>1483</v>
      </c>
      <c r="D216" s="2486"/>
      <c r="E216" s="2228"/>
      <c r="F216" s="2407"/>
      <c r="G216" s="2451"/>
      <c r="H216" s="1524"/>
      <c r="I216" s="675" t="s">
        <v>1482</v>
      </c>
      <c r="J216" s="595"/>
      <c r="K216" s="1524"/>
      <c r="L216" s="238"/>
      <c r="M216" s="365"/>
      <c r="N216" s="358"/>
      <c r="O216" s="1648"/>
      <c r="P216" s="1648"/>
      <c r="AH216" s="1655">
        <v>0</v>
      </c>
    </row>
    <row s="1659" customFormat="1" customHeight="1" ht="0.75" hidden="1">
      <c r="A217" s="1804"/>
      <c r="B217" s="1804"/>
      <c r="C217" s="393" t="s">
        <v>1490</v>
      </c>
      <c r="D217" s="2486"/>
      <c r="E217" s="2228"/>
      <c r="F217" s="2407"/>
      <c r="G217" s="424"/>
      <c r="H217" s="1524"/>
      <c r="I217" s="675"/>
      <c r="J217" s="595"/>
      <c r="K217" s="1524"/>
      <c r="L217" s="238"/>
      <c r="M217" s="365"/>
      <c r="N217" s="358"/>
      <c r="O217" s="1648"/>
      <c r="P217" s="1648"/>
      <c r="AH217" s="1655">
        <v>0</v>
      </c>
    </row>
    <row s="1659" customFormat="1" customHeight="1" ht="45" hidden="1">
      <c r="A218" s="1804" t="s">
        <v>259</v>
      </c>
      <c r="B218" s="1804" t="s">
        <v>260</v>
      </c>
      <c r="C218" s="393"/>
      <c r="D218" s="2486"/>
      <c r="E218" s="2228"/>
      <c r="F218" s="240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51" t="str">
        <f>INDEX(PT_DIFFERENTIATION_NTAR,MATCH(B218,PT_DIFFERENTIATION_NTAR_ID,0))</f>
        <v/>
      </c>
      <c r="H218" s="1886"/>
      <c r="I218" s="1763"/>
      <c r="J218" s="1797"/>
      <c r="K218" s="1802"/>
      <c r="L218" s="1886" t="s">
        <v>390</v>
      </c>
      <c r="M218" s="365"/>
      <c r="N218" s="358"/>
      <c r="O218" s="1648"/>
      <c r="P218" s="1648"/>
      <c r="AH218" s="1655">
        <v>0</v>
      </c>
    </row>
    <row s="1659" customFormat="1" customHeight="1" ht="18.75" hidden="1">
      <c r="A219" s="1804"/>
      <c r="B219" s="1804"/>
      <c r="C219" s="393" t="s">
        <v>1483</v>
      </c>
      <c r="D219" s="2486"/>
      <c r="E219" s="2228"/>
      <c r="F219" s="2407"/>
      <c r="G219" s="2451"/>
      <c r="H219" s="1524"/>
      <c r="I219" s="675" t="s">
        <v>1482</v>
      </c>
      <c r="J219" s="595"/>
      <c r="K219" s="1524"/>
      <c r="L219" s="238"/>
      <c r="M219" s="365"/>
      <c r="N219" s="358"/>
      <c r="O219" s="1648"/>
      <c r="P219" s="1648"/>
      <c r="AH219" s="1655">
        <v>0</v>
      </c>
    </row>
    <row s="1659" customFormat="1" customHeight="1" ht="0.75" hidden="1">
      <c r="A220" s="1804"/>
      <c r="B220" s="1804"/>
      <c r="C220" s="393" t="s">
        <v>1490</v>
      </c>
      <c r="D220" s="2486"/>
      <c r="E220" s="2228"/>
      <c r="F220" s="2407"/>
      <c r="G220" s="424"/>
      <c r="H220" s="1524"/>
      <c r="I220" s="675"/>
      <c r="J220" s="595"/>
      <c r="K220" s="1524"/>
      <c r="L220" s="238"/>
      <c r="M220" s="365"/>
      <c r="N220" s="358"/>
      <c r="O220" s="1648"/>
      <c r="P220" s="1648"/>
      <c r="AH220" s="1655">
        <v>0</v>
      </c>
    </row>
    <row s="1659" customFormat="1" customHeight="1" ht="18.75" hidden="1">
      <c r="A221" s="1804" t="s">
        <v>265</v>
      </c>
      <c r="B221" s="1804" t="s">
        <v>266</v>
      </c>
      <c r="C221" s="393"/>
      <c r="D221" s="2486"/>
      <c r="E221" s="2228"/>
      <c r="F221" s="2407" t="str">
        <f>INDEX(PT_DIFFERENTIATION_VTAR,MATCH(A221,PT_DIFFERENTIATION_VTAR_ID,0))</f>
        <v>Тарифы на услуги по передаче тепловой энергии</v>
      </c>
      <c r="G221" s="2451" t="str">
        <f>INDEX(PT_DIFFERENTIATION_NTAR,MATCH(B221,PT_DIFFERENTIATION_NTAR_ID,0))</f>
        <v/>
      </c>
      <c r="H221" s="1886"/>
      <c r="I221" s="1763"/>
      <c r="J221" s="1797"/>
      <c r="K221" s="1802"/>
      <c r="L221" s="1886" t="s">
        <v>390</v>
      </c>
      <c r="M221" s="365"/>
      <c r="N221" s="358"/>
      <c r="O221" s="1648"/>
      <c r="P221" s="1648"/>
      <c r="AH221" s="1655">
        <v>0</v>
      </c>
    </row>
    <row s="1659" customFormat="1" customHeight="1" ht="18.75" hidden="1">
      <c r="A222" s="1804"/>
      <c r="B222" s="1804"/>
      <c r="C222" s="393" t="s">
        <v>1483</v>
      </c>
      <c r="D222" s="2486"/>
      <c r="E222" s="2228"/>
      <c r="F222" s="2407"/>
      <c r="G222" s="2451"/>
      <c r="H222" s="1524"/>
      <c r="I222" s="675" t="s">
        <v>1482</v>
      </c>
      <c r="J222" s="595"/>
      <c r="K222" s="1524"/>
      <c r="L222" s="238"/>
      <c r="M222" s="365"/>
      <c r="N222" s="358"/>
      <c r="O222" s="1648"/>
      <c r="P222" s="1648"/>
      <c r="AH222" s="1655">
        <v>0</v>
      </c>
    </row>
    <row s="1659" customFormat="1" customHeight="1" ht="0.75" hidden="1">
      <c r="A223" s="1804"/>
      <c r="B223" s="1804"/>
      <c r="C223" s="393" t="s">
        <v>1490</v>
      </c>
      <c r="D223" s="2486"/>
      <c r="E223" s="2228"/>
      <c r="F223" s="2407"/>
      <c r="G223" s="424"/>
      <c r="H223" s="1524"/>
      <c r="I223" s="675"/>
      <c r="J223" s="595"/>
      <c r="K223" s="1524"/>
      <c r="L223" s="238"/>
      <c r="M223" s="365"/>
      <c r="N223" s="358"/>
      <c r="O223" s="1648"/>
      <c r="P223" s="1648"/>
      <c r="AH223" s="1655">
        <v>0</v>
      </c>
    </row>
    <row s="1659" customFormat="1" customHeight="1" ht="18.75" hidden="1">
      <c r="A224" s="1804" t="s">
        <v>271</v>
      </c>
      <c r="B224" s="1804" t="s">
        <v>272</v>
      </c>
      <c r="C224" s="393"/>
      <c r="D224" s="2486"/>
      <c r="E224" s="2228"/>
      <c r="F224" s="2407" t="str">
        <f>INDEX(PT_DIFFERENTIATION_VTAR,MATCH(A224,PT_DIFFERENTIATION_VTAR_ID,0))</f>
        <v>Тарифы на услуги по передаче теплоносителя</v>
      </c>
      <c r="G224" s="2451" t="str">
        <f>INDEX(PT_DIFFERENTIATION_NTAR,MATCH(B224,PT_DIFFERENTIATION_NTAR_ID,0))</f>
        <v/>
      </c>
      <c r="H224" s="1886"/>
      <c r="I224" s="1763"/>
      <c r="J224" s="1797"/>
      <c r="K224" s="1802"/>
      <c r="L224" s="1886" t="s">
        <v>390</v>
      </c>
      <c r="M224" s="365"/>
      <c r="N224" s="358"/>
      <c r="O224" s="1648"/>
      <c r="P224" s="1648"/>
      <c r="AH224" s="1655">
        <v>0</v>
      </c>
    </row>
    <row s="1659" customFormat="1" customHeight="1" ht="18.75" hidden="1">
      <c r="A225" s="1804"/>
      <c r="B225" s="1804"/>
      <c r="C225" s="393" t="s">
        <v>1483</v>
      </c>
      <c r="D225" s="2486"/>
      <c r="E225" s="2228"/>
      <c r="F225" s="2407"/>
      <c r="G225" s="2451"/>
      <c r="H225" s="1524"/>
      <c r="I225" s="675" t="s">
        <v>1482</v>
      </c>
      <c r="J225" s="595"/>
      <c r="K225" s="1524"/>
      <c r="L225" s="238"/>
      <c r="M225" s="365"/>
      <c r="N225" s="358"/>
      <c r="O225" s="1648"/>
      <c r="P225" s="1648"/>
      <c r="AH225" s="1655">
        <v>0</v>
      </c>
    </row>
    <row s="1659" customFormat="1" customHeight="1" ht="0.75" hidden="1">
      <c r="A226" s="1804"/>
      <c r="B226" s="1804"/>
      <c r="C226" s="393" t="s">
        <v>1490</v>
      </c>
      <c r="D226" s="2486"/>
      <c r="E226" s="2228"/>
      <c r="F226" s="2407"/>
      <c r="G226" s="424"/>
      <c r="H226" s="1524"/>
      <c r="I226" s="675"/>
      <c r="J226" s="595"/>
      <c r="K226" s="1524"/>
      <c r="L226" s="238"/>
      <c r="M226" s="365"/>
      <c r="N226" s="358"/>
      <c r="O226" s="1648"/>
      <c r="P226" s="1648"/>
      <c r="AH226" s="1655">
        <v>0</v>
      </c>
    </row>
    <row s="1659" customFormat="1" customHeight="1" ht="18.75" hidden="1">
      <c r="A227" s="1804" t="s">
        <v>277</v>
      </c>
      <c r="B227" s="1804" t="s">
        <v>278</v>
      </c>
      <c r="C227" s="393"/>
      <c r="D227" s="2486"/>
      <c r="E227" s="2228"/>
      <c r="F227" s="240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51" t="str">
        <f>INDEX(PT_DIFFERENTIATION_NTAR,MATCH(B227,PT_DIFFERENTIATION_NTAR_ID,0))</f>
        <v/>
      </c>
      <c r="H227" s="1886"/>
      <c r="I227" s="1763"/>
      <c r="J227" s="1797"/>
      <c r="K227" s="1802"/>
      <c r="L227" s="1886" t="s">
        <v>390</v>
      </c>
      <c r="M227" s="365"/>
      <c r="N227" s="358"/>
      <c r="O227" s="1648"/>
      <c r="P227" s="1648"/>
      <c r="AH227" s="1655">
        <v>0</v>
      </c>
    </row>
    <row s="1659" customFormat="1" customHeight="1" ht="18.75" hidden="1">
      <c r="A228" s="1804"/>
      <c r="B228" s="1804"/>
      <c r="C228" s="393" t="s">
        <v>1483</v>
      </c>
      <c r="D228" s="2486"/>
      <c r="E228" s="2228"/>
      <c r="F228" s="2407"/>
      <c r="G228" s="2451"/>
      <c r="H228" s="1524"/>
      <c r="I228" s="675" t="s">
        <v>1482</v>
      </c>
      <c r="J228" s="595"/>
      <c r="K228" s="1524"/>
      <c r="L228" s="238"/>
      <c r="M228" s="365"/>
      <c r="N228" s="358"/>
      <c r="O228" s="1648"/>
      <c r="P228" s="1648"/>
      <c r="AH228" s="1655">
        <v>0</v>
      </c>
    </row>
    <row s="1659" customFormat="1" customHeight="1" ht="0.75" hidden="1">
      <c r="A229" s="1804"/>
      <c r="B229" s="1804"/>
      <c r="C229" s="393" t="s">
        <v>1490</v>
      </c>
      <c r="D229" s="2486"/>
      <c r="E229" s="2228"/>
      <c r="F229" s="2407"/>
      <c r="G229" s="424"/>
      <c r="H229" s="1524"/>
      <c r="I229" s="675"/>
      <c r="J229" s="595"/>
      <c r="K229" s="1524"/>
      <c r="L229" s="238"/>
      <c r="M229" s="365"/>
      <c r="N229" s="358"/>
      <c r="O229" s="1648"/>
      <c r="P229" s="1648"/>
      <c r="AH229" s="1655">
        <v>0</v>
      </c>
    </row>
    <row s="1659" customFormat="1" customHeight="1" ht="18.75" hidden="1">
      <c r="A230" s="1804" t="s">
        <v>283</v>
      </c>
      <c r="B230" s="1804" t="s">
        <v>284</v>
      </c>
      <c r="C230" s="393"/>
      <c r="D230" s="2486"/>
      <c r="E230" s="2228"/>
      <c r="F230" s="2407" t="str">
        <f>INDEX(PT_DIFFERENTIATION_VTAR,MATCH(A230,PT_DIFFERENTIATION_VTAR_ID,0))</f>
        <v>Плата за подключение (технологическое присоединение) к системе теплоснабжения</v>
      </c>
      <c r="G230" s="2451" t="str">
        <f>INDEX(PT_DIFFERENTIATION_NTAR,MATCH(B230,PT_DIFFERENTIATION_NTAR_ID,0))</f>
        <v/>
      </c>
      <c r="H230" s="1886"/>
      <c r="I230" s="1763"/>
      <c r="J230" s="1797"/>
      <c r="K230" s="1802"/>
      <c r="L230" s="1886" t="s">
        <v>390</v>
      </c>
      <c r="M230" s="365"/>
      <c r="N230" s="358"/>
      <c r="O230" s="1648"/>
      <c r="P230" s="1648"/>
      <c r="AH230" s="1655">
        <v>0</v>
      </c>
    </row>
    <row s="1659" customFormat="1" customHeight="1" ht="18.75" hidden="1">
      <c r="A231" s="1804"/>
      <c r="B231" s="1804"/>
      <c r="C231" s="393" t="s">
        <v>1483</v>
      </c>
      <c r="D231" s="2486"/>
      <c r="E231" s="2228"/>
      <c r="F231" s="2407"/>
      <c r="G231" s="2451"/>
      <c r="H231" s="1524"/>
      <c r="I231" s="675" t="s">
        <v>1482</v>
      </c>
      <c r="J231" s="595"/>
      <c r="K231" s="1524"/>
      <c r="L231" s="238"/>
      <c r="M231" s="365"/>
      <c r="N231" s="358"/>
      <c r="O231" s="1648"/>
      <c r="P231" s="1648"/>
      <c r="AH231" s="1655">
        <v>0</v>
      </c>
    </row>
    <row s="1659" customFormat="1" customHeight="1" ht="0.75" hidden="1">
      <c r="A232" s="1804"/>
      <c r="B232" s="1804"/>
      <c r="C232" s="393" t="s">
        <v>1490</v>
      </c>
      <c r="D232" s="2486"/>
      <c r="E232" s="2228"/>
      <c r="F232" s="2407"/>
      <c r="G232" s="424"/>
      <c r="H232" s="1524"/>
      <c r="I232" s="675"/>
      <c r="J232" s="595"/>
      <c r="K232" s="1524"/>
      <c r="L232" s="238"/>
      <c r="M232" s="365"/>
      <c r="N232" s="358"/>
      <c r="O232" s="1648"/>
      <c r="P232" s="1648"/>
      <c r="AH232" s="1655">
        <v>0</v>
      </c>
    </row>
    <row s="1659" customFormat="1" customHeight="1" ht="18.75" hidden="1">
      <c r="A233" s="1804" t="s">
        <v>289</v>
      </c>
      <c r="B233" s="1804" t="s">
        <v>290</v>
      </c>
      <c r="C233" s="393"/>
      <c r="D233" s="2486"/>
      <c r="E233" s="2228"/>
      <c r="F233" s="2407" t="str">
        <f>INDEX(PT_DIFFERENTIATION_VTAR,MATCH(A233,PT_DIFFERENTIATION_VTAR_ID,0))</f>
        <v>Плата за подключение (технологическое присоединение) к системе теплоснабжения (индивидуальная)</v>
      </c>
      <c r="G233" s="2451" t="str">
        <f>INDEX(PT_DIFFERENTIATION_NTAR,MATCH(B233,PT_DIFFERENTIATION_NTAR_ID,0))</f>
        <v/>
      </c>
      <c r="H233" s="2013"/>
      <c r="I233" s="1763"/>
      <c r="J233" s="1797"/>
      <c r="K233" s="1802"/>
      <c r="L233" s="2013" t="s">
        <v>390</v>
      </c>
      <c r="M233" s="365"/>
      <c r="N233" s="358"/>
      <c r="O233" s="1648"/>
      <c r="P233" s="1648"/>
      <c r="AH233" s="1655">
        <v>0</v>
      </c>
    </row>
    <row s="1659" customFormat="1" customHeight="1" ht="18.75" hidden="1">
      <c r="A234" s="1804"/>
      <c r="B234" s="1804"/>
      <c r="C234" s="393" t="s">
        <v>1483</v>
      </c>
      <c r="D234" s="2486"/>
      <c r="E234" s="2228"/>
      <c r="F234" s="2407"/>
      <c r="G234" s="2451"/>
      <c r="H234" s="1524"/>
      <c r="I234" s="675" t="s">
        <v>1482</v>
      </c>
      <c r="J234" s="595"/>
      <c r="K234" s="1524"/>
      <c r="L234" s="238"/>
      <c r="M234" s="365"/>
      <c r="N234" s="358"/>
      <c r="O234" s="1648"/>
      <c r="P234" s="1648"/>
      <c r="AH234" s="1655">
        <v>0</v>
      </c>
    </row>
    <row s="1659" customFormat="1" customHeight="1" ht="0.75" hidden="1">
      <c r="A235" s="1804"/>
      <c r="B235" s="1804"/>
      <c r="C235" s="393" t="s">
        <v>1490</v>
      </c>
      <c r="D235" s="2486"/>
      <c r="E235" s="2228"/>
      <c r="F235" s="2407"/>
      <c r="G235" s="424"/>
      <c r="H235" s="1524"/>
      <c r="I235" s="675"/>
      <c r="J235" s="595"/>
      <c r="K235" s="1524"/>
      <c r="L235" s="238"/>
      <c r="M235" s="365"/>
      <c r="N235" s="358"/>
      <c r="O235" s="1648"/>
      <c r="P235" s="1648"/>
      <c r="AH235" s="1655">
        <v>0</v>
      </c>
    </row>
    <row s="1659" customFormat="1" customHeight="1" ht="18.75" hidden="1">
      <c r="A236" s="1804" t="s">
        <v>309</v>
      </c>
      <c r="B236" s="1804" t="s">
        <v>310</v>
      </c>
      <c r="C236" s="393"/>
      <c r="D236" s="2486"/>
      <c r="E236" s="2228"/>
      <c r="F236" s="2407" t="str">
        <f>INDEX(PT_DIFFERENTIATION_VTAR,MATCH(A236,PT_DIFFERENTIATION_VTAR_ID,0))</f>
        <v>Тариф на питьевую воду (питьевое водоснабжение)</v>
      </c>
      <c r="G236" s="2451" t="str">
        <f>INDEX(PT_DIFFERENTIATION_NTAR,MATCH(B236,PT_DIFFERENTIATION_NTAR_ID,0))</f>
        <v/>
      </c>
      <c r="H236" s="1886"/>
      <c r="I236" s="1763"/>
      <c r="J236" s="1797"/>
      <c r="K236" s="1802"/>
      <c r="L236" s="1886" t="s">
        <v>390</v>
      </c>
      <c r="M236" s="365"/>
      <c r="N236" s="358"/>
      <c r="O236" s="1648"/>
      <c r="P236" s="1648"/>
      <c r="AH236" s="1655">
        <v>0</v>
      </c>
    </row>
    <row s="1659" customFormat="1" customHeight="1" ht="18.75" hidden="1">
      <c r="A237" s="1804"/>
      <c r="B237" s="1804"/>
      <c r="C237" s="393" t="s">
        <v>1483</v>
      </c>
      <c r="D237" s="2486"/>
      <c r="E237" s="2228"/>
      <c r="F237" s="2407"/>
      <c r="G237" s="2451"/>
      <c r="H237" s="1524"/>
      <c r="I237" s="675" t="s">
        <v>1482</v>
      </c>
      <c r="J237" s="595"/>
      <c r="K237" s="1524"/>
      <c r="L237" s="238"/>
      <c r="M237" s="365"/>
      <c r="N237" s="358"/>
      <c r="O237" s="1648"/>
      <c r="P237" s="1648"/>
      <c r="AH237" s="1655">
        <v>0</v>
      </c>
    </row>
    <row s="1659" customFormat="1" customHeight="1" ht="0.75" hidden="1">
      <c r="A238" s="1804"/>
      <c r="B238" s="1804"/>
      <c r="C238" s="393" t="s">
        <v>1490</v>
      </c>
      <c r="D238" s="2486"/>
      <c r="E238" s="2228"/>
      <c r="F238" s="2407"/>
      <c r="G238" s="424"/>
      <c r="H238" s="1524"/>
      <c r="I238" s="675"/>
      <c r="J238" s="595"/>
      <c r="K238" s="1524"/>
      <c r="L238" s="238"/>
      <c r="M238" s="365"/>
      <c r="N238" s="358"/>
      <c r="O238" s="1648"/>
      <c r="P238" s="1648"/>
      <c r="AH238" s="1655">
        <v>0</v>
      </c>
    </row>
    <row s="1659" customFormat="1" customHeight="1" ht="18.75" hidden="1">
      <c r="A239" s="1804" t="s">
        <v>314</v>
      </c>
      <c r="B239" s="1804" t="s">
        <v>315</v>
      </c>
      <c r="C239" s="393"/>
      <c r="D239" s="2486"/>
      <c r="E239" s="2228"/>
      <c r="F239" s="2407" t="str">
        <f>INDEX(PT_DIFFERENTIATION_VTAR,MATCH(A239,PT_DIFFERENTIATION_VTAR_ID,0))</f>
        <v>Тариф на техническую воду</v>
      </c>
      <c r="G239" s="2451" t="str">
        <f>INDEX(PT_DIFFERENTIATION_NTAR,MATCH(B239,PT_DIFFERENTIATION_NTAR_ID,0))</f>
        <v/>
      </c>
      <c r="H239" s="1886"/>
      <c r="I239" s="1763"/>
      <c r="J239" s="1797"/>
      <c r="K239" s="1802"/>
      <c r="L239" s="1886" t="s">
        <v>390</v>
      </c>
      <c r="M239" s="365"/>
      <c r="N239" s="358"/>
      <c r="O239" s="1648"/>
      <c r="P239" s="1648"/>
      <c r="AH239" s="1655">
        <v>0</v>
      </c>
    </row>
    <row s="1659" customFormat="1" customHeight="1" ht="18.75" hidden="1">
      <c r="A240" s="1804"/>
      <c r="B240" s="1804"/>
      <c r="C240" s="393" t="s">
        <v>1483</v>
      </c>
      <c r="D240" s="2486"/>
      <c r="E240" s="2228"/>
      <c r="F240" s="2407"/>
      <c r="G240" s="2451"/>
      <c r="H240" s="1524"/>
      <c r="I240" s="675" t="s">
        <v>1482</v>
      </c>
      <c r="J240" s="595"/>
      <c r="K240" s="1524"/>
      <c r="L240" s="238"/>
      <c r="M240" s="365"/>
      <c r="N240" s="358"/>
      <c r="O240" s="1648"/>
      <c r="P240" s="1648"/>
      <c r="AH240" s="1655">
        <v>0</v>
      </c>
    </row>
    <row s="1659" customFormat="1" customHeight="1" ht="0.75" hidden="1">
      <c r="A241" s="1804"/>
      <c r="B241" s="1804"/>
      <c r="C241" s="393" t="s">
        <v>1490</v>
      </c>
      <c r="D241" s="2486"/>
      <c r="E241" s="2228"/>
      <c r="F241" s="2407"/>
      <c r="G241" s="424"/>
      <c r="H241" s="1524"/>
      <c r="I241" s="675"/>
      <c r="J241" s="595"/>
      <c r="K241" s="1524"/>
      <c r="L241" s="238"/>
      <c r="M241" s="365"/>
      <c r="N241" s="358"/>
      <c r="O241" s="1648"/>
      <c r="P241" s="1648"/>
      <c r="AH241" s="1655">
        <v>0</v>
      </c>
    </row>
    <row s="1659" customFormat="1" customHeight="1" ht="18.75" hidden="1">
      <c r="A242" s="1804" t="s">
        <v>319</v>
      </c>
      <c r="B242" s="1804" t="s">
        <v>320</v>
      </c>
      <c r="C242" s="393"/>
      <c r="D242" s="2486"/>
      <c r="E242" s="2228"/>
      <c r="F242" s="2407" t="str">
        <f>INDEX(PT_DIFFERENTIATION_VTAR,MATCH(A242,PT_DIFFERENTIATION_VTAR_ID,0))</f>
        <v>Тариф на транспортировку воды</v>
      </c>
      <c r="G242" s="2451" t="str">
        <f>INDEX(PT_DIFFERENTIATION_NTAR,MATCH(B242,PT_DIFFERENTIATION_NTAR_ID,0))</f>
        <v/>
      </c>
      <c r="H242" s="1886"/>
      <c r="I242" s="1763"/>
      <c r="J242" s="1797"/>
      <c r="K242" s="1802"/>
      <c r="L242" s="1886" t="s">
        <v>390</v>
      </c>
      <c r="M242" s="365"/>
      <c r="N242" s="358"/>
      <c r="O242" s="1648"/>
      <c r="P242" s="1648"/>
      <c r="AH242" s="1655">
        <v>0</v>
      </c>
    </row>
    <row s="1659" customFormat="1" customHeight="1" ht="18.75" hidden="1">
      <c r="A243" s="1804"/>
      <c r="B243" s="1804"/>
      <c r="C243" s="393" t="s">
        <v>1483</v>
      </c>
      <c r="D243" s="2486"/>
      <c r="E243" s="2228"/>
      <c r="F243" s="2407"/>
      <c r="G243" s="2451"/>
      <c r="H243" s="1524"/>
      <c r="I243" s="675" t="s">
        <v>1482</v>
      </c>
      <c r="J243" s="595"/>
      <c r="K243" s="1524"/>
      <c r="L243" s="238"/>
      <c r="M243" s="365"/>
      <c r="N243" s="358"/>
      <c r="O243" s="1648"/>
      <c r="P243" s="1648"/>
      <c r="AH243" s="1655">
        <v>0</v>
      </c>
    </row>
    <row s="1659" customFormat="1" customHeight="1" ht="0.75" hidden="1">
      <c r="A244" s="1804"/>
      <c r="B244" s="1804"/>
      <c r="C244" s="393" t="s">
        <v>1490</v>
      </c>
      <c r="D244" s="2486"/>
      <c r="E244" s="2228"/>
      <c r="F244" s="2407"/>
      <c r="G244" s="424"/>
      <c r="H244" s="1524"/>
      <c r="I244" s="675"/>
      <c r="J244" s="595"/>
      <c r="K244" s="1524"/>
      <c r="L244" s="238"/>
      <c r="M244" s="365"/>
      <c r="N244" s="358"/>
      <c r="O244" s="1648"/>
      <c r="P244" s="1648"/>
      <c r="AH244" s="1655">
        <v>0</v>
      </c>
    </row>
    <row s="1659" customFormat="1" customHeight="1" ht="18.75" hidden="1">
      <c r="A245" s="1804" t="s">
        <v>324</v>
      </c>
      <c r="B245" s="1804" t="s">
        <v>325</v>
      </c>
      <c r="C245" s="393"/>
      <c r="D245" s="2486"/>
      <c r="E245" s="2228"/>
      <c r="F245" s="2407" t="str">
        <f>INDEX(PT_DIFFERENTIATION_VTAR,MATCH(A245,PT_DIFFERENTIATION_VTAR_ID,0))</f>
        <v>Тариф на подвоз воды</v>
      </c>
      <c r="G245" s="2451" t="str">
        <f>INDEX(PT_DIFFERENTIATION_NTAR,MATCH(B245,PT_DIFFERENTIATION_NTAR_ID,0))</f>
        <v/>
      </c>
      <c r="H245" s="1886"/>
      <c r="I245" s="1763"/>
      <c r="J245" s="1797"/>
      <c r="K245" s="1802"/>
      <c r="L245" s="1886" t="s">
        <v>390</v>
      </c>
      <c r="M245" s="365"/>
      <c r="N245" s="358"/>
      <c r="O245" s="1648"/>
      <c r="P245" s="1648"/>
      <c r="AH245" s="1655">
        <v>0</v>
      </c>
    </row>
    <row s="1659" customFormat="1" customHeight="1" ht="18.75" hidden="1">
      <c r="A246" s="1804"/>
      <c r="B246" s="1804"/>
      <c r="C246" s="393" t="s">
        <v>1483</v>
      </c>
      <c r="D246" s="2486"/>
      <c r="E246" s="2228"/>
      <c r="F246" s="2407"/>
      <c r="G246" s="2451"/>
      <c r="H246" s="1524"/>
      <c r="I246" s="675" t="s">
        <v>1482</v>
      </c>
      <c r="J246" s="595"/>
      <c r="K246" s="1524"/>
      <c r="L246" s="238"/>
      <c r="M246" s="365"/>
      <c r="N246" s="358"/>
      <c r="O246" s="1648"/>
      <c r="P246" s="1648"/>
      <c r="AH246" s="1655">
        <v>0</v>
      </c>
    </row>
    <row s="1659" customFormat="1" customHeight="1" ht="0.75" hidden="1">
      <c r="A247" s="1804"/>
      <c r="B247" s="1804"/>
      <c r="C247" s="393" t="s">
        <v>1490</v>
      </c>
      <c r="D247" s="2486"/>
      <c r="E247" s="2228"/>
      <c r="F247" s="2407"/>
      <c r="G247" s="424"/>
      <c r="H247" s="1524"/>
      <c r="I247" s="675"/>
      <c r="J247" s="595"/>
      <c r="K247" s="1524"/>
      <c r="L247" s="238"/>
      <c r="M247" s="365"/>
      <c r="N247" s="358"/>
      <c r="O247" s="1648"/>
      <c r="P247" s="1648"/>
      <c r="AH247" s="1655">
        <v>0</v>
      </c>
    </row>
    <row s="1659" customFormat="1" customHeight="1" ht="18.75" hidden="1">
      <c r="A248" s="1804" t="s">
        <v>329</v>
      </c>
      <c r="B248" s="1804" t="s">
        <v>330</v>
      </c>
      <c r="C248" s="393"/>
      <c r="D248" s="2486"/>
      <c r="E248" s="2228"/>
      <c r="F248" s="240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51" t="str">
        <f>INDEX(PT_DIFFERENTIATION_NTAR,MATCH(B248,PT_DIFFERENTIATION_NTAR_ID,0))</f>
        <v/>
      </c>
      <c r="H248" s="1886"/>
      <c r="I248" s="1763"/>
      <c r="J248" s="1797"/>
      <c r="K248" s="1802"/>
      <c r="L248" s="1886" t="s">
        <v>390</v>
      </c>
      <c r="M248" s="365"/>
      <c r="N248" s="358"/>
      <c r="O248" s="1648"/>
      <c r="P248" s="1648"/>
      <c r="AH248" s="1655">
        <v>0</v>
      </c>
    </row>
    <row s="1659" customFormat="1" customHeight="1" ht="18.75" hidden="1">
      <c r="A249" s="1804"/>
      <c r="B249" s="1804"/>
      <c r="C249" s="393" t="s">
        <v>1483</v>
      </c>
      <c r="D249" s="2486"/>
      <c r="E249" s="2228"/>
      <c r="F249" s="2407"/>
      <c r="G249" s="2451"/>
      <c r="H249" s="1524"/>
      <c r="I249" s="675" t="s">
        <v>1482</v>
      </c>
      <c r="J249" s="595"/>
      <c r="K249" s="1524"/>
      <c r="L249" s="238"/>
      <c r="M249" s="365"/>
      <c r="N249" s="358"/>
      <c r="O249" s="1648"/>
      <c r="P249" s="1648"/>
      <c r="AH249" s="1655">
        <v>0</v>
      </c>
    </row>
    <row s="1659" customFormat="1" customHeight="1" ht="0.75" hidden="1">
      <c r="A250" s="1804"/>
      <c r="B250" s="1804"/>
      <c r="C250" s="393" t="s">
        <v>1490</v>
      </c>
      <c r="D250" s="2486"/>
      <c r="E250" s="2228"/>
      <c r="F250" s="2407"/>
      <c r="G250" s="424"/>
      <c r="H250" s="1524"/>
      <c r="I250" s="675"/>
      <c r="J250" s="595"/>
      <c r="K250" s="1524"/>
      <c r="L250" s="238"/>
      <c r="M250" s="365"/>
      <c r="N250" s="358"/>
      <c r="O250" s="1648"/>
      <c r="P250" s="1648"/>
      <c r="AH250" s="1655">
        <v>0</v>
      </c>
    </row>
    <row s="1659" customFormat="1" customHeight="1" ht="18.75" hidden="1">
      <c r="A251" s="1804" t="s">
        <v>334</v>
      </c>
      <c r="B251" s="1804" t="s">
        <v>335</v>
      </c>
      <c r="C251" s="393"/>
      <c r="D251" s="2486"/>
      <c r="E251" s="2228"/>
      <c r="F251" s="2407" t="str">
        <f>INDEX(PT_DIFFERENTIATION_VTAR,MATCH(A251,PT_DIFFERENTIATION_VTAR_ID,0))</f>
        <v>Тариф на горячую воду (горячее водоснабжение)</v>
      </c>
      <c r="G251" s="2451" t="str">
        <f>INDEX(PT_DIFFERENTIATION_NTAR,MATCH(B251,PT_DIFFERENTIATION_NTAR_ID,0))</f>
        <v/>
      </c>
      <c r="H251" s="1886"/>
      <c r="I251" s="1763"/>
      <c r="J251" s="1797"/>
      <c r="K251" s="1802"/>
      <c r="L251" s="1886" t="s">
        <v>390</v>
      </c>
      <c r="M251" s="365"/>
      <c r="N251" s="358"/>
      <c r="O251" s="1648"/>
      <c r="P251" s="1648"/>
      <c r="AH251" s="1655">
        <v>0</v>
      </c>
    </row>
    <row s="1659" customFormat="1" customHeight="1" ht="18.75" hidden="1">
      <c r="A252" s="1804"/>
      <c r="B252" s="1804"/>
      <c r="C252" s="393" t="s">
        <v>1483</v>
      </c>
      <c r="D252" s="2486"/>
      <c r="E252" s="2228"/>
      <c r="F252" s="2407"/>
      <c r="G252" s="2451"/>
      <c r="H252" s="1524"/>
      <c r="I252" s="675" t="s">
        <v>1482</v>
      </c>
      <c r="J252" s="595"/>
      <c r="K252" s="1524"/>
      <c r="L252" s="238"/>
      <c r="M252" s="365"/>
      <c r="N252" s="358"/>
      <c r="O252" s="1648"/>
      <c r="P252" s="1648"/>
      <c r="AH252" s="1655">
        <v>0</v>
      </c>
    </row>
    <row s="1659" customFormat="1" customHeight="1" ht="0.75" hidden="1">
      <c r="A253" s="1804"/>
      <c r="B253" s="1804"/>
      <c r="C253" s="393" t="s">
        <v>1490</v>
      </c>
      <c r="D253" s="2486"/>
      <c r="E253" s="2228"/>
      <c r="F253" s="2407"/>
      <c r="G253" s="424"/>
      <c r="H253" s="1524"/>
      <c r="I253" s="675"/>
      <c r="J253" s="595"/>
      <c r="K253" s="1524"/>
      <c r="L253" s="238"/>
      <c r="M253" s="365"/>
      <c r="N253" s="358"/>
      <c r="O253" s="1648"/>
      <c r="P253" s="1648"/>
      <c r="AH253" s="1655">
        <v>0</v>
      </c>
    </row>
    <row s="1659" customFormat="1" customHeight="1" ht="18.75" hidden="1">
      <c r="A254" s="1804" t="s">
        <v>339</v>
      </c>
      <c r="B254" s="1804" t="s">
        <v>340</v>
      </c>
      <c r="C254" s="393"/>
      <c r="D254" s="2486"/>
      <c r="E254" s="2228"/>
      <c r="F254" s="2407" t="str">
        <f>INDEX(PT_DIFFERENTIATION_VTAR,MATCH(A254,PT_DIFFERENTIATION_VTAR_ID,0))</f>
        <v>Тариф на транспортировку горячей воды</v>
      </c>
      <c r="G254" s="2451" t="str">
        <f>INDEX(PT_DIFFERENTIATION_NTAR,MATCH(B254,PT_DIFFERENTIATION_NTAR_ID,0))</f>
        <v/>
      </c>
      <c r="H254" s="1886"/>
      <c r="I254" s="1763"/>
      <c r="J254" s="1797"/>
      <c r="K254" s="1802"/>
      <c r="L254" s="1886" t="s">
        <v>390</v>
      </c>
      <c r="M254" s="365"/>
      <c r="N254" s="358"/>
      <c r="O254" s="1648"/>
      <c r="P254" s="1648"/>
      <c r="AH254" s="1655">
        <v>0</v>
      </c>
    </row>
    <row s="1659" customFormat="1" customHeight="1" ht="18.75" hidden="1">
      <c r="A255" s="1804"/>
      <c r="B255" s="1804"/>
      <c r="C255" s="393" t="s">
        <v>1483</v>
      </c>
      <c r="D255" s="2486"/>
      <c r="E255" s="2228"/>
      <c r="F255" s="2407"/>
      <c r="G255" s="2451"/>
      <c r="H255" s="1524"/>
      <c r="I255" s="675" t="s">
        <v>1482</v>
      </c>
      <c r="J255" s="595"/>
      <c r="K255" s="1524"/>
      <c r="L255" s="238"/>
      <c r="M255" s="365"/>
      <c r="N255" s="358"/>
      <c r="O255" s="1648"/>
      <c r="P255" s="1648"/>
      <c r="AH255" s="1655">
        <v>0</v>
      </c>
    </row>
    <row s="1659" customFormat="1" customHeight="1" ht="0.75" hidden="1">
      <c r="A256" s="1804"/>
      <c r="B256" s="1804"/>
      <c r="C256" s="393" t="s">
        <v>1490</v>
      </c>
      <c r="D256" s="2486"/>
      <c r="E256" s="2228"/>
      <c r="F256" s="2407"/>
      <c r="G256" s="424"/>
      <c r="H256" s="1524"/>
      <c r="I256" s="675"/>
      <c r="J256" s="595"/>
      <c r="K256" s="1524"/>
      <c r="L256" s="238"/>
      <c r="M256" s="365"/>
      <c r="N256" s="358"/>
      <c r="O256" s="1648"/>
      <c r="P256" s="1648"/>
      <c r="AH256" s="1655">
        <v>0</v>
      </c>
    </row>
    <row s="1659" customFormat="1" customHeight="1" ht="18.75" hidden="1">
      <c r="A257" s="1804" t="s">
        <v>344</v>
      </c>
      <c r="B257" s="1804" t="s">
        <v>345</v>
      </c>
      <c r="C257" s="393"/>
      <c r="D257" s="2486"/>
      <c r="E257" s="2228"/>
      <c r="F257" s="240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51" t="str">
        <f>INDEX(PT_DIFFERENTIATION_NTAR,MATCH(B257,PT_DIFFERENTIATION_NTAR_ID,0))</f>
        <v/>
      </c>
      <c r="H257" s="1886"/>
      <c r="I257" s="1763"/>
      <c r="J257" s="1797"/>
      <c r="K257" s="1802"/>
      <c r="L257" s="1886" t="s">
        <v>390</v>
      </c>
      <c r="M257" s="365"/>
      <c r="N257" s="358"/>
      <c r="O257" s="1648"/>
      <c r="P257" s="1648"/>
      <c r="AH257" s="1655">
        <v>0</v>
      </c>
    </row>
    <row s="1659" customFormat="1" customHeight="1" ht="18.75" hidden="1">
      <c r="A258" s="1804"/>
      <c r="B258" s="1804"/>
      <c r="C258" s="393" t="s">
        <v>1483</v>
      </c>
      <c r="D258" s="2486"/>
      <c r="E258" s="2228"/>
      <c r="F258" s="2407"/>
      <c r="G258" s="2451"/>
      <c r="H258" s="1524"/>
      <c r="I258" s="675" t="s">
        <v>1482</v>
      </c>
      <c r="J258" s="595"/>
      <c r="K258" s="1524"/>
      <c r="L258" s="238"/>
      <c r="M258" s="365"/>
      <c r="N258" s="358"/>
      <c r="O258" s="1648"/>
      <c r="P258" s="1648"/>
      <c r="AH258" s="1655">
        <v>0</v>
      </c>
    </row>
    <row s="1659" customFormat="1" customHeight="1" ht="0.75" hidden="1">
      <c r="A259" s="1804"/>
      <c r="B259" s="1804"/>
      <c r="C259" s="393" t="s">
        <v>1490</v>
      </c>
      <c r="D259" s="2486"/>
      <c r="E259" s="2228"/>
      <c r="F259" s="2407"/>
      <c r="G259" s="424"/>
      <c r="H259" s="1524"/>
      <c r="I259" s="675"/>
      <c r="J259" s="595"/>
      <c r="K259" s="1524"/>
      <c r="L259" s="238"/>
      <c r="M259" s="365"/>
      <c r="N259" s="358"/>
      <c r="O259" s="1648"/>
      <c r="P259" s="1648"/>
      <c r="AH259" s="1655">
        <v>0</v>
      </c>
    </row>
    <row s="1659" customFormat="1" customHeight="1" ht="18.75" hidden="1">
      <c r="A260" s="1804" t="s">
        <v>349</v>
      </c>
      <c r="B260" s="1804" t="s">
        <v>350</v>
      </c>
      <c r="C260" s="393"/>
      <c r="D260" s="2486"/>
      <c r="E260" s="2228"/>
      <c r="F260" s="2407" t="str">
        <f>INDEX(PT_DIFFERENTIATION_VTAR,MATCH(A260,PT_DIFFERENTIATION_VTAR_ID,0))</f>
        <v>Тариф на водоотведение</v>
      </c>
      <c r="G260" s="2451" t="str">
        <f>INDEX(PT_DIFFERENTIATION_NTAR,MATCH(B260,PT_DIFFERENTIATION_NTAR_ID,0))</f>
        <v/>
      </c>
      <c r="H260" s="1886"/>
      <c r="I260" s="1763"/>
      <c r="J260" s="1797"/>
      <c r="K260" s="1802"/>
      <c r="L260" s="1886" t="s">
        <v>390</v>
      </c>
      <c r="M260" s="365"/>
      <c r="N260" s="358"/>
      <c r="O260" s="1648"/>
      <c r="P260" s="1648"/>
      <c r="AH260" s="1655">
        <v>0</v>
      </c>
    </row>
    <row s="1659" customFormat="1" customHeight="1" ht="18.75" hidden="1">
      <c r="A261" s="1804"/>
      <c r="B261" s="1804"/>
      <c r="C261" s="393" t="s">
        <v>1483</v>
      </c>
      <c r="D261" s="2486"/>
      <c r="E261" s="2228"/>
      <c r="F261" s="2407"/>
      <c r="G261" s="2451"/>
      <c r="H261" s="1524"/>
      <c r="I261" s="675" t="s">
        <v>1482</v>
      </c>
      <c r="J261" s="595"/>
      <c r="K261" s="1524"/>
      <c r="L261" s="238"/>
      <c r="M261" s="365"/>
      <c r="N261" s="358"/>
      <c r="O261" s="1648"/>
      <c r="P261" s="1648"/>
      <c r="AH261" s="1655">
        <v>0</v>
      </c>
    </row>
    <row s="1659" customFormat="1" customHeight="1" ht="0.75" hidden="1">
      <c r="A262" s="1804"/>
      <c r="B262" s="1804"/>
      <c r="C262" s="393" t="s">
        <v>1490</v>
      </c>
      <c r="D262" s="2486"/>
      <c r="E262" s="2228"/>
      <c r="F262" s="2407"/>
      <c r="G262" s="424"/>
      <c r="H262" s="1524"/>
      <c r="I262" s="675"/>
      <c r="J262" s="595"/>
      <c r="K262" s="1524"/>
      <c r="L262" s="238"/>
      <c r="M262" s="365"/>
      <c r="N262" s="358"/>
      <c r="O262" s="1648"/>
      <c r="P262" s="1648"/>
      <c r="AH262" s="1655">
        <v>0</v>
      </c>
    </row>
    <row s="1659" customFormat="1" customHeight="1" ht="18.75" hidden="1">
      <c r="A263" s="1804" t="s">
        <v>354</v>
      </c>
      <c r="B263" s="1804" t="s">
        <v>355</v>
      </c>
      <c r="C263" s="393"/>
      <c r="D263" s="2486"/>
      <c r="E263" s="2228"/>
      <c r="F263" s="2407" t="str">
        <f>INDEX(PT_DIFFERENTIATION_VTAR,MATCH(A263,PT_DIFFERENTIATION_VTAR_ID,0))</f>
        <v>Тариф на транспортировку сточных вод</v>
      </c>
      <c r="G263" s="2451" t="str">
        <f>INDEX(PT_DIFFERENTIATION_NTAR,MATCH(B263,PT_DIFFERENTIATION_NTAR_ID,0))</f>
        <v/>
      </c>
      <c r="H263" s="1886"/>
      <c r="I263" s="1763"/>
      <c r="J263" s="1797"/>
      <c r="K263" s="1802"/>
      <c r="L263" s="1886" t="s">
        <v>390</v>
      </c>
      <c r="M263" s="365"/>
      <c r="N263" s="358"/>
      <c r="O263" s="1648"/>
      <c r="P263" s="1648"/>
      <c r="AH263" s="1655">
        <v>0</v>
      </c>
    </row>
    <row s="1659" customFormat="1" customHeight="1" ht="18.75" hidden="1">
      <c r="A264" s="1804"/>
      <c r="B264" s="1804"/>
      <c r="C264" s="393" t="s">
        <v>1483</v>
      </c>
      <c r="D264" s="2486"/>
      <c r="E264" s="2228"/>
      <c r="F264" s="2407"/>
      <c r="G264" s="2451"/>
      <c r="H264" s="1524"/>
      <c r="I264" s="675" t="s">
        <v>1482</v>
      </c>
      <c r="J264" s="595"/>
      <c r="K264" s="1524"/>
      <c r="L264" s="238"/>
      <c r="M264" s="365"/>
      <c r="N264" s="358"/>
      <c r="O264" s="1648"/>
      <c r="P264" s="1648"/>
      <c r="AH264" s="1655">
        <v>0</v>
      </c>
    </row>
    <row s="1659" customFormat="1" customHeight="1" ht="0.75" hidden="1">
      <c r="A265" s="1804"/>
      <c r="B265" s="1804"/>
      <c r="C265" s="393" t="s">
        <v>1490</v>
      </c>
      <c r="D265" s="2486"/>
      <c r="E265" s="2228"/>
      <c r="F265" s="2407"/>
      <c r="G265" s="424"/>
      <c r="H265" s="1524"/>
      <c r="I265" s="675"/>
      <c r="J265" s="595"/>
      <c r="K265" s="1524"/>
      <c r="L265" s="238"/>
      <c r="M265" s="365"/>
      <c r="N265" s="358"/>
      <c r="O265" s="1648"/>
      <c r="P265" s="1648"/>
      <c r="AH265" s="1655">
        <v>0</v>
      </c>
    </row>
    <row s="1659" customFormat="1" customHeight="1" ht="18.75" hidden="1">
      <c r="A266" s="1804" t="s">
        <v>359</v>
      </c>
      <c r="B266" s="1804" t="s">
        <v>360</v>
      </c>
      <c r="C266" s="393"/>
      <c r="D266" s="2486"/>
      <c r="E266" s="2228"/>
      <c r="F266" s="2407" t="str">
        <f>INDEX(PT_DIFFERENTIATION_VTAR,MATCH(A266,PT_DIFFERENTIATION_VTAR_ID,0))</f>
        <v>Тариф на подключение (технологическое присоединение) к централизованной системе водоотведения</v>
      </c>
      <c r="G266" s="2451" t="str">
        <f>INDEX(PT_DIFFERENTIATION_NTAR,MATCH(B266,PT_DIFFERENTIATION_NTAR_ID,0))</f>
        <v/>
      </c>
      <c r="H266" s="1886"/>
      <c r="I266" s="1763"/>
      <c r="J266" s="1797"/>
      <c r="K266" s="1802"/>
      <c r="L266" s="1886" t="s">
        <v>390</v>
      </c>
      <c r="M266" s="365"/>
      <c r="N266" s="358"/>
      <c r="O266" s="1648"/>
      <c r="P266" s="1648"/>
      <c r="AH266" s="1655">
        <v>0</v>
      </c>
    </row>
    <row s="1659" customFormat="1" customHeight="1" ht="18.75" hidden="1">
      <c r="A267" s="1804"/>
      <c r="B267" s="1804"/>
      <c r="C267" s="393" t="s">
        <v>1483</v>
      </c>
      <c r="D267" s="2486"/>
      <c r="E267" s="2228"/>
      <c r="F267" s="2407"/>
      <c r="G267" s="2451"/>
      <c r="H267" s="1524"/>
      <c r="I267" s="675" t="s">
        <v>1482</v>
      </c>
      <c r="J267" s="595"/>
      <c r="K267" s="1524"/>
      <c r="L267" s="238"/>
      <c r="M267" s="365"/>
      <c r="N267" s="358"/>
      <c r="O267" s="1648"/>
      <c r="P267" s="1648"/>
      <c r="AH267" s="1655">
        <v>0</v>
      </c>
    </row>
    <row s="1659" customFormat="1" customHeight="1" ht="1.05">
      <c r="A268" s="1804"/>
      <c r="B268" s="1804"/>
      <c r="C268" s="393" t="s">
        <v>1490</v>
      </c>
      <c r="D268" s="2486"/>
      <c r="E268" s="2228"/>
      <c r="F268" s="2407"/>
      <c r="G268" s="424"/>
      <c r="H268" s="1524"/>
      <c r="I268" s="675"/>
      <c r="J268" s="595"/>
      <c r="K268" s="1524"/>
      <c r="L268" s="238"/>
      <c r="M268" s="365"/>
      <c r="N268" s="358"/>
      <c r="O268" s="1648"/>
      <c r="P268" s="1648"/>
      <c r="AH268" s="1655">
        <v>1</v>
      </c>
    </row>
    <row customHeight="1" ht="27.299999999999997">
      <c r="A269" s="1804"/>
      <c r="B269" s="1804"/>
      <c r="D269" s="400"/>
      <c r="E269" s="171" t="s">
        <v>92</v>
      </c>
      <c r="F269" s="248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84"/>
      <c r="H269" s="2484"/>
      <c r="I269" s="2484"/>
      <c r="J269" s="2484"/>
      <c r="K269" s="2484"/>
      <c r="L269" s="2484"/>
      <c r="M269" s="321"/>
      <c r="N269" s="358"/>
      <c r="AH269" s="398">
        <v>26</v>
      </c>
    </row>
    <row s="1659" customFormat="1" customHeight="1" ht="60.75" hidden="1">
      <c r="A270" s="1804" t="s">
        <v>241</v>
      </c>
      <c r="B270" s="1804" t="s">
        <v>242</v>
      </c>
      <c r="C270" s="393"/>
      <c r="D270" s="2486"/>
      <c r="E270" s="2228"/>
      <c r="F270" s="240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51" t="str">
        <f>INDEX(PT_DIFFERENTIATION_NTAR,MATCH(B270,PT_DIFFERENTIATION_NTAR_ID,0))</f>
        <v/>
      </c>
      <c r="H270" s="1886"/>
      <c r="I270" s="1763"/>
      <c r="J270" s="1797"/>
      <c r="K270" s="1802"/>
      <c r="L270" s="1886" t="s">
        <v>390</v>
      </c>
      <c r="M270" s="219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58"/>
      <c r="O270" s="1648"/>
      <c r="P270" s="1648"/>
      <c r="AH270" s="1655">
        <v>0</v>
      </c>
    </row>
    <row s="1659" customFormat="1" customHeight="1" ht="18.75" hidden="1">
      <c r="A271" s="1804"/>
      <c r="B271" s="1804"/>
      <c r="C271" s="393" t="s">
        <v>1483</v>
      </c>
      <c r="D271" s="2486"/>
      <c r="E271" s="2228"/>
      <c r="F271" s="2407"/>
      <c r="G271" s="2451"/>
      <c r="H271" s="1524"/>
      <c r="I271" s="675" t="s">
        <v>1482</v>
      </c>
      <c r="J271" s="595"/>
      <c r="K271" s="1524"/>
      <c r="L271" s="238"/>
      <c r="M271" s="2194"/>
      <c r="N271" s="358"/>
      <c r="O271" s="1648"/>
      <c r="P271" s="1648"/>
      <c r="AH271" s="1655">
        <v>0</v>
      </c>
    </row>
    <row s="1659" customFormat="1" customHeight="1" ht="0.75" hidden="1">
      <c r="A272" s="1804"/>
      <c r="B272" s="1804"/>
      <c r="C272" s="393" t="s">
        <v>1490</v>
      </c>
      <c r="D272" s="2486"/>
      <c r="E272" s="2228"/>
      <c r="F272" s="2407"/>
      <c r="G272" s="424"/>
      <c r="H272" s="1524"/>
      <c r="I272" s="675"/>
      <c r="J272" s="595"/>
      <c r="K272" s="1524"/>
      <c r="L272" s="238"/>
      <c r="M272" s="2194"/>
      <c r="N272" s="358"/>
      <c r="O272" s="1648"/>
      <c r="P272" s="1648"/>
      <c r="AH272" s="1655">
        <v>0</v>
      </c>
    </row>
    <row s="1659" customFormat="1" customHeight="1" ht="45" hidden="1">
      <c r="A273" s="1804" t="s">
        <v>246</v>
      </c>
      <c r="B273" s="1804" t="s">
        <v>247</v>
      </c>
      <c r="C273" s="393"/>
      <c r="D273" s="2486"/>
      <c r="E273" s="2228"/>
      <c r="F273" s="2407" t="str">
        <f>INDEX(PT_DIFFERENTIATION_VTAR,MATCH(A273,PT_DIFFERENTIATION_VTAR_ID,0))</f>
        <v/>
      </c>
      <c r="G273" s="2451" t="str">
        <f>INDEX(PT_DIFFERENTIATION_NTAR,MATCH(B273,PT_DIFFERENTIATION_NTAR_ID,0))</f>
        <v/>
      </c>
      <c r="H273" s="1886"/>
      <c r="I273" s="1763"/>
      <c r="J273" s="1797"/>
      <c r="K273" s="1802"/>
      <c r="L273" s="1886" t="s">
        <v>390</v>
      </c>
      <c r="M273" s="2195"/>
      <c r="N273" s="358"/>
      <c r="O273" s="1648"/>
      <c r="P273" s="1648"/>
      <c r="AH273" s="1655">
        <v>0</v>
      </c>
    </row>
    <row s="1659" customFormat="1" customHeight="1" ht="18.75" hidden="1">
      <c r="A274" s="1804"/>
      <c r="B274" s="1804"/>
      <c r="C274" s="393" t="s">
        <v>1483</v>
      </c>
      <c r="D274" s="2486"/>
      <c r="E274" s="2228"/>
      <c r="F274" s="2407"/>
      <c r="G274" s="2451"/>
      <c r="H274" s="1524"/>
      <c r="I274" s="675" t="s">
        <v>1482</v>
      </c>
      <c r="J274" s="595"/>
      <c r="K274" s="1524"/>
      <c r="L274" s="238"/>
      <c r="M274" s="1885"/>
      <c r="N274" s="358"/>
      <c r="O274" s="1648"/>
      <c r="P274" s="1648"/>
      <c r="AH274" s="1655">
        <v>0</v>
      </c>
    </row>
    <row s="1659" customFormat="1" customHeight="1" ht="0.75" hidden="1">
      <c r="A275" s="1804"/>
      <c r="B275" s="1804"/>
      <c r="C275" s="393" t="s">
        <v>1490</v>
      </c>
      <c r="D275" s="2486"/>
      <c r="E275" s="2228"/>
      <c r="F275" s="2407"/>
      <c r="G275" s="424"/>
      <c r="H275" s="1524"/>
      <c r="I275" s="675"/>
      <c r="J275" s="595"/>
      <c r="K275" s="1524"/>
      <c r="L275" s="238"/>
      <c r="M275" s="365"/>
      <c r="N275" s="358"/>
      <c r="O275" s="1648"/>
      <c r="P275" s="1648"/>
      <c r="AH275" s="1655">
        <v>0</v>
      </c>
    </row>
    <row s="1659" customFormat="1" customHeight="1" ht="45" hidden="1">
      <c r="A276" s="1804" t="s">
        <v>253</v>
      </c>
      <c r="B276" s="1804" t="s">
        <v>254</v>
      </c>
      <c r="C276" s="393"/>
      <c r="D276" s="2486"/>
      <c r="E276" s="2228"/>
      <c r="F276" s="240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51" t="str">
        <f>INDEX(PT_DIFFERENTIATION_NTAR,MATCH(B276,PT_DIFFERENTIATION_NTAR_ID,0))</f>
        <v/>
      </c>
      <c r="H276" s="1886"/>
      <c r="I276" s="1763"/>
      <c r="J276" s="1797"/>
      <c r="K276" s="1802"/>
      <c r="L276" s="1886" t="s">
        <v>390</v>
      </c>
      <c r="M276" s="365"/>
      <c r="N276" s="358"/>
      <c r="O276" s="1648"/>
      <c r="P276" s="1648"/>
      <c r="AH276" s="1655">
        <v>0</v>
      </c>
    </row>
    <row s="1659" customFormat="1" customHeight="1" ht="18.75" hidden="1">
      <c r="A277" s="1804"/>
      <c r="B277" s="1804"/>
      <c r="C277" s="393" t="s">
        <v>1483</v>
      </c>
      <c r="D277" s="2486"/>
      <c r="E277" s="2228"/>
      <c r="F277" s="2407"/>
      <c r="G277" s="2451"/>
      <c r="H277" s="1524"/>
      <c r="I277" s="675" t="s">
        <v>1482</v>
      </c>
      <c r="J277" s="595"/>
      <c r="K277" s="1524"/>
      <c r="L277" s="238"/>
      <c r="M277" s="365"/>
      <c r="N277" s="358"/>
      <c r="O277" s="1648"/>
      <c r="P277" s="1648"/>
      <c r="AH277" s="1655">
        <v>0</v>
      </c>
    </row>
    <row s="1659" customFormat="1" customHeight="1" ht="0.75" hidden="1">
      <c r="A278" s="1804"/>
      <c r="B278" s="1804"/>
      <c r="C278" s="393" t="s">
        <v>1490</v>
      </c>
      <c r="D278" s="2486"/>
      <c r="E278" s="2228"/>
      <c r="F278" s="2407"/>
      <c r="G278" s="424"/>
      <c r="H278" s="1524"/>
      <c r="I278" s="675"/>
      <c r="J278" s="595"/>
      <c r="K278" s="1524"/>
      <c r="L278" s="238"/>
      <c r="M278" s="365"/>
      <c r="N278" s="358"/>
      <c r="O278" s="1648"/>
      <c r="P278" s="1648"/>
      <c r="AH278" s="1655">
        <v>0</v>
      </c>
    </row>
    <row s="1659" customFormat="1" customHeight="1" ht="45" hidden="1">
      <c r="A279" s="1804" t="s">
        <v>259</v>
      </c>
      <c r="B279" s="1804" t="s">
        <v>260</v>
      </c>
      <c r="C279" s="393"/>
      <c r="D279" s="2486"/>
      <c r="E279" s="2228"/>
      <c r="F279" s="240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51" t="str">
        <f>INDEX(PT_DIFFERENTIATION_NTAR,MATCH(B279,PT_DIFFERENTIATION_NTAR_ID,0))</f>
        <v/>
      </c>
      <c r="H279" s="1886"/>
      <c r="I279" s="1763"/>
      <c r="J279" s="1797"/>
      <c r="K279" s="1802"/>
      <c r="L279" s="1886" t="s">
        <v>390</v>
      </c>
      <c r="M279" s="365"/>
      <c r="N279" s="358"/>
      <c r="O279" s="1648"/>
      <c r="P279" s="1648"/>
      <c r="AH279" s="1655">
        <v>0</v>
      </c>
    </row>
    <row s="1659" customFormat="1" customHeight="1" ht="18.75" hidden="1">
      <c r="A280" s="1804"/>
      <c r="B280" s="1804"/>
      <c r="C280" s="393" t="s">
        <v>1483</v>
      </c>
      <c r="D280" s="2486"/>
      <c r="E280" s="2228"/>
      <c r="F280" s="2407"/>
      <c r="G280" s="2451"/>
      <c r="H280" s="1524"/>
      <c r="I280" s="675" t="s">
        <v>1482</v>
      </c>
      <c r="J280" s="595"/>
      <c r="K280" s="1524"/>
      <c r="L280" s="238"/>
      <c r="M280" s="365"/>
      <c r="N280" s="358"/>
      <c r="O280" s="1648"/>
      <c r="P280" s="1648"/>
      <c r="AH280" s="1655">
        <v>0</v>
      </c>
    </row>
    <row s="1659" customFormat="1" customHeight="1" ht="0.75" hidden="1">
      <c r="A281" s="1804"/>
      <c r="B281" s="1804"/>
      <c r="C281" s="393" t="s">
        <v>1490</v>
      </c>
      <c r="D281" s="2486"/>
      <c r="E281" s="2228"/>
      <c r="F281" s="2407"/>
      <c r="G281" s="424"/>
      <c r="H281" s="1524"/>
      <c r="I281" s="675"/>
      <c r="J281" s="595"/>
      <c r="K281" s="1524"/>
      <c r="L281" s="238"/>
      <c r="M281" s="365"/>
      <c r="N281" s="358"/>
      <c r="O281" s="1648"/>
      <c r="P281" s="1648"/>
      <c r="AH281" s="1655">
        <v>0</v>
      </c>
    </row>
    <row s="1659" customFormat="1" customHeight="1" ht="18.75" hidden="1">
      <c r="A282" s="1804" t="s">
        <v>265</v>
      </c>
      <c r="B282" s="1804" t="s">
        <v>266</v>
      </c>
      <c r="C282" s="393"/>
      <c r="D282" s="2486"/>
      <c r="E282" s="2228"/>
      <c r="F282" s="2407" t="str">
        <f>INDEX(PT_DIFFERENTIATION_VTAR,MATCH(A282,PT_DIFFERENTIATION_VTAR_ID,0))</f>
        <v>Тарифы на услуги по передаче тепловой энергии</v>
      </c>
      <c r="G282" s="2451" t="str">
        <f>INDEX(PT_DIFFERENTIATION_NTAR,MATCH(B282,PT_DIFFERENTIATION_NTAR_ID,0))</f>
        <v/>
      </c>
      <c r="H282" s="1886"/>
      <c r="I282" s="1763"/>
      <c r="J282" s="1797"/>
      <c r="K282" s="1802"/>
      <c r="L282" s="1886" t="s">
        <v>390</v>
      </c>
      <c r="M282" s="365"/>
      <c r="N282" s="358"/>
      <c r="O282" s="1648"/>
      <c r="P282" s="1648"/>
      <c r="AH282" s="1655">
        <v>0</v>
      </c>
    </row>
    <row s="1659" customFormat="1" customHeight="1" ht="18.75" hidden="1">
      <c r="A283" s="1804"/>
      <c r="B283" s="1804"/>
      <c r="C283" s="393" t="s">
        <v>1483</v>
      </c>
      <c r="D283" s="2486"/>
      <c r="E283" s="2228"/>
      <c r="F283" s="2407"/>
      <c r="G283" s="2451"/>
      <c r="H283" s="1524"/>
      <c r="I283" s="675" t="s">
        <v>1482</v>
      </c>
      <c r="J283" s="595"/>
      <c r="K283" s="1524"/>
      <c r="L283" s="238"/>
      <c r="M283" s="365"/>
      <c r="N283" s="358"/>
      <c r="O283" s="1648"/>
      <c r="P283" s="1648"/>
      <c r="AH283" s="1655">
        <v>0</v>
      </c>
    </row>
    <row s="1659" customFormat="1" customHeight="1" ht="0.75" hidden="1">
      <c r="A284" s="1804"/>
      <c r="B284" s="1804"/>
      <c r="C284" s="393" t="s">
        <v>1490</v>
      </c>
      <c r="D284" s="2486"/>
      <c r="E284" s="2228"/>
      <c r="F284" s="2407"/>
      <c r="G284" s="424"/>
      <c r="H284" s="1524"/>
      <c r="I284" s="675"/>
      <c r="J284" s="595"/>
      <c r="K284" s="1524"/>
      <c r="L284" s="238"/>
      <c r="M284" s="365"/>
      <c r="N284" s="358"/>
      <c r="O284" s="1648"/>
      <c r="P284" s="1648"/>
      <c r="AH284" s="1655">
        <v>0</v>
      </c>
    </row>
    <row s="1659" customFormat="1" customHeight="1" ht="18.75" hidden="1">
      <c r="A285" s="1804" t="s">
        <v>271</v>
      </c>
      <c r="B285" s="1804" t="s">
        <v>272</v>
      </c>
      <c r="C285" s="393"/>
      <c r="D285" s="2486"/>
      <c r="E285" s="2228"/>
      <c r="F285" s="2407" t="str">
        <f>INDEX(PT_DIFFERENTIATION_VTAR,MATCH(A285,PT_DIFFERENTIATION_VTAR_ID,0))</f>
        <v>Тарифы на услуги по передаче теплоносителя</v>
      </c>
      <c r="G285" s="2451" t="str">
        <f>INDEX(PT_DIFFERENTIATION_NTAR,MATCH(B285,PT_DIFFERENTIATION_NTAR_ID,0))</f>
        <v/>
      </c>
      <c r="H285" s="1886"/>
      <c r="I285" s="1763"/>
      <c r="J285" s="1797"/>
      <c r="K285" s="1802"/>
      <c r="L285" s="1886" t="s">
        <v>390</v>
      </c>
      <c r="M285" s="365"/>
      <c r="N285" s="358"/>
      <c r="O285" s="1648"/>
      <c r="P285" s="1648"/>
      <c r="AH285" s="1655">
        <v>0</v>
      </c>
    </row>
    <row s="1659" customFormat="1" customHeight="1" ht="18.75" hidden="1">
      <c r="A286" s="1804"/>
      <c r="B286" s="1804"/>
      <c r="C286" s="393" t="s">
        <v>1483</v>
      </c>
      <c r="D286" s="2486"/>
      <c r="E286" s="2228"/>
      <c r="F286" s="2407"/>
      <c r="G286" s="2451"/>
      <c r="H286" s="1524"/>
      <c r="I286" s="675" t="s">
        <v>1482</v>
      </c>
      <c r="J286" s="595"/>
      <c r="K286" s="1524"/>
      <c r="L286" s="238"/>
      <c r="M286" s="365"/>
      <c r="N286" s="358"/>
      <c r="O286" s="1648"/>
      <c r="P286" s="1648"/>
      <c r="AH286" s="1655">
        <v>0</v>
      </c>
    </row>
    <row s="1659" customFormat="1" customHeight="1" ht="0.75" hidden="1">
      <c r="A287" s="1804"/>
      <c r="B287" s="1804"/>
      <c r="C287" s="393" t="s">
        <v>1490</v>
      </c>
      <c r="D287" s="2486"/>
      <c r="E287" s="2228"/>
      <c r="F287" s="2407"/>
      <c r="G287" s="424"/>
      <c r="H287" s="1524"/>
      <c r="I287" s="675"/>
      <c r="J287" s="595"/>
      <c r="K287" s="1524"/>
      <c r="L287" s="238"/>
      <c r="M287" s="365"/>
      <c r="N287" s="358"/>
      <c r="O287" s="1648"/>
      <c r="P287" s="1648"/>
      <c r="AH287" s="1655">
        <v>0</v>
      </c>
    </row>
    <row s="1659" customFormat="1" customHeight="1" ht="18.75" hidden="1">
      <c r="A288" s="1804" t="s">
        <v>277</v>
      </c>
      <c r="B288" s="1804" t="s">
        <v>278</v>
      </c>
      <c r="C288" s="393"/>
      <c r="D288" s="2486"/>
      <c r="E288" s="2228"/>
      <c r="F288" s="240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51" t="str">
        <f>INDEX(PT_DIFFERENTIATION_NTAR,MATCH(B288,PT_DIFFERENTIATION_NTAR_ID,0))</f>
        <v/>
      </c>
      <c r="H288" s="1886"/>
      <c r="I288" s="1763"/>
      <c r="J288" s="1797"/>
      <c r="K288" s="1802"/>
      <c r="L288" s="1886" t="s">
        <v>390</v>
      </c>
      <c r="M288" s="365"/>
      <c r="N288" s="358"/>
      <c r="O288" s="1648"/>
      <c r="P288" s="1648"/>
      <c r="AH288" s="1655">
        <v>0</v>
      </c>
    </row>
    <row s="1659" customFormat="1" customHeight="1" ht="18.75" hidden="1">
      <c r="A289" s="1804"/>
      <c r="B289" s="1804"/>
      <c r="C289" s="393" t="s">
        <v>1483</v>
      </c>
      <c r="D289" s="2486"/>
      <c r="E289" s="2228"/>
      <c r="F289" s="2407"/>
      <c r="G289" s="2451"/>
      <c r="H289" s="1524"/>
      <c r="I289" s="675" t="s">
        <v>1482</v>
      </c>
      <c r="J289" s="595"/>
      <c r="K289" s="1524"/>
      <c r="L289" s="238"/>
      <c r="M289" s="365"/>
      <c r="N289" s="358"/>
      <c r="O289" s="1648"/>
      <c r="P289" s="1648"/>
      <c r="AH289" s="1655">
        <v>0</v>
      </c>
    </row>
    <row s="1659" customFormat="1" customHeight="1" ht="0.75" hidden="1">
      <c r="A290" s="1804"/>
      <c r="B290" s="1804"/>
      <c r="C290" s="393" t="s">
        <v>1490</v>
      </c>
      <c r="D290" s="2486"/>
      <c r="E290" s="2228"/>
      <c r="F290" s="2407"/>
      <c r="G290" s="424"/>
      <c r="H290" s="1524"/>
      <c r="I290" s="675"/>
      <c r="J290" s="595"/>
      <c r="K290" s="1524"/>
      <c r="L290" s="238"/>
      <c r="M290" s="365"/>
      <c r="N290" s="358"/>
      <c r="O290" s="1648"/>
      <c r="P290" s="1648"/>
      <c r="AH290" s="1655">
        <v>0</v>
      </c>
    </row>
    <row s="1659" customFormat="1" customHeight="1" ht="18.75" hidden="1">
      <c r="A291" s="1804" t="s">
        <v>283</v>
      </c>
      <c r="B291" s="1804" t="s">
        <v>284</v>
      </c>
      <c r="C291" s="393"/>
      <c r="D291" s="2486"/>
      <c r="E291" s="2228"/>
      <c r="F291" s="2407" t="str">
        <f>INDEX(PT_DIFFERENTIATION_VTAR,MATCH(A291,PT_DIFFERENTIATION_VTAR_ID,0))</f>
        <v>Плата за подключение (технологическое присоединение) к системе теплоснабжения</v>
      </c>
      <c r="G291" s="2451" t="str">
        <f>INDEX(PT_DIFFERENTIATION_NTAR,MATCH(B291,PT_DIFFERENTIATION_NTAR_ID,0))</f>
        <v/>
      </c>
      <c r="H291" s="1886"/>
      <c r="I291" s="1763"/>
      <c r="J291" s="1797"/>
      <c r="K291" s="1802"/>
      <c r="L291" s="1886" t="s">
        <v>390</v>
      </c>
      <c r="M291" s="365"/>
      <c r="N291" s="358"/>
      <c r="O291" s="1648"/>
      <c r="P291" s="1648"/>
      <c r="AH291" s="1655">
        <v>0</v>
      </c>
    </row>
    <row s="1659" customFormat="1" customHeight="1" ht="18.75" hidden="1">
      <c r="A292" s="1804"/>
      <c r="B292" s="1804"/>
      <c r="C292" s="393" t="s">
        <v>1483</v>
      </c>
      <c r="D292" s="2486"/>
      <c r="E292" s="2228"/>
      <c r="F292" s="2407"/>
      <c r="G292" s="2451"/>
      <c r="H292" s="1524"/>
      <c r="I292" s="675" t="s">
        <v>1482</v>
      </c>
      <c r="J292" s="595"/>
      <c r="K292" s="1524"/>
      <c r="L292" s="238"/>
      <c r="M292" s="365"/>
      <c r="N292" s="358"/>
      <c r="O292" s="1648"/>
      <c r="P292" s="1648"/>
      <c r="AH292" s="1655">
        <v>0</v>
      </c>
    </row>
    <row s="1659" customFormat="1" customHeight="1" ht="0.75" hidden="1">
      <c r="A293" s="1804"/>
      <c r="B293" s="1804"/>
      <c r="C293" s="393" t="s">
        <v>1490</v>
      </c>
      <c r="D293" s="2486"/>
      <c r="E293" s="2228"/>
      <c r="F293" s="2407"/>
      <c r="G293" s="424"/>
      <c r="H293" s="1524"/>
      <c r="I293" s="675"/>
      <c r="J293" s="595"/>
      <c r="K293" s="1524"/>
      <c r="L293" s="238"/>
      <c r="M293" s="365"/>
      <c r="N293" s="358"/>
      <c r="O293" s="1648"/>
      <c r="P293" s="1648"/>
      <c r="AH293" s="1655">
        <v>0</v>
      </c>
    </row>
    <row s="1659" customFormat="1" customHeight="1" ht="18.75" hidden="1">
      <c r="A294" s="1804" t="s">
        <v>289</v>
      </c>
      <c r="B294" s="1804" t="s">
        <v>290</v>
      </c>
      <c r="C294" s="393"/>
      <c r="D294" s="2486"/>
      <c r="E294" s="2228"/>
      <c r="F294" s="2407" t="str">
        <f>INDEX(PT_DIFFERENTIATION_VTAR,MATCH(A294,PT_DIFFERENTIATION_VTAR_ID,0))</f>
        <v>Плата за подключение (технологическое присоединение) к системе теплоснабжения (индивидуальная)</v>
      </c>
      <c r="G294" s="2451" t="str">
        <f>INDEX(PT_DIFFERENTIATION_NTAR,MATCH(B294,PT_DIFFERENTIATION_NTAR_ID,0))</f>
        <v/>
      </c>
      <c r="H294" s="2013"/>
      <c r="I294" s="1763"/>
      <c r="J294" s="1797"/>
      <c r="K294" s="1802"/>
      <c r="L294" s="2013" t="s">
        <v>390</v>
      </c>
      <c r="M294" s="365"/>
      <c r="N294" s="358"/>
      <c r="O294" s="1648"/>
      <c r="P294" s="1648"/>
      <c r="AH294" s="1655">
        <v>0</v>
      </c>
    </row>
    <row s="1659" customFormat="1" customHeight="1" ht="18.75" hidden="1">
      <c r="A295" s="1804"/>
      <c r="B295" s="1804"/>
      <c r="C295" s="393" t="s">
        <v>1483</v>
      </c>
      <c r="D295" s="2486"/>
      <c r="E295" s="2228"/>
      <c r="F295" s="2407"/>
      <c r="G295" s="2451"/>
      <c r="H295" s="1524"/>
      <c r="I295" s="675" t="s">
        <v>1482</v>
      </c>
      <c r="J295" s="595"/>
      <c r="K295" s="1524"/>
      <c r="L295" s="238"/>
      <c r="M295" s="365"/>
      <c r="N295" s="358"/>
      <c r="O295" s="1648"/>
      <c r="P295" s="1648"/>
      <c r="AH295" s="1655">
        <v>0</v>
      </c>
    </row>
    <row s="1659" customFormat="1" customHeight="1" ht="0.75" hidden="1">
      <c r="A296" s="1804"/>
      <c r="B296" s="1804"/>
      <c r="C296" s="393" t="s">
        <v>1490</v>
      </c>
      <c r="D296" s="2486"/>
      <c r="E296" s="2228"/>
      <c r="F296" s="2407"/>
      <c r="G296" s="424"/>
      <c r="H296" s="1524"/>
      <c r="I296" s="675"/>
      <c r="J296" s="595"/>
      <c r="K296" s="1524"/>
      <c r="L296" s="238"/>
      <c r="M296" s="365"/>
      <c r="N296" s="358"/>
      <c r="O296" s="1648"/>
      <c r="P296" s="1648"/>
      <c r="AH296" s="1655">
        <v>0</v>
      </c>
    </row>
    <row s="1659" customFormat="1" customHeight="1" ht="18.75" hidden="1">
      <c r="A297" s="1804" t="s">
        <v>309</v>
      </c>
      <c r="B297" s="1804" t="s">
        <v>310</v>
      </c>
      <c r="C297" s="393"/>
      <c r="D297" s="2486"/>
      <c r="E297" s="2228"/>
      <c r="F297" s="2407" t="str">
        <f>INDEX(PT_DIFFERENTIATION_VTAR,MATCH(A297,PT_DIFFERENTIATION_VTAR_ID,0))</f>
        <v>Тариф на питьевую воду (питьевое водоснабжение)</v>
      </c>
      <c r="G297" s="2451" t="str">
        <f>INDEX(PT_DIFFERENTIATION_NTAR,MATCH(B297,PT_DIFFERENTIATION_NTAR_ID,0))</f>
        <v/>
      </c>
      <c r="H297" s="1886"/>
      <c r="I297" s="1763"/>
      <c r="J297" s="1797"/>
      <c r="K297" s="1802"/>
      <c r="L297" s="1886" t="s">
        <v>390</v>
      </c>
      <c r="M297" s="365"/>
      <c r="N297" s="358"/>
      <c r="O297" s="1648"/>
      <c r="P297" s="1648"/>
      <c r="AH297" s="1655">
        <v>0</v>
      </c>
    </row>
    <row s="1659" customFormat="1" customHeight="1" ht="18.75" hidden="1">
      <c r="A298" s="1804"/>
      <c r="B298" s="1804"/>
      <c r="C298" s="393" t="s">
        <v>1483</v>
      </c>
      <c r="D298" s="2486"/>
      <c r="E298" s="2228"/>
      <c r="F298" s="2407"/>
      <c r="G298" s="2451"/>
      <c r="H298" s="1524"/>
      <c r="I298" s="675" t="s">
        <v>1482</v>
      </c>
      <c r="J298" s="595"/>
      <c r="K298" s="1524"/>
      <c r="L298" s="238"/>
      <c r="M298" s="365"/>
      <c r="N298" s="358"/>
      <c r="O298" s="1648"/>
      <c r="P298" s="1648"/>
      <c r="AH298" s="1655">
        <v>0</v>
      </c>
    </row>
    <row s="1659" customFormat="1" customHeight="1" ht="0.75" hidden="1">
      <c r="A299" s="1804"/>
      <c r="B299" s="1804"/>
      <c r="C299" s="393" t="s">
        <v>1490</v>
      </c>
      <c r="D299" s="2486"/>
      <c r="E299" s="2228"/>
      <c r="F299" s="2407"/>
      <c r="G299" s="424"/>
      <c r="H299" s="1524"/>
      <c r="I299" s="675"/>
      <c r="J299" s="595"/>
      <c r="K299" s="1524"/>
      <c r="L299" s="238"/>
      <c r="M299" s="365"/>
      <c r="N299" s="358"/>
      <c r="O299" s="1648"/>
      <c r="P299" s="1648"/>
      <c r="AH299" s="1655">
        <v>0</v>
      </c>
    </row>
    <row s="1659" customFormat="1" customHeight="1" ht="18.75" hidden="1">
      <c r="A300" s="1804" t="s">
        <v>314</v>
      </c>
      <c r="B300" s="1804" t="s">
        <v>315</v>
      </c>
      <c r="C300" s="393"/>
      <c r="D300" s="2486"/>
      <c r="E300" s="2228"/>
      <c r="F300" s="2407" t="str">
        <f>INDEX(PT_DIFFERENTIATION_VTAR,MATCH(A300,PT_DIFFERENTIATION_VTAR_ID,0))</f>
        <v>Тариф на техническую воду</v>
      </c>
      <c r="G300" s="2451" t="str">
        <f>INDEX(PT_DIFFERENTIATION_NTAR,MATCH(B300,PT_DIFFERENTIATION_NTAR_ID,0))</f>
        <v/>
      </c>
      <c r="H300" s="1886"/>
      <c r="I300" s="1763"/>
      <c r="J300" s="1797"/>
      <c r="K300" s="1802"/>
      <c r="L300" s="1886" t="s">
        <v>390</v>
      </c>
      <c r="M300" s="365"/>
      <c r="N300" s="358"/>
      <c r="O300" s="1648"/>
      <c r="P300" s="1648"/>
      <c r="AH300" s="1655">
        <v>0</v>
      </c>
    </row>
    <row s="1659" customFormat="1" customHeight="1" ht="18.75" hidden="1">
      <c r="A301" s="1804"/>
      <c r="B301" s="1804"/>
      <c r="C301" s="393" t="s">
        <v>1483</v>
      </c>
      <c r="D301" s="2486"/>
      <c r="E301" s="2228"/>
      <c r="F301" s="2407"/>
      <c r="G301" s="2451"/>
      <c r="H301" s="1524"/>
      <c r="I301" s="675" t="s">
        <v>1482</v>
      </c>
      <c r="J301" s="595"/>
      <c r="K301" s="1524"/>
      <c r="L301" s="238"/>
      <c r="M301" s="365"/>
      <c r="N301" s="358"/>
      <c r="O301" s="1648"/>
      <c r="P301" s="1648"/>
      <c r="AH301" s="1655">
        <v>0</v>
      </c>
    </row>
    <row s="1659" customFormat="1" customHeight="1" ht="0.75" hidden="1">
      <c r="A302" s="1804"/>
      <c r="B302" s="1804"/>
      <c r="C302" s="393" t="s">
        <v>1490</v>
      </c>
      <c r="D302" s="2486"/>
      <c r="E302" s="2228"/>
      <c r="F302" s="2407"/>
      <c r="G302" s="424"/>
      <c r="H302" s="1524"/>
      <c r="I302" s="675"/>
      <c r="J302" s="595"/>
      <c r="K302" s="1524"/>
      <c r="L302" s="238"/>
      <c r="M302" s="365"/>
      <c r="N302" s="358"/>
      <c r="O302" s="1648"/>
      <c r="P302" s="1648"/>
      <c r="AH302" s="1655">
        <v>0</v>
      </c>
    </row>
    <row s="1659" customFormat="1" customHeight="1" ht="18.75" hidden="1">
      <c r="A303" s="1804" t="s">
        <v>319</v>
      </c>
      <c r="B303" s="1804" t="s">
        <v>320</v>
      </c>
      <c r="C303" s="393"/>
      <c r="D303" s="2486"/>
      <c r="E303" s="2228"/>
      <c r="F303" s="2407" t="str">
        <f>INDEX(PT_DIFFERENTIATION_VTAR,MATCH(A303,PT_DIFFERENTIATION_VTAR_ID,0))</f>
        <v>Тариф на транспортировку воды</v>
      </c>
      <c r="G303" s="2451" t="str">
        <f>INDEX(PT_DIFFERENTIATION_NTAR,MATCH(B303,PT_DIFFERENTIATION_NTAR_ID,0))</f>
        <v/>
      </c>
      <c r="H303" s="1886"/>
      <c r="I303" s="1763"/>
      <c r="J303" s="1797"/>
      <c r="K303" s="1802"/>
      <c r="L303" s="1886" t="s">
        <v>390</v>
      </c>
      <c r="M303" s="365"/>
      <c r="N303" s="358"/>
      <c r="O303" s="1648"/>
      <c r="P303" s="1648"/>
      <c r="AH303" s="1655">
        <v>0</v>
      </c>
    </row>
    <row s="1659" customFormat="1" customHeight="1" ht="18.75" hidden="1">
      <c r="A304" s="1804"/>
      <c r="B304" s="1804"/>
      <c r="C304" s="393" t="s">
        <v>1483</v>
      </c>
      <c r="D304" s="2486"/>
      <c r="E304" s="2228"/>
      <c r="F304" s="2407"/>
      <c r="G304" s="2451"/>
      <c r="H304" s="1524"/>
      <c r="I304" s="675" t="s">
        <v>1482</v>
      </c>
      <c r="J304" s="595"/>
      <c r="K304" s="1524"/>
      <c r="L304" s="238"/>
      <c r="M304" s="365"/>
      <c r="N304" s="358"/>
      <c r="O304" s="1648"/>
      <c r="P304" s="1648"/>
      <c r="AH304" s="1655">
        <v>0</v>
      </c>
    </row>
    <row s="1659" customFormat="1" customHeight="1" ht="0.75" hidden="1">
      <c r="A305" s="1804"/>
      <c r="B305" s="1804"/>
      <c r="C305" s="393" t="s">
        <v>1490</v>
      </c>
      <c r="D305" s="2486"/>
      <c r="E305" s="2228"/>
      <c r="F305" s="2407"/>
      <c r="G305" s="424"/>
      <c r="H305" s="1524"/>
      <c r="I305" s="675"/>
      <c r="J305" s="595"/>
      <c r="K305" s="1524"/>
      <c r="L305" s="238"/>
      <c r="M305" s="365"/>
      <c r="N305" s="358"/>
      <c r="O305" s="1648"/>
      <c r="P305" s="1648"/>
      <c r="AH305" s="1655">
        <v>0</v>
      </c>
    </row>
    <row s="1659" customFormat="1" customHeight="1" ht="18.75" hidden="1">
      <c r="A306" s="1804" t="s">
        <v>324</v>
      </c>
      <c r="B306" s="1804" t="s">
        <v>325</v>
      </c>
      <c r="C306" s="393"/>
      <c r="D306" s="2486"/>
      <c r="E306" s="2228"/>
      <c r="F306" s="2407" t="str">
        <f>INDEX(PT_DIFFERENTIATION_VTAR,MATCH(A306,PT_DIFFERENTIATION_VTAR_ID,0))</f>
        <v>Тариф на подвоз воды</v>
      </c>
      <c r="G306" s="2451" t="str">
        <f>INDEX(PT_DIFFERENTIATION_NTAR,MATCH(B306,PT_DIFFERENTIATION_NTAR_ID,0))</f>
        <v/>
      </c>
      <c r="H306" s="1886"/>
      <c r="I306" s="1763"/>
      <c r="J306" s="1797"/>
      <c r="K306" s="1802"/>
      <c r="L306" s="1886" t="s">
        <v>390</v>
      </c>
      <c r="M306" s="365"/>
      <c r="N306" s="358"/>
      <c r="O306" s="1648"/>
      <c r="P306" s="1648"/>
      <c r="AH306" s="1655">
        <v>0</v>
      </c>
    </row>
    <row s="1659" customFormat="1" customHeight="1" ht="18.75" hidden="1">
      <c r="A307" s="1804"/>
      <c r="B307" s="1804"/>
      <c r="C307" s="393" t="s">
        <v>1483</v>
      </c>
      <c r="D307" s="2486"/>
      <c r="E307" s="2228"/>
      <c r="F307" s="2407"/>
      <c r="G307" s="2451"/>
      <c r="H307" s="1524"/>
      <c r="I307" s="675" t="s">
        <v>1482</v>
      </c>
      <c r="J307" s="595"/>
      <c r="K307" s="1524"/>
      <c r="L307" s="238"/>
      <c r="M307" s="365"/>
      <c r="N307" s="358"/>
      <c r="O307" s="1648"/>
      <c r="P307" s="1648"/>
      <c r="AH307" s="1655">
        <v>0</v>
      </c>
    </row>
    <row s="1659" customFormat="1" customHeight="1" ht="0.75" hidden="1">
      <c r="A308" s="1804"/>
      <c r="B308" s="1804"/>
      <c r="C308" s="393" t="s">
        <v>1490</v>
      </c>
      <c r="D308" s="2486"/>
      <c r="E308" s="2228"/>
      <c r="F308" s="2407"/>
      <c r="G308" s="424"/>
      <c r="H308" s="1524"/>
      <c r="I308" s="675"/>
      <c r="J308" s="595"/>
      <c r="K308" s="1524"/>
      <c r="L308" s="238"/>
      <c r="M308" s="365"/>
      <c r="N308" s="358"/>
      <c r="O308" s="1648"/>
      <c r="P308" s="1648"/>
      <c r="AH308" s="1655">
        <v>0</v>
      </c>
    </row>
    <row s="1659" customFormat="1" customHeight="1" ht="18.75" hidden="1">
      <c r="A309" s="1804" t="s">
        <v>329</v>
      </c>
      <c r="B309" s="1804" t="s">
        <v>330</v>
      </c>
      <c r="C309" s="393"/>
      <c r="D309" s="2486"/>
      <c r="E309" s="2228"/>
      <c r="F309" s="240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51" t="str">
        <f>INDEX(PT_DIFFERENTIATION_NTAR,MATCH(B309,PT_DIFFERENTIATION_NTAR_ID,0))</f>
        <v/>
      </c>
      <c r="H309" s="1886"/>
      <c r="I309" s="1763"/>
      <c r="J309" s="1797"/>
      <c r="K309" s="1802"/>
      <c r="L309" s="1886" t="s">
        <v>390</v>
      </c>
      <c r="M309" s="365"/>
      <c r="N309" s="358"/>
      <c r="O309" s="1648"/>
      <c r="P309" s="1648"/>
      <c r="AH309" s="1655">
        <v>0</v>
      </c>
    </row>
    <row s="1659" customFormat="1" customHeight="1" ht="18.75" hidden="1">
      <c r="A310" s="1804"/>
      <c r="B310" s="1804"/>
      <c r="C310" s="393" t="s">
        <v>1483</v>
      </c>
      <c r="D310" s="2486"/>
      <c r="E310" s="2228"/>
      <c r="F310" s="2407"/>
      <c r="G310" s="2451"/>
      <c r="H310" s="1524"/>
      <c r="I310" s="675" t="s">
        <v>1482</v>
      </c>
      <c r="J310" s="595"/>
      <c r="K310" s="1524"/>
      <c r="L310" s="238"/>
      <c r="M310" s="365"/>
      <c r="N310" s="358"/>
      <c r="O310" s="1648"/>
      <c r="P310" s="1648"/>
      <c r="AH310" s="1655">
        <v>0</v>
      </c>
    </row>
    <row s="1659" customFormat="1" customHeight="1" ht="0.75" hidden="1">
      <c r="A311" s="1804"/>
      <c r="B311" s="1804"/>
      <c r="C311" s="393" t="s">
        <v>1490</v>
      </c>
      <c r="D311" s="2486"/>
      <c r="E311" s="2228"/>
      <c r="F311" s="2407"/>
      <c r="G311" s="424"/>
      <c r="H311" s="1524"/>
      <c r="I311" s="675"/>
      <c r="J311" s="595"/>
      <c r="K311" s="1524"/>
      <c r="L311" s="238"/>
      <c r="M311" s="365"/>
      <c r="N311" s="358"/>
      <c r="O311" s="1648"/>
      <c r="P311" s="1648"/>
      <c r="AH311" s="1655">
        <v>0</v>
      </c>
    </row>
    <row s="1659" customFormat="1" customHeight="1" ht="18.75" hidden="1">
      <c r="A312" s="1804" t="s">
        <v>334</v>
      </c>
      <c r="B312" s="1804" t="s">
        <v>335</v>
      </c>
      <c r="C312" s="393"/>
      <c r="D312" s="2486"/>
      <c r="E312" s="2228"/>
      <c r="F312" s="2407" t="str">
        <f>INDEX(PT_DIFFERENTIATION_VTAR,MATCH(A312,PT_DIFFERENTIATION_VTAR_ID,0))</f>
        <v>Тариф на горячую воду (горячее водоснабжение)</v>
      </c>
      <c r="G312" s="2451" t="str">
        <f>INDEX(PT_DIFFERENTIATION_NTAR,MATCH(B312,PT_DIFFERENTIATION_NTAR_ID,0))</f>
        <v/>
      </c>
      <c r="H312" s="1886"/>
      <c r="I312" s="1763"/>
      <c r="J312" s="1797"/>
      <c r="K312" s="1802"/>
      <c r="L312" s="1886" t="s">
        <v>390</v>
      </c>
      <c r="M312" s="365"/>
      <c r="N312" s="358"/>
      <c r="O312" s="1648"/>
      <c r="P312" s="1648"/>
      <c r="AH312" s="1655">
        <v>0</v>
      </c>
    </row>
    <row s="1659" customFormat="1" customHeight="1" ht="18.75" hidden="1">
      <c r="A313" s="1804"/>
      <c r="B313" s="1804"/>
      <c r="C313" s="393" t="s">
        <v>1483</v>
      </c>
      <c r="D313" s="2486"/>
      <c r="E313" s="2228"/>
      <c r="F313" s="2407"/>
      <c r="G313" s="2451"/>
      <c r="H313" s="1524"/>
      <c r="I313" s="675" t="s">
        <v>1482</v>
      </c>
      <c r="J313" s="595"/>
      <c r="K313" s="1524"/>
      <c r="L313" s="238"/>
      <c r="M313" s="365"/>
      <c r="N313" s="358"/>
      <c r="O313" s="1648"/>
      <c r="P313" s="1648"/>
      <c r="AH313" s="1655">
        <v>0</v>
      </c>
    </row>
    <row s="1659" customFormat="1" customHeight="1" ht="0.75" hidden="1">
      <c r="A314" s="1804"/>
      <c r="B314" s="1804"/>
      <c r="C314" s="393" t="s">
        <v>1490</v>
      </c>
      <c r="D314" s="2486"/>
      <c r="E314" s="2228"/>
      <c r="F314" s="2407"/>
      <c r="G314" s="424"/>
      <c r="H314" s="1524"/>
      <c r="I314" s="675"/>
      <c r="J314" s="595"/>
      <c r="K314" s="1524"/>
      <c r="L314" s="238"/>
      <c r="M314" s="365"/>
      <c r="N314" s="358"/>
      <c r="O314" s="1648"/>
      <c r="P314" s="1648"/>
      <c r="AH314" s="1655">
        <v>0</v>
      </c>
    </row>
    <row s="1659" customFormat="1" customHeight="1" ht="18.75" hidden="1">
      <c r="A315" s="1804" t="s">
        <v>339</v>
      </c>
      <c r="B315" s="1804" t="s">
        <v>340</v>
      </c>
      <c r="C315" s="393"/>
      <c r="D315" s="2486"/>
      <c r="E315" s="2228"/>
      <c r="F315" s="2407" t="str">
        <f>INDEX(PT_DIFFERENTIATION_VTAR,MATCH(A315,PT_DIFFERENTIATION_VTAR_ID,0))</f>
        <v>Тариф на транспортировку горячей воды</v>
      </c>
      <c r="G315" s="2451" t="str">
        <f>INDEX(PT_DIFFERENTIATION_NTAR,MATCH(B315,PT_DIFFERENTIATION_NTAR_ID,0))</f>
        <v/>
      </c>
      <c r="H315" s="1886"/>
      <c r="I315" s="1763"/>
      <c r="J315" s="1797"/>
      <c r="K315" s="1802"/>
      <c r="L315" s="1886" t="s">
        <v>390</v>
      </c>
      <c r="M315" s="365"/>
      <c r="N315" s="358"/>
      <c r="O315" s="1648"/>
      <c r="P315" s="1648"/>
      <c r="AH315" s="1655">
        <v>0</v>
      </c>
    </row>
    <row s="1659" customFormat="1" customHeight="1" ht="18.75" hidden="1">
      <c r="A316" s="1804"/>
      <c r="B316" s="1804"/>
      <c r="C316" s="393" t="s">
        <v>1483</v>
      </c>
      <c r="D316" s="2486"/>
      <c r="E316" s="2228"/>
      <c r="F316" s="2407"/>
      <c r="G316" s="2451"/>
      <c r="H316" s="1524"/>
      <c r="I316" s="675" t="s">
        <v>1482</v>
      </c>
      <c r="J316" s="595"/>
      <c r="K316" s="1524"/>
      <c r="L316" s="238"/>
      <c r="M316" s="365"/>
      <c r="N316" s="358"/>
      <c r="O316" s="1648"/>
      <c r="P316" s="1648"/>
      <c r="AH316" s="1655">
        <v>0</v>
      </c>
    </row>
    <row s="1659" customFormat="1" customHeight="1" ht="0.75" hidden="1">
      <c r="A317" s="1804"/>
      <c r="B317" s="1804"/>
      <c r="C317" s="393" t="s">
        <v>1490</v>
      </c>
      <c r="D317" s="2486"/>
      <c r="E317" s="2228"/>
      <c r="F317" s="2407"/>
      <c r="G317" s="424"/>
      <c r="H317" s="1524"/>
      <c r="I317" s="675"/>
      <c r="J317" s="595"/>
      <c r="K317" s="1524"/>
      <c r="L317" s="238"/>
      <c r="M317" s="365"/>
      <c r="N317" s="358"/>
      <c r="O317" s="1648"/>
      <c r="P317" s="1648"/>
      <c r="AH317" s="1655">
        <v>0</v>
      </c>
    </row>
    <row s="1659" customFormat="1" customHeight="1" ht="18.75" hidden="1">
      <c r="A318" s="1804" t="s">
        <v>344</v>
      </c>
      <c r="B318" s="1804" t="s">
        <v>345</v>
      </c>
      <c r="C318" s="393"/>
      <c r="D318" s="2486"/>
      <c r="E318" s="2228"/>
      <c r="F318" s="240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51" t="str">
        <f>INDEX(PT_DIFFERENTIATION_NTAR,MATCH(B318,PT_DIFFERENTIATION_NTAR_ID,0))</f>
        <v/>
      </c>
      <c r="H318" s="1886"/>
      <c r="I318" s="1763"/>
      <c r="J318" s="1797"/>
      <c r="K318" s="1802"/>
      <c r="L318" s="1886" t="s">
        <v>390</v>
      </c>
      <c r="M318" s="365"/>
      <c r="N318" s="358"/>
      <c r="O318" s="1648"/>
      <c r="P318" s="1648"/>
      <c r="AH318" s="1655">
        <v>0</v>
      </c>
    </row>
    <row s="1659" customFormat="1" customHeight="1" ht="18.75" hidden="1">
      <c r="A319" s="1804"/>
      <c r="B319" s="1804"/>
      <c r="C319" s="393" t="s">
        <v>1483</v>
      </c>
      <c r="D319" s="2486"/>
      <c r="E319" s="2228"/>
      <c r="F319" s="2407"/>
      <c r="G319" s="2451"/>
      <c r="H319" s="1524"/>
      <c r="I319" s="675" t="s">
        <v>1482</v>
      </c>
      <c r="J319" s="595"/>
      <c r="K319" s="1524"/>
      <c r="L319" s="238"/>
      <c r="M319" s="365"/>
      <c r="N319" s="358"/>
      <c r="O319" s="1648"/>
      <c r="P319" s="1648"/>
      <c r="AH319" s="1655">
        <v>0</v>
      </c>
    </row>
    <row s="1659" customFormat="1" customHeight="1" ht="0.75" hidden="1">
      <c r="A320" s="1804"/>
      <c r="B320" s="1804"/>
      <c r="C320" s="393" t="s">
        <v>1490</v>
      </c>
      <c r="D320" s="2486"/>
      <c r="E320" s="2228"/>
      <c r="F320" s="2407"/>
      <c r="G320" s="424"/>
      <c r="H320" s="1524"/>
      <c r="I320" s="675"/>
      <c r="J320" s="595"/>
      <c r="K320" s="1524"/>
      <c r="L320" s="238"/>
      <c r="M320" s="365"/>
      <c r="N320" s="358"/>
      <c r="O320" s="1648"/>
      <c r="P320" s="1648"/>
      <c r="AH320" s="1655">
        <v>0</v>
      </c>
    </row>
    <row s="1659" customFormat="1" customHeight="1" ht="18.75" hidden="1">
      <c r="A321" s="1804" t="s">
        <v>349</v>
      </c>
      <c r="B321" s="1804" t="s">
        <v>350</v>
      </c>
      <c r="C321" s="393"/>
      <c r="D321" s="2486"/>
      <c r="E321" s="2228"/>
      <c r="F321" s="2407" t="str">
        <f>INDEX(PT_DIFFERENTIATION_VTAR,MATCH(A321,PT_DIFFERENTIATION_VTAR_ID,0))</f>
        <v>Тариф на водоотведение</v>
      </c>
      <c r="G321" s="2451" t="str">
        <f>INDEX(PT_DIFFERENTIATION_NTAR,MATCH(B321,PT_DIFFERENTIATION_NTAR_ID,0))</f>
        <v/>
      </c>
      <c r="H321" s="1886"/>
      <c r="I321" s="1763"/>
      <c r="J321" s="1797"/>
      <c r="K321" s="1802"/>
      <c r="L321" s="1886" t="s">
        <v>390</v>
      </c>
      <c r="M321" s="365"/>
      <c r="N321" s="358"/>
      <c r="O321" s="1648"/>
      <c r="P321" s="1648"/>
      <c r="AH321" s="1655">
        <v>0</v>
      </c>
    </row>
    <row s="1659" customFormat="1" customHeight="1" ht="18.75" hidden="1">
      <c r="A322" s="1804"/>
      <c r="B322" s="1804"/>
      <c r="C322" s="393" t="s">
        <v>1483</v>
      </c>
      <c r="D322" s="2486"/>
      <c r="E322" s="2228"/>
      <c r="F322" s="2407"/>
      <c r="G322" s="2451"/>
      <c r="H322" s="1524"/>
      <c r="I322" s="675" t="s">
        <v>1482</v>
      </c>
      <c r="J322" s="595"/>
      <c r="K322" s="1524"/>
      <c r="L322" s="238"/>
      <c r="M322" s="365"/>
      <c r="N322" s="358"/>
      <c r="O322" s="1648"/>
      <c r="P322" s="1648"/>
      <c r="AH322" s="1655">
        <v>0</v>
      </c>
    </row>
    <row s="1659" customFormat="1" customHeight="1" ht="0.75" hidden="1">
      <c r="A323" s="1804"/>
      <c r="B323" s="1804"/>
      <c r="C323" s="393" t="s">
        <v>1490</v>
      </c>
      <c r="D323" s="2486"/>
      <c r="E323" s="2228"/>
      <c r="F323" s="2407"/>
      <c r="G323" s="424"/>
      <c r="H323" s="1524"/>
      <c r="I323" s="675"/>
      <c r="J323" s="595"/>
      <c r="K323" s="1524"/>
      <c r="L323" s="238"/>
      <c r="M323" s="365"/>
      <c r="N323" s="358"/>
      <c r="O323" s="1648"/>
      <c r="P323" s="1648"/>
      <c r="AH323" s="1655">
        <v>0</v>
      </c>
    </row>
    <row s="1659" customFormat="1" customHeight="1" ht="18.75" hidden="1">
      <c r="A324" s="1804" t="s">
        <v>354</v>
      </c>
      <c r="B324" s="1804" t="s">
        <v>355</v>
      </c>
      <c r="C324" s="393"/>
      <c r="D324" s="2486"/>
      <c r="E324" s="2228"/>
      <c r="F324" s="2407" t="str">
        <f>INDEX(PT_DIFFERENTIATION_VTAR,MATCH(A324,PT_DIFFERENTIATION_VTAR_ID,0))</f>
        <v>Тариф на транспортировку сточных вод</v>
      </c>
      <c r="G324" s="2451" t="str">
        <f>INDEX(PT_DIFFERENTIATION_NTAR,MATCH(B324,PT_DIFFERENTIATION_NTAR_ID,0))</f>
        <v/>
      </c>
      <c r="H324" s="1886"/>
      <c r="I324" s="1763"/>
      <c r="J324" s="1797"/>
      <c r="K324" s="1802"/>
      <c r="L324" s="1886" t="s">
        <v>390</v>
      </c>
      <c r="M324" s="365"/>
      <c r="N324" s="358"/>
      <c r="O324" s="1648"/>
      <c r="P324" s="1648"/>
      <c r="AH324" s="1655">
        <v>0</v>
      </c>
    </row>
    <row s="1659" customFormat="1" customHeight="1" ht="18.75" hidden="1">
      <c r="A325" s="1804"/>
      <c r="B325" s="1804"/>
      <c r="C325" s="393" t="s">
        <v>1483</v>
      </c>
      <c r="D325" s="2486"/>
      <c r="E325" s="2228"/>
      <c r="F325" s="2407"/>
      <c r="G325" s="2451"/>
      <c r="H325" s="1524"/>
      <c r="I325" s="675" t="s">
        <v>1482</v>
      </c>
      <c r="J325" s="595"/>
      <c r="K325" s="1524"/>
      <c r="L325" s="238"/>
      <c r="M325" s="365"/>
      <c r="N325" s="358"/>
      <c r="O325" s="1648"/>
      <c r="P325" s="1648"/>
      <c r="AH325" s="1655">
        <v>0</v>
      </c>
    </row>
    <row s="1659" customFormat="1" customHeight="1" ht="0.75" hidden="1">
      <c r="A326" s="1804"/>
      <c r="B326" s="1804"/>
      <c r="C326" s="393" t="s">
        <v>1490</v>
      </c>
      <c r="D326" s="2486"/>
      <c r="E326" s="2228"/>
      <c r="F326" s="2407"/>
      <c r="G326" s="424"/>
      <c r="H326" s="1524"/>
      <c r="I326" s="675"/>
      <c r="J326" s="595"/>
      <c r="K326" s="1524"/>
      <c r="L326" s="238"/>
      <c r="M326" s="365"/>
      <c r="N326" s="358"/>
      <c r="O326" s="1648"/>
      <c r="P326" s="1648"/>
      <c r="AH326" s="1655">
        <v>0</v>
      </c>
    </row>
    <row s="1659" customFormat="1" customHeight="1" ht="18.75" hidden="1">
      <c r="A327" s="1804" t="s">
        <v>359</v>
      </c>
      <c r="B327" s="1804" t="s">
        <v>360</v>
      </c>
      <c r="C327" s="393"/>
      <c r="D327" s="2486"/>
      <c r="E327" s="2228"/>
      <c r="F327" s="2407" t="str">
        <f>INDEX(PT_DIFFERENTIATION_VTAR,MATCH(A327,PT_DIFFERENTIATION_VTAR_ID,0))</f>
        <v>Тариф на подключение (технологическое присоединение) к централизованной системе водоотведения</v>
      </c>
      <c r="G327" s="2451" t="str">
        <f>INDEX(PT_DIFFERENTIATION_NTAR,MATCH(B327,PT_DIFFERENTIATION_NTAR_ID,0))</f>
        <v/>
      </c>
      <c r="H327" s="1886"/>
      <c r="I327" s="1763"/>
      <c r="J327" s="1797"/>
      <c r="K327" s="1802"/>
      <c r="L327" s="1886" t="s">
        <v>390</v>
      </c>
      <c r="M327" s="365"/>
      <c r="N327" s="358"/>
      <c r="O327" s="1648"/>
      <c r="P327" s="1648"/>
      <c r="AH327" s="1655">
        <v>0</v>
      </c>
    </row>
    <row s="1659" customFormat="1" customHeight="1" ht="18.75" hidden="1">
      <c r="A328" s="1804"/>
      <c r="B328" s="1804"/>
      <c r="C328" s="393" t="s">
        <v>1483</v>
      </c>
      <c r="D328" s="2486"/>
      <c r="E328" s="2228"/>
      <c r="F328" s="2407"/>
      <c r="G328" s="2451"/>
      <c r="H328" s="1524"/>
      <c r="I328" s="675" t="s">
        <v>1482</v>
      </c>
      <c r="J328" s="595"/>
      <c r="K328" s="1524"/>
      <c r="L328" s="238"/>
      <c r="M328" s="365"/>
      <c r="N328" s="358"/>
      <c r="O328" s="1648"/>
      <c r="P328" s="1648"/>
      <c r="AH328" s="1655">
        <v>0</v>
      </c>
    </row>
    <row s="1659" customFormat="1" customHeight="1" ht="1.05">
      <c r="A329" s="1804"/>
      <c r="B329" s="1804"/>
      <c r="C329" s="393" t="s">
        <v>1490</v>
      </c>
      <c r="D329" s="2486"/>
      <c r="E329" s="2228"/>
      <c r="F329" s="2407"/>
      <c r="G329" s="424"/>
      <c r="H329" s="1524"/>
      <c r="I329" s="675"/>
      <c r="J329" s="595"/>
      <c r="K329" s="1524"/>
      <c r="L329" s="238"/>
      <c r="M329" s="365"/>
      <c r="N329" s="358"/>
      <c r="O329" s="1648"/>
      <c r="P329" s="1648"/>
      <c r="AH329" s="1655">
        <v>1</v>
      </c>
    </row>
    <row s="1847" customFormat="1" customHeight="1" ht="3">
      <c r="A330" s="1804"/>
      <c r="B330" s="1804"/>
      <c r="C330" s="1805"/>
      <c r="E330" s="426"/>
      <c r="F330" s="426"/>
      <c r="G330" s="426"/>
      <c r="H330" s="426"/>
      <c r="I330" s="426"/>
      <c r="J330" s="426"/>
      <c r="K330" s="426"/>
      <c r="L330" s="426"/>
      <c r="M330" s="426"/>
      <c r="O330" s="220"/>
      <c r="P330" s="220"/>
      <c r="AH330" s="164">
        <v>3</v>
      </c>
    </row>
    <row customHeight="1" ht="26.25">
      <c r="E331" s="226"/>
      <c r="F331" s="2309"/>
      <c r="G331" s="2309"/>
      <c r="H331" s="2309"/>
      <c r="I331" s="2309"/>
      <c r="J331" s="2309"/>
      <c r="K331" s="2309"/>
      <c r="L331" s="2309"/>
      <c r="M331" s="2309"/>
      <c r="AH331" s="398">
        <v>25</v>
      </c>
    </row>
    <row customHeight="1" ht="14.25" hidden="1">
      <c r="A332" s="1803" t="s">
        <v>82</v>
      </c>
      <c r="B332" s="1803">
        <v>0</v>
      </c>
      <c r="C332" s="393">
        <v>0</v>
      </c>
      <c r="D332" s="368">
        <v>3</v>
      </c>
      <c r="E332" s="398">
        <v>6</v>
      </c>
      <c r="F332" s="398">
        <v>46</v>
      </c>
      <c r="G332" s="398">
        <v>35</v>
      </c>
      <c r="H332" s="398">
        <v>3</v>
      </c>
      <c r="I332" s="398">
        <v>11</v>
      </c>
      <c r="J332" s="398">
        <v>11</v>
      </c>
      <c r="K332" s="398">
        <v>35</v>
      </c>
      <c r="L332" s="398">
        <v>35</v>
      </c>
      <c r="M332" s="398">
        <v>84</v>
      </c>
      <c r="N332" s="398">
        <v>10</v>
      </c>
      <c r="O332" s="374">
        <v>10</v>
      </c>
      <c r="P332" s="374">
        <v>10</v>
      </c>
      <c r="Q332" s="398">
        <v>10</v>
      </c>
      <c r="R332" s="398">
        <v>10</v>
      </c>
      <c r="S332" s="398">
        <v>10</v>
      </c>
      <c r="T332" s="398">
        <v>10</v>
      </c>
      <c r="U332" s="398">
        <v>10</v>
      </c>
      <c r="V332" s="398">
        <v>10</v>
      </c>
      <c r="W332" s="398">
        <v>10</v>
      </c>
      <c r="X332" s="398">
        <v>10</v>
      </c>
      <c r="Y332" s="398">
        <v>10</v>
      </c>
      <c r="Z332" s="398">
        <v>10</v>
      </c>
      <c r="AA332" s="398">
        <v>10</v>
      </c>
      <c r="AB332" s="398">
        <v>10</v>
      </c>
      <c r="AC332" s="398">
        <v>10</v>
      </c>
      <c r="AD332" s="398">
        <v>10</v>
      </c>
      <c r="AE332" s="398">
        <v>10</v>
      </c>
      <c r="AF332" s="398">
        <v>10</v>
      </c>
      <c r="AG332" s="398">
        <v>10</v>
      </c>
      <c r="AH332" s="398">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4FE8B5-E9DD-7738-E6A6-0.6F87282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21" width="9.140625" hidden="1" customWidth="1"/>
    <col min="2" max="2" style="1390" width="9.140625" hidden="1" customWidth="1"/>
    <col min="3" max="3" style="368" width="3.00390625" customWidth="1"/>
    <col min="4" max="4" style="1659" width="6.00390625" customWidth="1"/>
    <col min="5" max="5" style="1659" width="53.00390625" customWidth="1"/>
    <col min="6" max="7" style="1659" width="35.00390625" customWidth="1"/>
    <col min="8" max="8" style="1659" width="89.00390625" customWidth="1"/>
    <col min="9" max="9" style="1659" width="10.00390625" customWidth="1"/>
    <col min="10" max="11" style="1648" width="10.00390625" customWidth="1"/>
    <col min="12" max="17" style="1659" width="10.00390625" customWidth="1"/>
    <col min="18" max="18" style="1659" width="10.57421875" hidden="1"/>
  </cols>
  <sheetData>
    <row customHeight="1" ht="22.5" hidden="1">
      <c r="N1" s="279"/>
      <c r="O1" s="279"/>
      <c r="Q1" s="279"/>
      <c r="R1" s="398" t="s">
        <v>14</v>
      </c>
    </row>
    <row s="1659" customFormat="1" customHeight="1" ht="18.75" hidden="1">
      <c r="A2" s="126"/>
      <c r="B2" s="1184"/>
      <c r="C2" s="1754" t="s">
        <v>104</v>
      </c>
      <c r="D2" s="1697"/>
      <c r="E2" s="1706"/>
      <c r="F2" s="281"/>
      <c r="G2" s="1185"/>
      <c r="H2" s="398"/>
      <c r="I2" s="1648"/>
      <c r="J2" s="1648"/>
      <c r="R2" s="1655">
        <v>0</v>
      </c>
    </row>
    <row customHeight="1" ht="14.25" hidden="1">
      <c r="R3" s="398">
        <v>0</v>
      </c>
    </row>
    <row customHeight="1" ht="6.3">
      <c r="C4" s="400"/>
      <c r="D4" s="387"/>
      <c r="E4" s="387"/>
      <c r="F4" s="387"/>
      <c r="G4" s="109"/>
      <c r="H4" s="109"/>
      <c r="R4" s="398">
        <v>6</v>
      </c>
    </row>
    <row customHeight="1" ht="34.5">
      <c r="C5" s="400"/>
      <c r="D5" s="247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79"/>
      <c r="F5" s="2479"/>
      <c r="G5" s="2480"/>
      <c r="H5" s="290"/>
      <c r="R5" s="398">
        <v>33</v>
      </c>
    </row>
    <row s="1659" customFormat="1" customHeight="1" ht="18">
      <c r="A6" s="1693"/>
      <c r="B6" s="1184"/>
      <c r="C6" s="400"/>
      <c r="D6" s="2481" t="str">
        <f>IF(org=0,"Не определено",org)</f>
        <v>АО "ДГК"</v>
      </c>
      <c r="E6" s="2482"/>
      <c r="F6" s="2482"/>
      <c r="G6" s="2483"/>
      <c r="H6" s="290"/>
      <c r="J6" s="1648"/>
      <c r="K6" s="1648"/>
      <c r="R6" s="1655">
        <v>17</v>
      </c>
    </row>
    <row customHeight="1" ht="14.699999999999998">
      <c r="C7" s="400"/>
      <c r="D7" s="387"/>
      <c r="E7" s="413"/>
      <c r="F7" s="413"/>
      <c r="G7" s="776"/>
      <c r="H7" s="217"/>
      <c r="R7" s="398">
        <v>14</v>
      </c>
    </row>
    <row customHeight="1" ht="14.699999999999998">
      <c r="C8" s="400"/>
      <c r="D8" s="2233" t="s">
        <v>384</v>
      </c>
      <c r="E8" s="2233"/>
      <c r="F8" s="2233"/>
      <c r="G8" s="2233"/>
      <c r="H8" s="2413" t="s">
        <v>385</v>
      </c>
      <c r="R8" s="398">
        <v>14</v>
      </c>
    </row>
    <row customHeight="1" ht="24">
      <c r="C9" s="400"/>
      <c r="D9" s="410" t="s">
        <v>88</v>
      </c>
      <c r="E9" s="132" t="s">
        <v>386</v>
      </c>
      <c r="F9" s="132" t="s">
        <v>387</v>
      </c>
      <c r="G9" s="132" t="s">
        <v>474</v>
      </c>
      <c r="H9" s="2413"/>
      <c r="R9" s="398">
        <v>23</v>
      </c>
    </row>
    <row customHeight="1" ht="14.699999999999998">
      <c r="A10" s="367"/>
      <c r="C10" s="400"/>
      <c r="D10" s="171" t="s">
        <v>170</v>
      </c>
      <c r="E10" s="19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81"/>
      <c r="G10" s="237"/>
      <c r="H10" s="2193" t="s">
        <v>1491</v>
      </c>
      <c r="R10" s="398">
        <v>14</v>
      </c>
    </row>
    <row customHeight="1" ht="14.699999999999998">
      <c r="A11" s="367"/>
      <c r="C11" s="400"/>
      <c r="D11" s="171" t="s">
        <v>103</v>
      </c>
      <c r="E11" s="19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81"/>
      <c r="G11" s="237"/>
      <c r="H11" s="2194"/>
      <c r="R11" s="398">
        <v>14</v>
      </c>
    </row>
    <row customHeight="1" ht="14.699999999999998">
      <c r="A12" s="126"/>
      <c r="C12" s="411"/>
      <c r="D12" s="171" t="s">
        <v>90</v>
      </c>
      <c r="E12" s="412" t="str">
        <f>"Сведения о планировании закупочных процедур"&amp;IF(TEMPLATE_SPHERE="TKO"," &lt;1&gt;","")</f>
        <v>Сведения о планировании закупочных процедур</v>
      </c>
      <c r="F12" s="281"/>
      <c r="G12" s="237"/>
      <c r="H12" s="219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74"/>
      <c r="K12" s="398"/>
      <c r="R12" s="398">
        <v>14</v>
      </c>
    </row>
    <row customHeight="1" ht="14.699999999999998">
      <c r="A13" s="126"/>
      <c r="C13" s="411"/>
      <c r="D13" s="171" t="s">
        <v>91</v>
      </c>
      <c r="E13" s="412" t="str">
        <f>"Сведения о результатах проведения закупочных процедур"&amp;IF(TEMPLATE_SPHERE="TKO"," &lt;1&gt;","")</f>
        <v>Сведения о результатах проведения закупочных процедур</v>
      </c>
      <c r="F13" s="281"/>
      <c r="G13" s="237"/>
      <c r="H13" s="2194"/>
      <c r="I13" s="374"/>
      <c r="K13" s="398"/>
      <c r="R13" s="398">
        <v>14</v>
      </c>
    </row>
    <row customHeight="1" ht="14.699999999999998">
      <c r="A14" s="367"/>
      <c r="C14" s="400"/>
      <c r="D14" s="371"/>
      <c r="E14" s="419" t="s">
        <v>406</v>
      </c>
      <c r="F14" s="373"/>
      <c r="G14" s="225"/>
      <c r="H14" s="2195"/>
      <c r="R14" s="398">
        <v>14</v>
      </c>
    </row>
    <row s="1659" customFormat="1" customHeight="1" ht="14.699999999999998">
      <c r="A15" s="367"/>
      <c r="B15" s="1184"/>
      <c r="C15" s="400"/>
      <c r="D15" s="420"/>
      <c r="E15" s="1701"/>
      <c r="F15" s="1702"/>
      <c r="G15" s="1703"/>
      <c r="H15" s="1704"/>
      <c r="J15" s="1648"/>
      <c r="K15" s="1648"/>
      <c r="R15" s="1655">
        <v>14</v>
      </c>
    </row>
    <row customHeight="1" ht="14.699999999999998">
      <c r="D16" s="1705"/>
      <c r="E16" s="2409"/>
      <c r="F16" s="2409"/>
      <c r="G16" s="2409"/>
      <c r="H16" s="2409"/>
      <c r="R16" s="398">
        <v>14</v>
      </c>
    </row>
    <row customHeight="1" ht="22.5" hidden="1">
      <c r="A17" s="388" t="s">
        <v>82</v>
      </c>
      <c r="B17" s="170">
        <v>0</v>
      </c>
      <c r="C17" s="368">
        <v>3</v>
      </c>
      <c r="D17" s="398">
        <v>6</v>
      </c>
      <c r="E17" s="398">
        <v>53</v>
      </c>
      <c r="F17" s="398">
        <v>35</v>
      </c>
      <c r="G17" s="398">
        <v>35</v>
      </c>
      <c r="H17" s="398">
        <v>89</v>
      </c>
      <c r="I17" s="398">
        <v>10</v>
      </c>
      <c r="J17" s="374">
        <v>10</v>
      </c>
      <c r="K17" s="374">
        <v>10</v>
      </c>
      <c r="L17" s="398">
        <v>10</v>
      </c>
      <c r="M17" s="398">
        <v>10</v>
      </c>
      <c r="N17" s="398">
        <v>10</v>
      </c>
      <c r="O17" s="398">
        <v>10</v>
      </c>
      <c r="P17" s="398">
        <v>10</v>
      </c>
      <c r="Q17" s="398">
        <v>10</v>
      </c>
      <c r="R17" s="398">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1A8E56-927D-B2EB-811A-0.DDE695BA}"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48" width="3.7109375" hidden="1" customWidth="1"/>
    <col min="3" max="3" style="1877" width="3.00390625" customWidth="1"/>
    <col min="4" max="4" style="1877" width="6.00390625" customWidth="1"/>
    <col min="5" max="5" style="1877" width="42.00390625" customWidth="1"/>
    <col min="6" max="6" style="1877" width="15.00390625" customWidth="1"/>
    <col min="7" max="7" style="1877" width="42.00390625" customWidth="1"/>
    <col min="8" max="8" style="1877" width="3.00390625" customWidth="1"/>
    <col min="9" max="9" style="1877" width="5.00390625" customWidth="1"/>
    <col min="10" max="10" style="1877" width="47.00390625" customWidth="1"/>
    <col min="11" max="12" style="1877" width="3.00390625" customWidth="1"/>
    <col min="13" max="13" style="1877" width="5.00390625" customWidth="1"/>
    <col min="14" max="14" style="1877" width="28.00390625" customWidth="1"/>
    <col min="15" max="16" style="1877" width="3.00390625" customWidth="1"/>
    <col min="17" max="17" style="1877" width="5.00390625" customWidth="1"/>
    <col min="18" max="18" style="1877" width="34.00390625" customWidth="1"/>
    <col min="19" max="20" style="1877" width="3.7109375" customWidth="1"/>
    <col min="21" max="21" style="1877" width="5.7109375" customWidth="1"/>
    <col min="22" max="22" style="1877" width="34.421875" customWidth="1"/>
    <col min="23" max="23" style="1877" width="30.00390625" customWidth="1"/>
    <col min="24" max="24" style="1877" width="3.00390625" customWidth="1"/>
    <col min="25" max="28" style="1290" width="9.8515625" hidden="1" customWidth="1"/>
    <col min="29" max="29" style="1290" width="27.00390625" hidden="1" customWidth="1"/>
    <col min="30" max="30" style="1290" width="10.57421875" hidden="1" customWidth="1"/>
    <col min="31" max="31" style="1290" width="10.7109375" hidden="1" customWidth="1"/>
    <col min="32" max="32" style="1290" width="10.00390625" hidden="1" customWidth="1"/>
    <col min="33" max="33" style="1290" width="12.8515625" hidden="1" customWidth="1"/>
    <col min="34" max="34" style="1290" width="24.421875" hidden="1" customWidth="1"/>
    <col min="35" max="35" style="1290" width="15.8515625" hidden="1" customWidth="1"/>
    <col min="36" max="36" style="1290" width="19.421875" hidden="1" customWidth="1"/>
    <col min="37" max="37" style="1290" width="11.00390625" hidden="1" customWidth="1"/>
    <col min="38" max="38" style="1290" width="23.57421875" hidden="1" customWidth="1"/>
    <col min="39" max="39" style="1290" width="23.8515625" hidden="1" customWidth="1"/>
    <col min="40" max="40" style="1290" width="25.28125" hidden="1" customWidth="1"/>
    <col min="41" max="41" style="1290" width="16.8515625" hidden="1" customWidth="1"/>
    <col min="42" max="42" style="1290" width="29.57421875" hidden="1" customWidth="1"/>
    <col min="43" max="43" style="1290" width="29.8515625" hidden="1" customWidth="1"/>
    <col min="44" max="44" style="1877" width="9.140625" hidden="1"/>
  </cols>
  <sheetData>
    <row customHeight="1" ht="11.25" hidden="1">
      <c r="A1" s="180"/>
      <c r="AR1" s="128" t="s">
        <v>14</v>
      </c>
    </row>
    <row customHeight="1" ht="11.25" hidden="1">
      <c r="AR2" s="128">
        <v>0</v>
      </c>
    </row>
    <row customHeight="1" ht="11.25" hidden="1">
      <c r="AR3" s="128">
        <v>0</v>
      </c>
    </row>
    <row customHeight="1" ht="3">
      <c r="AR4" s="128">
        <v>3</v>
      </c>
    </row>
    <row s="613" customFormat="1" customHeight="1" ht="30.45">
      <c r="A5" s="178"/>
      <c r="B5" s="178"/>
      <c r="D5" s="218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82"/>
      <c r="F5" s="2182"/>
      <c r="G5" s="2182"/>
      <c r="H5" s="2182"/>
      <c r="I5" s="2182"/>
      <c r="J5" s="2183"/>
      <c r="K5" s="289"/>
      <c r="L5" s="166"/>
      <c r="M5" s="166"/>
      <c r="N5" s="166"/>
      <c r="O5" s="166"/>
      <c r="P5" s="166"/>
      <c r="Q5" s="166"/>
      <c r="R5" s="166"/>
      <c r="S5" s="314"/>
      <c r="T5" s="314"/>
      <c r="U5" s="314"/>
      <c r="V5" s="314"/>
      <c r="W5" s="166"/>
      <c r="Y5" s="1284"/>
      <c r="Z5" s="1284"/>
      <c r="AA5" s="1284"/>
      <c r="AB5" s="1284"/>
      <c r="AC5" s="1284"/>
      <c r="AD5" s="1284"/>
      <c r="AE5" s="1284"/>
      <c r="AF5" s="1284"/>
      <c r="AG5" s="1284"/>
      <c r="AH5" s="1284"/>
      <c r="AI5" s="1284"/>
      <c r="AJ5" s="1284"/>
      <c r="AK5" s="1284"/>
      <c r="AL5" s="1284"/>
      <c r="AM5" s="1284"/>
      <c r="AN5" s="1284"/>
      <c r="AO5" s="1284"/>
      <c r="AP5" s="1284"/>
      <c r="AQ5" s="1284"/>
      <c r="AR5" s="135">
        <v>29</v>
      </c>
    </row>
    <row s="613" customFormat="1" customHeight="1" ht="14.699999999999998">
      <c r="A6" s="609"/>
      <c r="B6" s="609"/>
      <c r="C6" s="609"/>
      <c r="D6" s="2187" t="str">
        <f>IF(org=0,"Не определено",org)</f>
        <v>АО "ДГК"</v>
      </c>
      <c r="E6" s="2187"/>
      <c r="F6" s="2187"/>
      <c r="G6" s="2187"/>
      <c r="H6" s="2187"/>
      <c r="I6" s="2187"/>
      <c r="J6" s="2187"/>
      <c r="K6" s="610"/>
      <c r="L6" s="610"/>
      <c r="M6" s="610"/>
      <c r="N6" s="610"/>
      <c r="O6" s="894"/>
      <c r="P6" s="894"/>
      <c r="Q6" s="894"/>
      <c r="R6" s="894"/>
      <c r="S6" s="894"/>
      <c r="T6" s="894"/>
      <c r="U6" s="894"/>
      <c r="V6" s="894"/>
      <c r="W6" s="894"/>
      <c r="X6" s="610"/>
      <c r="Y6" s="1285"/>
      <c r="Z6" s="1285"/>
      <c r="AA6" s="1285"/>
      <c r="AB6" s="1285"/>
      <c r="AC6" s="1285"/>
      <c r="AD6" s="1285"/>
      <c r="AE6" s="1285"/>
      <c r="AF6" s="1285"/>
      <c r="AG6" s="1285"/>
      <c r="AH6" s="1285"/>
      <c r="AI6" s="1285"/>
      <c r="AJ6" s="1285"/>
      <c r="AK6" s="1285"/>
      <c r="AL6" s="1285"/>
      <c r="AM6" s="1285"/>
      <c r="AN6" s="1285"/>
      <c r="AO6" s="1285"/>
      <c r="AP6" s="1285"/>
      <c r="AQ6" s="1285"/>
      <c r="AR6" s="611">
        <v>14</v>
      </c>
    </row>
    <row s="323" customFormat="1" customHeight="1" ht="11.549999999999999">
      <c r="A7" s="235"/>
      <c r="B7" s="235"/>
      <c r="D7" s="2184"/>
      <c r="E7" s="2185"/>
      <c r="F7" s="2185"/>
      <c r="G7" s="2185"/>
      <c r="H7" s="2185"/>
      <c r="I7" s="2185"/>
      <c r="J7" s="2186"/>
      <c r="S7" s="323"/>
      <c r="T7" s="323"/>
      <c r="U7" s="323"/>
      <c r="V7" s="323"/>
      <c r="Y7" s="1286"/>
      <c r="Z7" s="1286"/>
      <c r="AA7" s="1286"/>
      <c r="AB7" s="1286"/>
      <c r="AC7" s="1286"/>
      <c r="AD7" s="1286"/>
      <c r="AE7" s="1286"/>
      <c r="AF7" s="1286"/>
      <c r="AG7" s="1286"/>
      <c r="AH7" s="1286"/>
      <c r="AI7" s="1286"/>
      <c r="AJ7" s="1286"/>
      <c r="AK7" s="1286"/>
      <c r="AL7" s="1286"/>
      <c r="AM7" s="1286"/>
      <c r="AN7" s="1286"/>
      <c r="AO7" s="1286"/>
      <c r="AP7" s="1286"/>
      <c r="AQ7" s="1286"/>
      <c r="AR7" s="300">
        <v>11</v>
      </c>
    </row>
    <row s="613" customFormat="1" customHeight="1" ht="1.05">
      <c r="A8" s="178"/>
      <c r="B8" s="178"/>
      <c r="D8" s="236"/>
      <c r="E8" s="236"/>
      <c r="F8" s="236"/>
      <c r="G8" s="236"/>
      <c r="H8" s="236"/>
      <c r="I8" s="236"/>
      <c r="J8" s="236"/>
      <c r="K8" s="236"/>
      <c r="L8" s="236"/>
      <c r="M8" s="236"/>
      <c r="N8" s="236"/>
      <c r="O8" s="236"/>
      <c r="P8" s="236"/>
      <c r="Q8" s="236"/>
      <c r="R8" s="236"/>
      <c r="S8" s="236"/>
      <c r="T8" s="236"/>
      <c r="U8" s="236"/>
      <c r="V8" s="236"/>
      <c r="W8" s="236"/>
      <c r="X8" s="156"/>
      <c r="Y8" s="1284"/>
      <c r="Z8" s="1284"/>
      <c r="AA8" s="1284"/>
      <c r="AB8" s="1284"/>
      <c r="AC8" s="1284"/>
      <c r="AD8" s="1284"/>
      <c r="AE8" s="1284"/>
      <c r="AF8" s="1284"/>
      <c r="AG8" s="1284"/>
      <c r="AH8" s="1284"/>
      <c r="AI8" s="1284"/>
      <c r="AJ8" s="1284"/>
      <c r="AK8" s="1284"/>
      <c r="AL8" s="1284"/>
      <c r="AM8" s="1284"/>
      <c r="AN8" s="1284"/>
      <c r="AO8" s="1284"/>
      <c r="AP8" s="1284"/>
      <c r="AQ8" s="1284"/>
      <c r="AR8" s="135">
        <v>1</v>
      </c>
    </row>
    <row customHeight="1" ht="28.5">
      <c r="D9" s="2151" t="s">
        <v>88</v>
      </c>
      <c r="E9" s="2125" t="s">
        <v>210</v>
      </c>
      <c r="F9" s="2127"/>
      <c r="G9" s="2151" t="s">
        <v>166</v>
      </c>
      <c r="H9" s="2151" t="s">
        <v>88</v>
      </c>
      <c r="I9" s="2151"/>
      <c r="J9" s="2151" t="s">
        <v>211</v>
      </c>
      <c r="K9" s="2179" t="s">
        <v>212</v>
      </c>
      <c r="L9" s="2179"/>
      <c r="M9" s="2179"/>
      <c r="N9" s="2179"/>
      <c r="O9" s="2179" t="s">
        <v>213</v>
      </c>
      <c r="P9" s="2179"/>
      <c r="Q9" s="2179"/>
      <c r="R9" s="2179"/>
      <c r="S9" s="2179" t="s">
        <v>214</v>
      </c>
      <c r="T9" s="2179"/>
      <c r="U9" s="2179"/>
      <c r="V9" s="2179"/>
      <c r="W9" s="2151" t="s">
        <v>215</v>
      </c>
      <c r="AR9" s="128">
        <v>27</v>
      </c>
    </row>
    <row customHeight="1" ht="31.5">
      <c r="D10" s="2151"/>
      <c r="E10" s="1308" t="s">
        <v>89</v>
      </c>
      <c r="F10" s="1308" t="s">
        <v>216</v>
      </c>
      <c r="G10" s="2151"/>
      <c r="H10" s="2151"/>
      <c r="I10" s="2151"/>
      <c r="J10" s="2151"/>
      <c r="K10" s="134" t="s">
        <v>169</v>
      </c>
      <c r="L10" s="2151" t="s">
        <v>88</v>
      </c>
      <c r="M10" s="2151"/>
      <c r="N10" s="134" t="s">
        <v>217</v>
      </c>
      <c r="O10" s="134" t="s">
        <v>169</v>
      </c>
      <c r="P10" s="2151" t="s">
        <v>88</v>
      </c>
      <c r="Q10" s="2151"/>
      <c r="R10" s="134" t="s">
        <v>217</v>
      </c>
      <c r="S10" s="307" t="s">
        <v>169</v>
      </c>
      <c r="T10" s="2151" t="s">
        <v>88</v>
      </c>
      <c r="U10" s="2151"/>
      <c r="V10" s="307" t="s">
        <v>89</v>
      </c>
      <c r="W10" s="2151"/>
      <c r="Z10" s="1283" t="s">
        <v>218</v>
      </c>
      <c r="AA10" s="1283" t="s">
        <v>219</v>
      </c>
      <c r="AB10" s="1283" t="s">
        <v>220</v>
      </c>
      <c r="AC10" s="1283" t="s">
        <v>221</v>
      </c>
      <c r="AD10" s="1283" t="s">
        <v>222</v>
      </c>
      <c r="AE10" s="1283" t="s">
        <v>223</v>
      </c>
      <c r="AF10" s="1283" t="s">
        <v>224</v>
      </c>
      <c r="AG10" s="1283" t="s">
        <v>225</v>
      </c>
      <c r="AH10" s="1283" t="s">
        <v>226</v>
      </c>
      <c r="AI10" s="1283" t="s">
        <v>227</v>
      </c>
      <c r="AJ10" s="1283" t="s">
        <v>228</v>
      </c>
      <c r="AK10" s="1283" t="s">
        <v>229</v>
      </c>
      <c r="AL10" s="1283" t="s">
        <v>230</v>
      </c>
      <c r="AM10" s="1283" t="s">
        <v>231</v>
      </c>
      <c r="AN10" s="1283" t="s">
        <v>232</v>
      </c>
      <c r="AO10" s="1283" t="s">
        <v>233</v>
      </c>
      <c r="AP10" s="1283" t="s">
        <v>234</v>
      </c>
      <c r="AQ10" s="1283" t="s">
        <v>235</v>
      </c>
      <c r="AR10" s="128">
        <v>30</v>
      </c>
    </row>
    <row s="1648" customFormat="1" customHeight="1" ht="12" hidden="1">
      <c r="D11" s="1273" t="s">
        <v>170</v>
      </c>
      <c r="E11" s="1273" t="s">
        <v>103</v>
      </c>
      <c r="F11" s="1273"/>
      <c r="G11" s="1273" t="s">
        <v>90</v>
      </c>
      <c r="H11" s="2180" t="s">
        <v>119</v>
      </c>
      <c r="I11" s="2180"/>
      <c r="J11" s="1273" t="s">
        <v>92</v>
      </c>
      <c r="K11" s="1273" t="s">
        <v>93</v>
      </c>
      <c r="L11" s="2180" t="s">
        <v>143</v>
      </c>
      <c r="M11" s="2180"/>
      <c r="N11" s="1273" t="s">
        <v>145</v>
      </c>
      <c r="O11" s="1273" t="s">
        <v>156</v>
      </c>
      <c r="P11" s="2180" t="s">
        <v>236</v>
      </c>
      <c r="Q11" s="2180"/>
      <c r="R11" s="1273" t="s">
        <v>237</v>
      </c>
      <c r="S11" s="1273" t="s">
        <v>236</v>
      </c>
      <c r="T11" s="2180" t="s">
        <v>237</v>
      </c>
      <c r="U11" s="2180"/>
      <c r="V11" s="1273" t="s">
        <v>238</v>
      </c>
      <c r="W11" s="1273" t="s">
        <v>239</v>
      </c>
      <c r="Y11" s="1283"/>
      <c r="Z11" s="1283"/>
      <c r="AA11" s="1283"/>
      <c r="AB11" s="1283"/>
      <c r="AC11" s="1283"/>
      <c r="AD11" s="1283"/>
      <c r="AE11" s="1283"/>
      <c r="AF11" s="1283"/>
      <c r="AG11" s="1283"/>
      <c r="AH11" s="1283"/>
      <c r="AI11" s="1283"/>
      <c r="AJ11" s="1283"/>
      <c r="AK11" s="1283"/>
      <c r="AL11" s="1283"/>
      <c r="AM11" s="1283"/>
      <c r="AN11" s="1283"/>
      <c r="AO11" s="1283"/>
      <c r="AP11" s="1283"/>
      <c r="AQ11" s="1283"/>
      <c r="AR11" s="301">
        <v>0</v>
      </c>
    </row>
    <row customHeight="1" ht="14.25" hidden="1">
      <c r="C12" s="233"/>
      <c r="D12" s="1306">
        <v>0</v>
      </c>
      <c r="E12" s="274"/>
      <c r="F12" s="274"/>
      <c r="G12" s="274"/>
      <c r="H12" s="275"/>
      <c r="I12" s="275"/>
      <c r="J12" s="182"/>
      <c r="K12" s="136"/>
      <c r="L12" s="182"/>
      <c r="M12" s="182"/>
      <c r="N12" s="276"/>
      <c r="O12" s="136"/>
      <c r="P12" s="182"/>
      <c r="Q12" s="182"/>
      <c r="R12" s="277"/>
      <c r="S12" s="308"/>
      <c r="T12" s="316"/>
      <c r="U12" s="316"/>
      <c r="V12" s="320"/>
      <c r="W12" s="136"/>
      <c r="X12" s="165"/>
      <c r="AR12" s="128">
        <v>0</v>
      </c>
    </row>
    <row s="1877" customFormat="1" customHeight="1" ht="17.25" hidden="1">
      <c r="A13" s="345"/>
      <c r="C13" s="233"/>
      <c r="D13" s="2159">
        <v>1</v>
      </c>
      <c r="E13" s="2167" t="s">
        <v>240</v>
      </c>
      <c r="F13" s="2169" t="s">
        <v>19</v>
      </c>
      <c r="G13" s="2167"/>
      <c r="H13" s="2172"/>
      <c r="I13" s="2174"/>
      <c r="J13" s="2176"/>
      <c r="K13" s="2161"/>
      <c r="L13" s="2161"/>
      <c r="M13" s="2161"/>
      <c r="N13" s="2163"/>
      <c r="O13" s="2161"/>
      <c r="P13" s="2161"/>
      <c r="Q13" s="2161"/>
      <c r="R13" s="2166"/>
      <c r="S13" s="2161"/>
      <c r="T13" s="1444"/>
      <c r="U13" s="1444"/>
      <c r="V13" s="1443"/>
      <c r="W13" s="1320"/>
      <c r="Y13" s="1291"/>
      <c r="Z13" s="1291"/>
      <c r="AA13" s="1291"/>
      <c r="AB13" s="1291"/>
      <c r="AC13" s="1291" t="s">
        <v>241</v>
      </c>
      <c r="AD13" s="1291" t="s">
        <v>242</v>
      </c>
      <c r="AE13" s="1291" t="s">
        <v>243</v>
      </c>
      <c r="AF13" s="1291" t="s">
        <v>244</v>
      </c>
      <c r="AG13" s="1291" t="s">
        <v>245</v>
      </c>
      <c r="AH13" s="129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1" t="str">
        <f>IF($G$13=0,"",$G$13)</f>
        <v/>
      </c>
      <c r="AJ13" s="1291" t="str">
        <f>IF($J$13=0,"",$J$13)</f>
        <v/>
      </c>
      <c r="AK13" s="1291" t="str">
        <f>IF($K$13="нет","без дифференциации",IF($N$13=0,"",$N$13))</f>
        <v/>
      </c>
      <c r="AL13" s="1291" t="str">
        <f>IF($O$13="нет","без дифференциации",IF($R$13=0,"",$R$13))</f>
        <v/>
      </c>
      <c r="AM13" s="1291" t="str">
        <f>IF($S$13="нет","без дифференциации",IF($V$13=0,"",$V$13))</f>
        <v/>
      </c>
      <c r="AN13" s="1291">
        <f>$I$13</f>
        <v>0</v>
      </c>
      <c r="AO13" s="1291" t="str">
        <f>$I$13&amp;"."&amp;$M$13</f>
        <v>.</v>
      </c>
      <c r="AP13" s="1291" t="str">
        <f>$I$13&amp;"."&amp;$M$13&amp;"."&amp;$Q$13</f>
        <v>..</v>
      </c>
      <c r="AQ13" s="1291" t="str">
        <f>$I$13&amp;"."&amp;$M$13&amp;"."&amp;$Q$13&amp;"."&amp;$U$13</f>
        <v>...</v>
      </c>
      <c r="AR13" s="774">
        <v>0</v>
      </c>
    </row>
    <row s="1877" customFormat="1" customHeight="1" ht="17.25" hidden="1">
      <c r="A14" s="345"/>
      <c r="C14" s="344"/>
      <c r="D14" s="2159"/>
      <c r="E14" s="2167"/>
      <c r="F14" s="2170"/>
      <c r="G14" s="2167"/>
      <c r="H14" s="2173"/>
      <c r="I14" s="2175"/>
      <c r="J14" s="2177"/>
      <c r="K14" s="2162"/>
      <c r="L14" s="2162"/>
      <c r="M14" s="2162"/>
      <c r="N14" s="2164"/>
      <c r="O14" s="2162"/>
      <c r="P14" s="2162"/>
      <c r="Q14" s="2162"/>
      <c r="R14" s="2165"/>
      <c r="S14" s="2162"/>
      <c r="T14" s="1321"/>
      <c r="U14" s="1321"/>
      <c r="V14" s="1321"/>
      <c r="W14" s="1322"/>
      <c r="Y14" s="1283"/>
      <c r="Z14" s="1283"/>
      <c r="AA14" s="1283"/>
      <c r="AB14" s="1283"/>
      <c r="AC14" s="1283"/>
      <c r="AD14" s="1283"/>
      <c r="AE14" s="1283"/>
      <c r="AF14" s="1283"/>
      <c r="AG14" s="1283"/>
      <c r="AH14" s="1283"/>
      <c r="AI14" s="1283"/>
      <c r="AJ14" s="1283"/>
      <c r="AK14" s="1283"/>
      <c r="AL14" s="1283"/>
      <c r="AM14" s="1283"/>
      <c r="AN14" s="1283"/>
      <c r="AO14" s="1283"/>
      <c r="AP14" s="1283"/>
      <c r="AQ14" s="1283"/>
      <c r="AR14" s="774">
        <v>0</v>
      </c>
    </row>
    <row s="1877" customFormat="1" customHeight="1" ht="17.25" hidden="1">
      <c r="A15" s="345"/>
      <c r="C15" s="233"/>
      <c r="D15" s="2159"/>
      <c r="E15" s="2167"/>
      <c r="F15" s="2170"/>
      <c r="G15" s="2167"/>
      <c r="H15" s="2173"/>
      <c r="I15" s="2175"/>
      <c r="J15" s="2178"/>
      <c r="K15" s="2162"/>
      <c r="L15" s="2162"/>
      <c r="M15" s="2162"/>
      <c r="N15" s="2165"/>
      <c r="O15" s="2162"/>
      <c r="P15" s="1442"/>
      <c r="Q15" s="1321"/>
      <c r="R15" s="1321"/>
      <c r="S15" s="353"/>
      <c r="T15" s="353"/>
      <c r="U15" s="353"/>
      <c r="V15" s="353"/>
      <c r="W15" s="1322"/>
      <c r="Y15" s="1291"/>
      <c r="Z15" s="1291"/>
      <c r="AA15" s="1291"/>
      <c r="AB15" s="1291"/>
      <c r="AC15" s="1291"/>
      <c r="AD15" s="1291"/>
      <c r="AE15" s="1291"/>
      <c r="AF15" s="1291"/>
      <c r="AG15" s="1291"/>
      <c r="AH15" s="1291"/>
      <c r="AI15" s="1291"/>
      <c r="AJ15" s="1291"/>
      <c r="AK15" s="1291"/>
      <c r="AL15" s="1291"/>
      <c r="AM15" s="1291"/>
      <c r="AN15" s="1291"/>
      <c r="AO15" s="1291"/>
      <c r="AP15" s="1291"/>
      <c r="AQ15" s="1291"/>
      <c r="AR15" s="1441">
        <v>0</v>
      </c>
    </row>
    <row s="1877" customFormat="1" customHeight="1" ht="17.25" hidden="1">
      <c r="A16" s="345"/>
      <c r="C16" s="344"/>
      <c r="D16" s="2159"/>
      <c r="E16" s="2167"/>
      <c r="F16" s="2170"/>
      <c r="G16" s="2167"/>
      <c r="H16" s="2173"/>
      <c r="I16" s="2175"/>
      <c r="J16" s="2178"/>
      <c r="K16" s="2162"/>
      <c r="L16" s="1321"/>
      <c r="M16" s="1321"/>
      <c r="N16" s="1321"/>
      <c r="O16" s="1321"/>
      <c r="P16" s="1321"/>
      <c r="Q16" s="1321"/>
      <c r="R16" s="1321"/>
      <c r="S16" s="353"/>
      <c r="T16" s="353"/>
      <c r="U16" s="353"/>
      <c r="V16" s="353"/>
      <c r="W16" s="1322"/>
      <c r="Y16" s="1283"/>
      <c r="Z16" s="1283"/>
      <c r="AA16" s="1283"/>
      <c r="AB16" s="1283"/>
      <c r="AC16" s="1283"/>
      <c r="AD16" s="1283"/>
      <c r="AE16" s="1283"/>
      <c r="AF16" s="1283"/>
      <c r="AG16" s="1283"/>
      <c r="AH16" s="1283"/>
      <c r="AI16" s="1283"/>
      <c r="AJ16" s="1283"/>
      <c r="AK16" s="1283"/>
      <c r="AL16" s="1283"/>
      <c r="AM16" s="1283"/>
      <c r="AN16" s="1283"/>
      <c r="AO16" s="1283"/>
      <c r="AP16" s="1283"/>
      <c r="AQ16" s="1283"/>
      <c r="AR16" s="1441">
        <v>0</v>
      </c>
    </row>
    <row s="1877" customFormat="1" customHeight="1" ht="17.25" hidden="1">
      <c r="A17" s="345"/>
      <c r="C17" s="344"/>
      <c r="D17" s="2160"/>
      <c r="E17" s="2168"/>
      <c r="F17" s="2171"/>
      <c r="G17" s="2168"/>
      <c r="H17" s="1323"/>
      <c r="I17" s="1324"/>
      <c r="J17" s="1324"/>
      <c r="K17" s="1324"/>
      <c r="L17" s="1324"/>
      <c r="M17" s="1324"/>
      <c r="N17" s="1324"/>
      <c r="O17" s="1324"/>
      <c r="P17" s="1324"/>
      <c r="Q17" s="1324"/>
      <c r="R17" s="1324"/>
      <c r="S17" s="1325"/>
      <c r="T17" s="1325"/>
      <c r="U17" s="1325"/>
      <c r="V17" s="1325"/>
      <c r="W17" s="1326"/>
      <c r="Y17" s="1283"/>
      <c r="Z17" s="1283"/>
      <c r="AA17" s="1283"/>
      <c r="AB17" s="1283"/>
      <c r="AC17" s="1283"/>
      <c r="AD17" s="1283"/>
      <c r="AE17" s="1283"/>
      <c r="AF17" s="1283"/>
      <c r="AG17" s="1283"/>
      <c r="AH17" s="1283"/>
      <c r="AI17" s="1283"/>
      <c r="AJ17" s="1283"/>
      <c r="AK17" s="1283"/>
      <c r="AL17" s="1283"/>
      <c r="AM17" s="1283"/>
      <c r="AN17" s="1283"/>
      <c r="AO17" s="1283"/>
      <c r="AP17" s="1283"/>
      <c r="AQ17" s="1283"/>
      <c r="AR17" s="774">
        <v>0</v>
      </c>
    </row>
    <row s="1877" customFormat="1" customHeight="1" ht="17.25" hidden="1">
      <c r="A18" s="345"/>
      <c r="C18" s="233"/>
      <c r="D18" s="2159">
        <v>2</v>
      </c>
      <c r="E18" s="2188"/>
      <c r="F18" s="2169" t="s">
        <v>19</v>
      </c>
      <c r="G18" s="2167"/>
      <c r="H18" s="2172"/>
      <c r="I18" s="2174"/>
      <c r="J18" s="2176"/>
      <c r="K18" s="2161"/>
      <c r="L18" s="2161"/>
      <c r="M18" s="2161"/>
      <c r="N18" s="2163"/>
      <c r="O18" s="2161"/>
      <c r="P18" s="2161"/>
      <c r="Q18" s="2161"/>
      <c r="R18" s="2166"/>
      <c r="S18" s="2161"/>
      <c r="T18" s="1444"/>
      <c r="U18" s="1444"/>
      <c r="V18" s="1443"/>
      <c r="W18" s="1320"/>
      <c r="X18" s="1291"/>
      <c r="Y18" s="1291"/>
      <c r="Z18" s="1291"/>
      <c r="AA18" s="1291"/>
      <c r="AB18" s="1291"/>
      <c r="AC18" s="1291" t="s">
        <v>246</v>
      </c>
      <c r="AD18" s="1291" t="s">
        <v>247</v>
      </c>
      <c r="AE18" s="1291" t="s">
        <v>248</v>
      </c>
      <c r="AF18" s="1291" t="s">
        <v>249</v>
      </c>
      <c r="AG18" s="1291" t="s">
        <v>250</v>
      </c>
      <c r="AH18" s="1291" t="str">
        <f>IF($E$18=0,"",$E$18)</f>
        <v/>
      </c>
      <c r="AI18" s="1291" t="str">
        <f>IF($G$18=0,"",$G$18)</f>
        <v/>
      </c>
      <c r="AJ18" s="1291" t="str">
        <f>IF($J$18=0,"",$J$18)</f>
        <v/>
      </c>
      <c r="AK18" s="1291" t="str">
        <f>IF($K$18="нет","без дифференциации",IF($N$18=0,"",$N$18))</f>
        <v/>
      </c>
      <c r="AL18" s="1291" t="str">
        <f>IF($O$18="нет","без дифференциации",IF($R$18=0,"",$R$18))</f>
        <v/>
      </c>
      <c r="AM18" s="1291" t="str">
        <f>IF($S$18="нет","без дифференциации",IF($V$18=0,"",$V$18))</f>
        <v/>
      </c>
      <c r="AN18" s="1796">
        <f>$I$18</f>
        <v>0</v>
      </c>
      <c r="AO18" s="1291" t="str">
        <f>$I$18&amp;"."&amp;$M$18</f>
        <v>.</v>
      </c>
      <c r="AP18" s="1283" t="str">
        <f>$I$18&amp;"."&amp;$M$18&amp;"."&amp;$Q$18</f>
        <v>..</v>
      </c>
      <c r="AQ18" s="1283" t="str">
        <f>$I$18&amp;"."&amp;$M$18&amp;"."&amp;$Q$18&amp;"."&amp;$U$18</f>
        <v>...</v>
      </c>
      <c r="AR18" s="1307">
        <v>0</v>
      </c>
    </row>
    <row s="1877" customFormat="1" customHeight="1" ht="17.25" hidden="1">
      <c r="A19" s="345"/>
      <c r="C19" s="344"/>
      <c r="D19" s="2159"/>
      <c r="E19" s="2188"/>
      <c r="F19" s="2170"/>
      <c r="G19" s="2167"/>
      <c r="H19" s="2173"/>
      <c r="I19" s="2175"/>
      <c r="J19" s="2177"/>
      <c r="K19" s="2162"/>
      <c r="L19" s="2162"/>
      <c r="M19" s="2162"/>
      <c r="N19" s="2164"/>
      <c r="O19" s="2162"/>
      <c r="P19" s="2162"/>
      <c r="Q19" s="2162"/>
      <c r="R19" s="2165"/>
      <c r="S19" s="2162"/>
      <c r="T19" s="1321"/>
      <c r="U19" s="1321"/>
      <c r="V19" s="1321"/>
      <c r="W19" s="1322"/>
      <c r="X19" s="1283"/>
      <c r="Y19" s="1283"/>
      <c r="Z19" s="1283"/>
      <c r="AA19" s="1283"/>
      <c r="AB19" s="1283"/>
      <c r="AC19" s="1283"/>
      <c r="AD19" s="1283"/>
      <c r="AE19" s="1283"/>
      <c r="AF19" s="1283"/>
      <c r="AG19" s="1283"/>
      <c r="AH19" s="1283"/>
      <c r="AI19" s="1283"/>
      <c r="AJ19" s="1283"/>
      <c r="AK19" s="1283"/>
      <c r="AL19" s="1283"/>
      <c r="AM19" s="1283"/>
      <c r="AN19" s="1283"/>
      <c r="AO19" s="1283"/>
      <c r="AP19" s="1283"/>
      <c r="AQ19" s="1283"/>
      <c r="AR19" s="1307">
        <v>0</v>
      </c>
    </row>
    <row s="1877" customFormat="1" customHeight="1" ht="17.25" hidden="1">
      <c r="A20" s="345"/>
      <c r="C20" s="344"/>
      <c r="D20" s="2160"/>
      <c r="E20" s="2189"/>
      <c r="F20" s="2170"/>
      <c r="G20" s="2168"/>
      <c r="H20" s="2173"/>
      <c r="I20" s="2175"/>
      <c r="J20" s="2178"/>
      <c r="K20" s="2162"/>
      <c r="L20" s="2162"/>
      <c r="M20" s="2162"/>
      <c r="N20" s="2165"/>
      <c r="O20" s="2162"/>
      <c r="P20" s="1442"/>
      <c r="Q20" s="1321"/>
      <c r="R20" s="1321"/>
      <c r="S20" s="353"/>
      <c r="T20" s="353"/>
      <c r="U20" s="353"/>
      <c r="V20" s="353"/>
      <c r="W20" s="1322"/>
      <c r="X20" s="1283"/>
      <c r="Y20" s="1283"/>
      <c r="Z20" s="1283"/>
      <c r="AA20" s="1283"/>
      <c r="AB20" s="1283"/>
      <c r="AC20" s="1283"/>
      <c r="AD20" s="1283"/>
      <c r="AE20" s="1283"/>
      <c r="AF20" s="1283"/>
      <c r="AG20" s="1283"/>
      <c r="AH20" s="1283"/>
      <c r="AI20" s="1283"/>
      <c r="AJ20" s="1283"/>
      <c r="AK20" s="1283"/>
      <c r="AL20" s="1283"/>
      <c r="AM20" s="1283"/>
      <c r="AN20" s="1283"/>
      <c r="AO20" s="1283"/>
      <c r="AP20" s="1283"/>
      <c r="AQ20" s="1283"/>
      <c r="AR20" s="1307">
        <v>0</v>
      </c>
    </row>
    <row s="1877" customFormat="1" customHeight="1" ht="17.25" hidden="1">
      <c r="A21" s="345"/>
      <c r="C21" s="344"/>
      <c r="D21" s="2160"/>
      <c r="E21" s="2189"/>
      <c r="F21" s="2170"/>
      <c r="G21" s="2168"/>
      <c r="H21" s="2173"/>
      <c r="I21" s="2175"/>
      <c r="J21" s="2178"/>
      <c r="K21" s="2162"/>
      <c r="L21" s="1321"/>
      <c r="M21" s="1321"/>
      <c r="N21" s="1321"/>
      <c r="O21" s="1321"/>
      <c r="P21" s="1321"/>
      <c r="Q21" s="1321"/>
      <c r="R21" s="1321"/>
      <c r="S21" s="353"/>
      <c r="T21" s="353"/>
      <c r="U21" s="353"/>
      <c r="V21" s="353"/>
      <c r="W21" s="1322"/>
      <c r="X21" s="1283"/>
      <c r="Y21" s="1283"/>
      <c r="Z21" s="1283"/>
      <c r="AA21" s="1283"/>
      <c r="AB21" s="1283"/>
      <c r="AC21" s="1283"/>
      <c r="AD21" s="1283"/>
      <c r="AE21" s="1283"/>
      <c r="AF21" s="1283"/>
      <c r="AG21" s="1283"/>
      <c r="AH21" s="1283"/>
      <c r="AI21" s="1283"/>
      <c r="AJ21" s="1283"/>
      <c r="AK21" s="1283"/>
      <c r="AL21" s="1283"/>
      <c r="AM21" s="1283"/>
      <c r="AN21" s="1283"/>
      <c r="AO21" s="1283"/>
      <c r="AP21" s="1283"/>
      <c r="AQ21" s="1283"/>
      <c r="AR21" s="1307">
        <v>0</v>
      </c>
    </row>
    <row s="1877" customFormat="1" customHeight="1" ht="17.25" hidden="1">
      <c r="A22" s="345"/>
      <c r="C22" s="344"/>
      <c r="D22" s="2160"/>
      <c r="E22" s="2189"/>
      <c r="F22" s="2171"/>
      <c r="G22" s="2168"/>
      <c r="H22" s="1323"/>
      <c r="I22" s="1324"/>
      <c r="J22" s="1324"/>
      <c r="K22" s="1324"/>
      <c r="L22" s="1324"/>
      <c r="M22" s="1324"/>
      <c r="N22" s="1324"/>
      <c r="O22" s="1324"/>
      <c r="P22" s="1324"/>
      <c r="Q22" s="1324"/>
      <c r="R22" s="1324"/>
      <c r="S22" s="1325"/>
      <c r="T22" s="1325"/>
      <c r="U22" s="1325"/>
      <c r="V22" s="1325"/>
      <c r="W22" s="1326"/>
      <c r="X22" s="1283"/>
      <c r="Y22" s="1283"/>
      <c r="Z22" s="1283"/>
      <c r="AA22" s="1283"/>
      <c r="AB22" s="1283"/>
      <c r="AC22" s="1283"/>
      <c r="AD22" s="1283"/>
      <c r="AE22" s="1283"/>
      <c r="AF22" s="1283"/>
      <c r="AG22" s="1283"/>
      <c r="AH22" s="1283"/>
      <c r="AI22" s="1283"/>
      <c r="AJ22" s="1283"/>
      <c r="AK22" s="1283"/>
      <c r="AL22" s="1283"/>
      <c r="AM22" s="1283"/>
      <c r="AN22" s="1283"/>
      <c r="AO22" s="1283"/>
      <c r="AP22" s="1283"/>
      <c r="AQ22" s="1283"/>
      <c r="AR22" s="1307">
        <v>0</v>
      </c>
    </row>
    <row s="1877" customFormat="1" customHeight="1" ht="17.25" hidden="1">
      <c r="A23" s="345"/>
      <c r="C23" s="233"/>
      <c r="D23" s="2159">
        <v>2</v>
      </c>
      <c r="E23" s="2167" t="s">
        <v>251</v>
      </c>
      <c r="F23" s="2169" t="s">
        <v>19</v>
      </c>
      <c r="G23" s="2167"/>
      <c r="H23" s="2172"/>
      <c r="I23" s="2174"/>
      <c r="J23" s="2176"/>
      <c r="K23" s="2161"/>
      <c r="L23" s="2161"/>
      <c r="M23" s="2161"/>
      <c r="N23" s="2163"/>
      <c r="O23" s="2161"/>
      <c r="P23" s="2161"/>
      <c r="Q23" s="2161"/>
      <c r="R23" s="2166"/>
      <c r="S23" s="2161"/>
      <c r="T23" s="2022"/>
      <c r="U23" s="2022"/>
      <c r="V23" s="2024"/>
      <c r="W23" s="1320"/>
      <c r="X23" s="1291"/>
      <c r="Y23" s="1291"/>
      <c r="Z23" s="1291"/>
      <c r="AA23" s="1291"/>
      <c r="AB23" s="1291"/>
      <c r="AC23" s="1291" t="s">
        <v>246</v>
      </c>
      <c r="AD23" s="1291" t="s">
        <v>247</v>
      </c>
      <c r="AE23" s="1291" t="s">
        <v>248</v>
      </c>
      <c r="AF23" s="1291" t="s">
        <v>249</v>
      </c>
      <c r="AG23" s="1291" t="s">
        <v>250</v>
      </c>
      <c r="AH23" s="129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91" t="str">
        <f>IF($G$23=0,"",$G$23)</f>
        <v/>
      </c>
      <c r="AJ23" s="1291" t="str">
        <f>IF($J$23=0,"",$J$23)</f>
        <v/>
      </c>
      <c r="AK23" s="1291" t="str">
        <f>IF($K$23="нет","без дифференциации",IF($N$23=0,"",$N$23))</f>
        <v/>
      </c>
      <c r="AL23" s="1291" t="str">
        <f>IF($O$23="нет","без дифференциации",IF($R$23=0,"",$R$23))</f>
        <v/>
      </c>
      <c r="AM23" s="1291" t="str">
        <f>IF($S$23="нет","без дифференциации",IF($V$23=0,"",$V$23))</f>
        <v/>
      </c>
      <c r="AN23" s="1796">
        <f>$I$23</f>
        <v>0</v>
      </c>
      <c r="AO23" s="1291" t="str">
        <f>$I$23&amp;"."&amp;$M$23</f>
        <v>.</v>
      </c>
      <c r="AP23" s="1290" t="str">
        <f>$I$23&amp;"."&amp;$M$23&amp;"."&amp;$Q$23</f>
        <v>..</v>
      </c>
      <c r="AQ23" s="1290" t="str">
        <f>$I$23&amp;"."&amp;$M$23&amp;"."&amp;$Q$23&amp;"."&amp;$U$23</f>
        <v>...</v>
      </c>
      <c r="AR23" s="1491">
        <v>0</v>
      </c>
    </row>
    <row s="1877" customFormat="1" customHeight="1" ht="17.25" hidden="1">
      <c r="A24" s="345"/>
      <c r="C24" s="344"/>
      <c r="D24" s="2159"/>
      <c r="E24" s="2167"/>
      <c r="F24" s="2170"/>
      <c r="G24" s="2167"/>
      <c r="H24" s="2173"/>
      <c r="I24" s="2175"/>
      <c r="J24" s="2177"/>
      <c r="K24" s="2162"/>
      <c r="L24" s="2162"/>
      <c r="M24" s="2162"/>
      <c r="N24" s="2164"/>
      <c r="O24" s="2162"/>
      <c r="P24" s="2162"/>
      <c r="Q24" s="2162"/>
      <c r="R24" s="2165"/>
      <c r="S24" s="2162"/>
      <c r="T24" s="2027"/>
      <c r="U24" s="2027"/>
      <c r="V24" s="2027"/>
      <c r="W24" s="2028"/>
      <c r="X24" s="1290"/>
      <c r="Y24" s="1290"/>
      <c r="Z24" s="1290"/>
      <c r="AA24" s="1290"/>
      <c r="AB24" s="1290"/>
      <c r="AC24" s="1290"/>
      <c r="AD24" s="1290"/>
      <c r="AE24" s="1290"/>
      <c r="AF24" s="1290"/>
      <c r="AG24" s="1290"/>
      <c r="AH24" s="1290"/>
      <c r="AI24" s="1290"/>
      <c r="AJ24" s="1290"/>
      <c r="AK24" s="1290"/>
      <c r="AL24" s="1290"/>
      <c r="AM24" s="1290"/>
      <c r="AN24" s="1290"/>
      <c r="AO24" s="1290"/>
      <c r="AP24" s="1290"/>
      <c r="AQ24" s="1290"/>
      <c r="AR24" s="1491">
        <v>0</v>
      </c>
    </row>
    <row s="1877" customFormat="1" customHeight="1" ht="17.25" hidden="1">
      <c r="A25" s="345"/>
      <c r="C25" s="344"/>
      <c r="D25" s="2160"/>
      <c r="E25" s="2168"/>
      <c r="F25" s="2170"/>
      <c r="G25" s="2168"/>
      <c r="H25" s="2173"/>
      <c r="I25" s="2175"/>
      <c r="J25" s="2178"/>
      <c r="K25" s="2162"/>
      <c r="L25" s="2162"/>
      <c r="M25" s="2162"/>
      <c r="N25" s="2165"/>
      <c r="O25" s="2162"/>
      <c r="P25" s="2023"/>
      <c r="Q25" s="2027"/>
      <c r="R25" s="2027"/>
      <c r="S25" s="353"/>
      <c r="T25" s="353"/>
      <c r="U25" s="353"/>
      <c r="V25" s="353"/>
      <c r="W25" s="2028"/>
      <c r="X25" s="1290"/>
      <c r="Y25" s="1290"/>
      <c r="Z25" s="1290"/>
      <c r="AA25" s="1290"/>
      <c r="AB25" s="1290"/>
      <c r="AC25" s="1290"/>
      <c r="AD25" s="1290"/>
      <c r="AE25" s="1290"/>
      <c r="AF25" s="1290"/>
      <c r="AG25" s="1290"/>
      <c r="AH25" s="1290"/>
      <c r="AI25" s="1290"/>
      <c r="AJ25" s="1290"/>
      <c r="AK25" s="1290"/>
      <c r="AL25" s="1290"/>
      <c r="AM25" s="1290"/>
      <c r="AN25" s="1290"/>
      <c r="AO25" s="1290"/>
      <c r="AP25" s="1290"/>
      <c r="AQ25" s="1290"/>
      <c r="AR25" s="1491">
        <v>0</v>
      </c>
    </row>
    <row s="1877" customFormat="1" customHeight="1" ht="17.25" hidden="1">
      <c r="A26" s="345"/>
      <c r="C26" s="344"/>
      <c r="D26" s="2160"/>
      <c r="E26" s="2168"/>
      <c r="F26" s="2170"/>
      <c r="G26" s="2168"/>
      <c r="H26" s="2173"/>
      <c r="I26" s="2175"/>
      <c r="J26" s="2178"/>
      <c r="K26" s="2162"/>
      <c r="L26" s="2027"/>
      <c r="M26" s="2027"/>
      <c r="N26" s="2027"/>
      <c r="O26" s="2027"/>
      <c r="P26" s="2027"/>
      <c r="Q26" s="2027"/>
      <c r="R26" s="2027"/>
      <c r="S26" s="353"/>
      <c r="T26" s="353"/>
      <c r="U26" s="353"/>
      <c r="V26" s="353"/>
      <c r="W26" s="2028"/>
      <c r="X26" s="1290"/>
      <c r="Y26" s="1290"/>
      <c r="Z26" s="1290"/>
      <c r="AA26" s="1290"/>
      <c r="AB26" s="1290"/>
      <c r="AC26" s="1290"/>
      <c r="AD26" s="1290"/>
      <c r="AE26" s="1290"/>
      <c r="AF26" s="1290"/>
      <c r="AG26" s="1290"/>
      <c r="AH26" s="1290"/>
      <c r="AI26" s="1290"/>
      <c r="AJ26" s="1290"/>
      <c r="AK26" s="1290"/>
      <c r="AL26" s="1290"/>
      <c r="AM26" s="1290"/>
      <c r="AN26" s="1290"/>
      <c r="AO26" s="1290"/>
      <c r="AP26" s="1290"/>
      <c r="AQ26" s="1290"/>
      <c r="AR26" s="1491">
        <v>0</v>
      </c>
    </row>
    <row s="1877" customFormat="1" customHeight="1" ht="17.25" hidden="1">
      <c r="A27" s="345"/>
      <c r="C27" s="344"/>
      <c r="D27" s="2160"/>
      <c r="E27" s="2168"/>
      <c r="F27" s="2171"/>
      <c r="G27" s="2168"/>
      <c r="H27" s="1323"/>
      <c r="I27" s="2025"/>
      <c r="J27" s="2025"/>
      <c r="K27" s="2025"/>
      <c r="L27" s="2025"/>
      <c r="M27" s="2025"/>
      <c r="N27" s="2025"/>
      <c r="O27" s="2025"/>
      <c r="P27" s="2025"/>
      <c r="Q27" s="2025"/>
      <c r="R27" s="2025"/>
      <c r="S27" s="1325"/>
      <c r="T27" s="1325"/>
      <c r="U27" s="1325"/>
      <c r="V27" s="1325"/>
      <c r="W27" s="2026"/>
      <c r="X27" s="1290"/>
      <c r="Y27" s="1290"/>
      <c r="Z27" s="1290"/>
      <c r="AA27" s="1290"/>
      <c r="AB27" s="1290"/>
      <c r="AC27" s="1290"/>
      <c r="AD27" s="1290"/>
      <c r="AE27" s="1290"/>
      <c r="AF27" s="1290"/>
      <c r="AG27" s="1290"/>
      <c r="AH27" s="1290"/>
      <c r="AI27" s="1290"/>
      <c r="AJ27" s="1290"/>
      <c r="AK27" s="1290"/>
      <c r="AL27" s="1290"/>
      <c r="AM27" s="1290"/>
      <c r="AN27" s="1290"/>
      <c r="AO27" s="1290"/>
      <c r="AP27" s="1290"/>
      <c r="AQ27" s="1290"/>
      <c r="AR27" s="1491">
        <v>0</v>
      </c>
    </row>
    <row s="1877" customFormat="1" customHeight="1" ht="17.25" hidden="1">
      <c r="A28" s="345"/>
      <c r="C28" s="233"/>
      <c r="D28" s="2159">
        <v>3</v>
      </c>
      <c r="E28" s="2167" t="s">
        <v>252</v>
      </c>
      <c r="F28" s="2169" t="s">
        <v>19</v>
      </c>
      <c r="G28" s="2167"/>
      <c r="H28" s="2172"/>
      <c r="I28" s="2174"/>
      <c r="J28" s="2176"/>
      <c r="K28" s="2161"/>
      <c r="L28" s="2161"/>
      <c r="M28" s="2161"/>
      <c r="N28" s="2163"/>
      <c r="O28" s="2161"/>
      <c r="P28" s="2161"/>
      <c r="Q28" s="2161"/>
      <c r="R28" s="2166"/>
      <c r="S28" s="2161"/>
      <c r="T28" s="1444"/>
      <c r="U28" s="1444"/>
      <c r="V28" s="1443"/>
      <c r="W28" s="1320"/>
      <c r="X28" s="1291"/>
      <c r="Y28" s="1291"/>
      <c r="Z28" s="1291"/>
      <c r="AA28" s="1291"/>
      <c r="AB28" s="1291"/>
      <c r="AC28" s="1291" t="s">
        <v>253</v>
      </c>
      <c r="AD28" s="1291" t="s">
        <v>254</v>
      </c>
      <c r="AE28" s="1291" t="s">
        <v>255</v>
      </c>
      <c r="AF28" s="1291" t="s">
        <v>256</v>
      </c>
      <c r="AG28" s="1291" t="s">
        <v>257</v>
      </c>
      <c r="AH28" s="1291" t="str">
        <f>IF($E$28=0,"",$E$28)</f>
        <v>Тарифы на теплоноситель, поставляемый теплоснабжающими организациями потребителям, другим теплоснабжающим организациям</v>
      </c>
      <c r="AI28" s="1291" t="str">
        <f>IF($G$28=0,"",$G$28)</f>
        <v/>
      </c>
      <c r="AJ28" s="1291" t="str">
        <f>IF($J$28=0,"",$J$28)</f>
        <v/>
      </c>
      <c r="AK28" s="1291" t="str">
        <f>IF($K$28="нет","без дифференциации",IF($N$28=0,"",$N$28))</f>
        <v/>
      </c>
      <c r="AL28" s="1291" t="str">
        <f>IF($O$28="нет","без дифференциации",IF($R$28=0,"",$R$28))</f>
        <v/>
      </c>
      <c r="AM28" s="1291" t="str">
        <f>IF($S$28="нет","без дифференциации",IF($V$28=0,"",$V$28))</f>
        <v/>
      </c>
      <c r="AN28" s="1796">
        <f>$I$28</f>
        <v>0</v>
      </c>
      <c r="AO28" s="1291" t="str">
        <f>$I$28&amp;"."&amp;$M$28</f>
        <v>.</v>
      </c>
      <c r="AP28" s="1283" t="str">
        <f>$I$28&amp;"."&amp;$M$28&amp;"."&amp;$Q$28</f>
        <v>..</v>
      </c>
      <c r="AQ28" s="1283" t="str">
        <f>$I$28&amp;"."&amp;$M$28&amp;"."&amp;$Q$28&amp;"."&amp;$U$28</f>
        <v>...</v>
      </c>
      <c r="AR28" s="1307">
        <v>0</v>
      </c>
    </row>
    <row s="1877" customFormat="1" customHeight="1" ht="17.25" hidden="1">
      <c r="A29" s="345"/>
      <c r="C29" s="344"/>
      <c r="D29" s="2159"/>
      <c r="E29" s="2167"/>
      <c r="F29" s="2170"/>
      <c r="G29" s="2167"/>
      <c r="H29" s="2173"/>
      <c r="I29" s="2175"/>
      <c r="J29" s="2177"/>
      <c r="K29" s="2162"/>
      <c r="L29" s="2162"/>
      <c r="M29" s="2162"/>
      <c r="N29" s="2164"/>
      <c r="O29" s="2162"/>
      <c r="P29" s="2162"/>
      <c r="Q29" s="2162"/>
      <c r="R29" s="2165"/>
      <c r="S29" s="2162"/>
      <c r="T29" s="1321"/>
      <c r="U29" s="1321"/>
      <c r="V29" s="1321"/>
      <c r="W29" s="1322"/>
      <c r="X29" s="1283"/>
      <c r="Y29" s="1283"/>
      <c r="Z29" s="1283"/>
      <c r="AA29" s="1283"/>
      <c r="AB29" s="1283"/>
      <c r="AC29" s="1283"/>
      <c r="AD29" s="1283"/>
      <c r="AE29" s="1283"/>
      <c r="AF29" s="1283"/>
      <c r="AG29" s="1283"/>
      <c r="AH29" s="1283"/>
      <c r="AI29" s="1283"/>
      <c r="AJ29" s="1283"/>
      <c r="AK29" s="1283"/>
      <c r="AL29" s="1283"/>
      <c r="AM29" s="1283"/>
      <c r="AN29" s="1283"/>
      <c r="AO29" s="1283"/>
      <c r="AP29" s="1283"/>
      <c r="AQ29" s="1283"/>
      <c r="AR29" s="1307">
        <v>0</v>
      </c>
    </row>
    <row s="1877" customFormat="1" customHeight="1" ht="17.25" hidden="1">
      <c r="A30" s="345"/>
      <c r="C30" s="344"/>
      <c r="D30" s="2160"/>
      <c r="E30" s="2168"/>
      <c r="F30" s="2170"/>
      <c r="G30" s="2168"/>
      <c r="H30" s="2173"/>
      <c r="I30" s="2175"/>
      <c r="J30" s="2178"/>
      <c r="K30" s="2162"/>
      <c r="L30" s="2162"/>
      <c r="M30" s="2162"/>
      <c r="N30" s="2165"/>
      <c r="O30" s="2162"/>
      <c r="P30" s="1442"/>
      <c r="Q30" s="1321"/>
      <c r="R30" s="1321"/>
      <c r="S30" s="353"/>
      <c r="T30" s="353"/>
      <c r="U30" s="353"/>
      <c r="V30" s="353"/>
      <c r="W30" s="1322"/>
      <c r="X30" s="1283"/>
      <c r="Y30" s="1283"/>
      <c r="Z30" s="1283"/>
      <c r="AA30" s="1283"/>
      <c r="AB30" s="1283"/>
      <c r="AC30" s="1283"/>
      <c r="AD30" s="1283"/>
      <c r="AE30" s="1283"/>
      <c r="AF30" s="1283"/>
      <c r="AG30" s="1283"/>
      <c r="AH30" s="1283"/>
      <c r="AI30" s="1283"/>
      <c r="AJ30" s="1283"/>
      <c r="AK30" s="1283"/>
      <c r="AL30" s="1283"/>
      <c r="AM30" s="1283"/>
      <c r="AN30" s="1283"/>
      <c r="AO30" s="1283"/>
      <c r="AP30" s="1283"/>
      <c r="AQ30" s="1283"/>
      <c r="AR30" s="1307">
        <v>0</v>
      </c>
    </row>
    <row s="1877" customFormat="1" customHeight="1" ht="17.25" hidden="1">
      <c r="A31" s="345"/>
      <c r="C31" s="344"/>
      <c r="D31" s="2160"/>
      <c r="E31" s="2168"/>
      <c r="F31" s="2170"/>
      <c r="G31" s="2168"/>
      <c r="H31" s="2173"/>
      <c r="I31" s="2175"/>
      <c r="J31" s="2178"/>
      <c r="K31" s="2162"/>
      <c r="L31" s="1321"/>
      <c r="M31" s="1321"/>
      <c r="N31" s="1321"/>
      <c r="O31" s="1321"/>
      <c r="P31" s="1321"/>
      <c r="Q31" s="1321"/>
      <c r="R31" s="1321"/>
      <c r="S31" s="353"/>
      <c r="T31" s="353"/>
      <c r="U31" s="353"/>
      <c r="V31" s="353"/>
      <c r="W31" s="1322"/>
      <c r="X31" s="1283"/>
      <c r="Y31" s="1283"/>
      <c r="Z31" s="1283"/>
      <c r="AA31" s="1283"/>
      <c r="AB31" s="1283"/>
      <c r="AC31" s="1283"/>
      <c r="AD31" s="1283"/>
      <c r="AE31" s="1283"/>
      <c r="AF31" s="1283"/>
      <c r="AG31" s="1283"/>
      <c r="AH31" s="1283"/>
      <c r="AI31" s="1283"/>
      <c r="AJ31" s="1283"/>
      <c r="AK31" s="1283"/>
      <c r="AL31" s="1283"/>
      <c r="AM31" s="1283"/>
      <c r="AN31" s="1283"/>
      <c r="AO31" s="1283"/>
      <c r="AP31" s="1283"/>
      <c r="AQ31" s="1283"/>
      <c r="AR31" s="1307">
        <v>0</v>
      </c>
    </row>
    <row s="1877" customFormat="1" customHeight="1" ht="17.25" hidden="1">
      <c r="A32" s="345"/>
      <c r="C32" s="344"/>
      <c r="D32" s="2160"/>
      <c r="E32" s="2168"/>
      <c r="F32" s="2171"/>
      <c r="G32" s="2168"/>
      <c r="H32" s="1323"/>
      <c r="I32" s="1324"/>
      <c r="J32" s="1324"/>
      <c r="K32" s="1324"/>
      <c r="L32" s="1324"/>
      <c r="M32" s="1324"/>
      <c r="N32" s="1324"/>
      <c r="O32" s="1324"/>
      <c r="P32" s="1324"/>
      <c r="Q32" s="1324"/>
      <c r="R32" s="1324"/>
      <c r="S32" s="1325"/>
      <c r="T32" s="1325"/>
      <c r="U32" s="1325"/>
      <c r="V32" s="1325"/>
      <c r="W32" s="1326"/>
      <c r="X32" s="1283"/>
      <c r="Y32" s="1283"/>
      <c r="Z32" s="1283"/>
      <c r="AA32" s="1283"/>
      <c r="AB32" s="1283"/>
      <c r="AC32" s="1283"/>
      <c r="AD32" s="1283"/>
      <c r="AE32" s="1283"/>
      <c r="AF32" s="1283"/>
      <c r="AG32" s="1283"/>
      <c r="AH32" s="1283"/>
      <c r="AI32" s="1283"/>
      <c r="AJ32" s="1283"/>
      <c r="AK32" s="1283"/>
      <c r="AL32" s="1283"/>
      <c r="AM32" s="1283"/>
      <c r="AN32" s="1283"/>
      <c r="AO32" s="1283"/>
      <c r="AP32" s="1283"/>
      <c r="AQ32" s="1283"/>
      <c r="AR32" s="1307">
        <v>0</v>
      </c>
    </row>
    <row s="1877" customFormat="1" customHeight="1" ht="17.25" hidden="1">
      <c r="A33" s="345"/>
      <c r="C33" s="233"/>
      <c r="D33" s="2159">
        <v>4</v>
      </c>
      <c r="E33" s="2167" t="s">
        <v>258</v>
      </c>
      <c r="F33" s="2169" t="s">
        <v>19</v>
      </c>
      <c r="G33" s="2167"/>
      <c r="H33" s="2172"/>
      <c r="I33" s="2174"/>
      <c r="J33" s="2176"/>
      <c r="K33" s="2161"/>
      <c r="L33" s="2161"/>
      <c r="M33" s="2161"/>
      <c r="N33" s="2163"/>
      <c r="O33" s="2161"/>
      <c r="P33" s="2161"/>
      <c r="Q33" s="2161"/>
      <c r="R33" s="2166"/>
      <c r="S33" s="2161"/>
      <c r="T33" s="1444"/>
      <c r="U33" s="1444"/>
      <c r="V33" s="1443"/>
      <c r="W33" s="1320"/>
      <c r="X33" s="1291"/>
      <c r="Y33" s="1291"/>
      <c r="Z33" s="1291"/>
      <c r="AA33" s="1291"/>
      <c r="AB33" s="1291"/>
      <c r="AC33" s="1291" t="s">
        <v>259</v>
      </c>
      <c r="AD33" s="1291" t="s">
        <v>260</v>
      </c>
      <c r="AE33" s="1291" t="s">
        <v>261</v>
      </c>
      <c r="AF33" s="1291" t="s">
        <v>262</v>
      </c>
      <c r="AG33" s="1291" t="s">
        <v>263</v>
      </c>
      <c r="AH33" s="129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91" t="str">
        <f>IF($G$33=0,"",$G$33)</f>
        <v/>
      </c>
      <c r="AJ33" s="1291" t="str">
        <f>IF($J$33=0,"",$J$33)</f>
        <v/>
      </c>
      <c r="AK33" s="1291" t="str">
        <f>IF($K$33="нет","без дифференциации",IF($N$33=0,"",$N$33))</f>
        <v/>
      </c>
      <c r="AL33" s="1291" t="str">
        <f>IF($O$33="нет","без дифференциации",IF($R$33=0,"",$R$33))</f>
        <v/>
      </c>
      <c r="AM33" s="1291" t="str">
        <f>IF($S$33="нет","без дифференциации",IF($V$33=0,"",$V$33))</f>
        <v/>
      </c>
      <c r="AN33" s="1796">
        <f>$I$33</f>
        <v>0</v>
      </c>
      <c r="AO33" s="1291" t="str">
        <f>$I$33&amp;"."&amp;$M$33</f>
        <v>.</v>
      </c>
      <c r="AP33" s="1283" t="str">
        <f>$I$33&amp;"."&amp;$M$33&amp;"."&amp;$Q$33</f>
        <v>..</v>
      </c>
      <c r="AQ33" s="1283" t="str">
        <f>$I$33&amp;"."&amp;$M$33&amp;"."&amp;$Q$33&amp;"."&amp;$U$33</f>
        <v>...</v>
      </c>
      <c r="AR33" s="1307">
        <v>0</v>
      </c>
    </row>
    <row s="1877" customFormat="1" customHeight="1" ht="17.25" hidden="1">
      <c r="A34" s="345"/>
      <c r="C34" s="344"/>
      <c r="D34" s="2159"/>
      <c r="E34" s="2167"/>
      <c r="F34" s="2170"/>
      <c r="G34" s="2167"/>
      <c r="H34" s="2173"/>
      <c r="I34" s="2175"/>
      <c r="J34" s="2177"/>
      <c r="K34" s="2162"/>
      <c r="L34" s="2162"/>
      <c r="M34" s="2162"/>
      <c r="N34" s="2164"/>
      <c r="O34" s="2162"/>
      <c r="P34" s="2162"/>
      <c r="Q34" s="2162"/>
      <c r="R34" s="2165"/>
      <c r="S34" s="2162"/>
      <c r="T34" s="1321"/>
      <c r="U34" s="1321"/>
      <c r="V34" s="1321"/>
      <c r="W34" s="1322"/>
      <c r="X34" s="1283"/>
      <c r="Y34" s="1283"/>
      <c r="Z34" s="1283"/>
      <c r="AA34" s="1283"/>
      <c r="AB34" s="1283"/>
      <c r="AC34" s="1283"/>
      <c r="AD34" s="1283"/>
      <c r="AE34" s="1283"/>
      <c r="AF34" s="1283"/>
      <c r="AG34" s="1283"/>
      <c r="AH34" s="1283"/>
      <c r="AI34" s="1283"/>
      <c r="AJ34" s="1283"/>
      <c r="AK34" s="1283"/>
      <c r="AL34" s="1283"/>
      <c r="AM34" s="1283"/>
      <c r="AN34" s="1283"/>
      <c r="AO34" s="1283"/>
      <c r="AP34" s="1283"/>
      <c r="AQ34" s="1283"/>
      <c r="AR34" s="1307">
        <v>0</v>
      </c>
    </row>
    <row s="1877" customFormat="1" customHeight="1" ht="17.25" hidden="1">
      <c r="A35" s="345"/>
      <c r="C35" s="344"/>
      <c r="D35" s="2160"/>
      <c r="E35" s="2168"/>
      <c r="F35" s="2170"/>
      <c r="G35" s="2168"/>
      <c r="H35" s="2173"/>
      <c r="I35" s="2175"/>
      <c r="J35" s="2178"/>
      <c r="K35" s="2162"/>
      <c r="L35" s="2162"/>
      <c r="M35" s="2162"/>
      <c r="N35" s="2165"/>
      <c r="O35" s="2162"/>
      <c r="P35" s="1442"/>
      <c r="Q35" s="1321"/>
      <c r="R35" s="1321"/>
      <c r="S35" s="353"/>
      <c r="T35" s="353"/>
      <c r="U35" s="353"/>
      <c r="V35" s="353"/>
      <c r="W35" s="1322"/>
      <c r="X35" s="1283"/>
      <c r="Y35" s="1283"/>
      <c r="Z35" s="1283"/>
      <c r="AA35" s="1283"/>
      <c r="AB35" s="1283"/>
      <c r="AC35" s="1283"/>
      <c r="AD35" s="1283"/>
      <c r="AE35" s="1283"/>
      <c r="AF35" s="1283"/>
      <c r="AG35" s="1283"/>
      <c r="AH35" s="1283"/>
      <c r="AI35" s="1283"/>
      <c r="AJ35" s="1283"/>
      <c r="AK35" s="1283"/>
      <c r="AL35" s="1283"/>
      <c r="AM35" s="1283"/>
      <c r="AN35" s="1283"/>
      <c r="AO35" s="1283"/>
      <c r="AP35" s="1283"/>
      <c r="AQ35" s="1283"/>
      <c r="AR35" s="1307">
        <v>0</v>
      </c>
    </row>
    <row s="1877" customFormat="1" customHeight="1" ht="17.25" hidden="1">
      <c r="A36" s="345"/>
      <c r="C36" s="344"/>
      <c r="D36" s="2160"/>
      <c r="E36" s="2168"/>
      <c r="F36" s="2170"/>
      <c r="G36" s="2168"/>
      <c r="H36" s="2173"/>
      <c r="I36" s="2175"/>
      <c r="J36" s="2178"/>
      <c r="K36" s="2162"/>
      <c r="L36" s="1321"/>
      <c r="M36" s="1321"/>
      <c r="N36" s="1321"/>
      <c r="O36" s="1321"/>
      <c r="P36" s="1321"/>
      <c r="Q36" s="1321"/>
      <c r="R36" s="1321"/>
      <c r="S36" s="353"/>
      <c r="T36" s="353"/>
      <c r="U36" s="353"/>
      <c r="V36" s="353"/>
      <c r="W36" s="1322"/>
      <c r="X36" s="1283"/>
      <c r="Y36" s="1283"/>
      <c r="Z36" s="1283"/>
      <c r="AA36" s="1283"/>
      <c r="AB36" s="1283"/>
      <c r="AC36" s="1283"/>
      <c r="AD36" s="1283"/>
      <c r="AE36" s="1283"/>
      <c r="AF36" s="1283"/>
      <c r="AG36" s="1283"/>
      <c r="AH36" s="1283"/>
      <c r="AI36" s="1283"/>
      <c r="AJ36" s="1283"/>
      <c r="AK36" s="1283"/>
      <c r="AL36" s="1283"/>
      <c r="AM36" s="1283"/>
      <c r="AN36" s="1283"/>
      <c r="AO36" s="1283"/>
      <c r="AP36" s="1283"/>
      <c r="AQ36" s="1283"/>
      <c r="AR36" s="1307">
        <v>0</v>
      </c>
    </row>
    <row s="1877" customFormat="1" customHeight="1" ht="17.25" hidden="1">
      <c r="A37" s="345"/>
      <c r="C37" s="344"/>
      <c r="D37" s="2160"/>
      <c r="E37" s="2168"/>
      <c r="F37" s="2171"/>
      <c r="G37" s="2168"/>
      <c r="H37" s="1323"/>
      <c r="I37" s="1324"/>
      <c r="J37" s="1324"/>
      <c r="K37" s="1324"/>
      <c r="L37" s="1324"/>
      <c r="M37" s="1324"/>
      <c r="N37" s="1324"/>
      <c r="O37" s="1324"/>
      <c r="P37" s="1324"/>
      <c r="Q37" s="1324"/>
      <c r="R37" s="1324"/>
      <c r="S37" s="1325"/>
      <c r="T37" s="1325"/>
      <c r="U37" s="1325"/>
      <c r="V37" s="1325"/>
      <c r="W37" s="1326"/>
      <c r="X37" s="1283"/>
      <c r="Y37" s="1283"/>
      <c r="Z37" s="1283"/>
      <c r="AA37" s="1283"/>
      <c r="AB37" s="1283"/>
      <c r="AC37" s="1283"/>
      <c r="AD37" s="1283"/>
      <c r="AE37" s="1283"/>
      <c r="AF37" s="1283"/>
      <c r="AG37" s="1283"/>
      <c r="AH37" s="1283"/>
      <c r="AI37" s="1283"/>
      <c r="AJ37" s="1283"/>
      <c r="AK37" s="1283"/>
      <c r="AL37" s="1283"/>
      <c r="AM37" s="1283"/>
      <c r="AN37" s="1283"/>
      <c r="AO37" s="1283"/>
      <c r="AP37" s="1283"/>
      <c r="AQ37" s="1283"/>
      <c r="AR37" s="1307">
        <v>0</v>
      </c>
    </row>
    <row s="1877" customFormat="1" customHeight="1" ht="17.25" hidden="1">
      <c r="A38" s="345"/>
      <c r="C38" s="233"/>
      <c r="D38" s="2159">
        <v>5</v>
      </c>
      <c r="E38" s="2167" t="s">
        <v>264</v>
      </c>
      <c r="F38" s="2169" t="s">
        <v>19</v>
      </c>
      <c r="G38" s="2167"/>
      <c r="H38" s="2172"/>
      <c r="I38" s="2174"/>
      <c r="J38" s="2176"/>
      <c r="K38" s="2161"/>
      <c r="L38" s="2161"/>
      <c r="M38" s="2161"/>
      <c r="N38" s="2163"/>
      <c r="O38" s="2161"/>
      <c r="P38" s="2161"/>
      <c r="Q38" s="2161"/>
      <c r="R38" s="2166"/>
      <c r="S38" s="2161"/>
      <c r="T38" s="1444"/>
      <c r="U38" s="1444"/>
      <c r="V38" s="1443"/>
      <c r="W38" s="1320"/>
      <c r="X38" s="1291"/>
      <c r="Y38" s="1291"/>
      <c r="Z38" s="1291"/>
      <c r="AA38" s="1291"/>
      <c r="AB38" s="1291"/>
      <c r="AC38" s="1291" t="s">
        <v>265</v>
      </c>
      <c r="AD38" s="1291" t="s">
        <v>266</v>
      </c>
      <c r="AE38" s="1291" t="s">
        <v>267</v>
      </c>
      <c r="AF38" s="1291" t="s">
        <v>268</v>
      </c>
      <c r="AG38" s="1291" t="s">
        <v>269</v>
      </c>
      <c r="AH38" s="1291" t="str">
        <f>IF($E$38=0,"",$E$38)</f>
        <v>Тарифы на услуги по передаче тепловой энергии</v>
      </c>
      <c r="AI38" s="1291" t="str">
        <f>IF($G$38=0,"",$G$38)</f>
        <v/>
      </c>
      <c r="AJ38" s="1291" t="str">
        <f>IF($J$38=0,"",$J$38)</f>
        <v/>
      </c>
      <c r="AK38" s="1291" t="str">
        <f>IF($K$38="нет","без дифференциации",IF($N$38=0,"",$N$38))</f>
        <v/>
      </c>
      <c r="AL38" s="1291" t="str">
        <f>IF($O$38="нет","без дифференциации",IF($R$38=0,"",$R$38))</f>
        <v/>
      </c>
      <c r="AM38" s="1291" t="str">
        <f>IF($S$38="нет","без дифференциации",IF($V$38=0,"",$V$38))</f>
        <v/>
      </c>
      <c r="AN38" s="1796">
        <f>$I$38</f>
        <v>0</v>
      </c>
      <c r="AO38" s="1291" t="str">
        <f>$I$38&amp;"."&amp;$M$38</f>
        <v>.</v>
      </c>
      <c r="AP38" s="1283" t="str">
        <f>$I$38&amp;"."&amp;$M$38&amp;"."&amp;$Q$38</f>
        <v>..</v>
      </c>
      <c r="AQ38" s="1283" t="str">
        <f>$I$38&amp;"."&amp;$M$38&amp;"."&amp;$Q$38&amp;"."&amp;$U$38</f>
        <v>...</v>
      </c>
      <c r="AR38" s="1307">
        <v>0</v>
      </c>
    </row>
    <row s="1877" customFormat="1" customHeight="1" ht="17.25" hidden="1">
      <c r="A39" s="345"/>
      <c r="C39" s="344"/>
      <c r="D39" s="2159"/>
      <c r="E39" s="2167"/>
      <c r="F39" s="2170"/>
      <c r="G39" s="2167"/>
      <c r="H39" s="2173"/>
      <c r="I39" s="2175"/>
      <c r="J39" s="2177"/>
      <c r="K39" s="2162"/>
      <c r="L39" s="2162"/>
      <c r="M39" s="2162"/>
      <c r="N39" s="2164"/>
      <c r="O39" s="2162"/>
      <c r="P39" s="2162"/>
      <c r="Q39" s="2162"/>
      <c r="R39" s="2165"/>
      <c r="S39" s="2162"/>
      <c r="T39" s="1321"/>
      <c r="U39" s="1321"/>
      <c r="V39" s="1321"/>
      <c r="W39" s="1322"/>
      <c r="X39" s="1283"/>
      <c r="Y39" s="1283"/>
      <c r="Z39" s="1283"/>
      <c r="AA39" s="1283"/>
      <c r="AB39" s="1283"/>
      <c r="AC39" s="1283"/>
      <c r="AD39" s="1283"/>
      <c r="AE39" s="1283"/>
      <c r="AF39" s="1283"/>
      <c r="AG39" s="1283"/>
      <c r="AH39" s="1283"/>
      <c r="AI39" s="1283"/>
      <c r="AJ39" s="1283"/>
      <c r="AK39" s="1283"/>
      <c r="AL39" s="1283"/>
      <c r="AM39" s="1283"/>
      <c r="AN39" s="1283"/>
      <c r="AO39" s="1283"/>
      <c r="AP39" s="1283"/>
      <c r="AQ39" s="1283"/>
      <c r="AR39" s="1307">
        <v>0</v>
      </c>
    </row>
    <row s="1877" customFormat="1" customHeight="1" ht="17.25" hidden="1">
      <c r="A40" s="345"/>
      <c r="C40" s="344"/>
      <c r="D40" s="2160"/>
      <c r="E40" s="2168"/>
      <c r="F40" s="2170"/>
      <c r="G40" s="2168"/>
      <c r="H40" s="2173"/>
      <c r="I40" s="2175"/>
      <c r="J40" s="2178"/>
      <c r="K40" s="2162"/>
      <c r="L40" s="2162"/>
      <c r="M40" s="2162"/>
      <c r="N40" s="2165"/>
      <c r="O40" s="2162"/>
      <c r="P40" s="1442"/>
      <c r="Q40" s="1321"/>
      <c r="R40" s="1321"/>
      <c r="S40" s="353"/>
      <c r="T40" s="353"/>
      <c r="U40" s="353"/>
      <c r="V40" s="353"/>
      <c r="W40" s="1322"/>
      <c r="X40" s="1283"/>
      <c r="Y40" s="1283"/>
      <c r="Z40" s="1283"/>
      <c r="AA40" s="1283"/>
      <c r="AB40" s="1283"/>
      <c r="AC40" s="1283"/>
      <c r="AD40" s="1283"/>
      <c r="AE40" s="1283"/>
      <c r="AF40" s="1283"/>
      <c r="AG40" s="1283"/>
      <c r="AH40" s="1283"/>
      <c r="AI40" s="1283"/>
      <c r="AJ40" s="1283"/>
      <c r="AK40" s="1283"/>
      <c r="AL40" s="1283"/>
      <c r="AM40" s="1283"/>
      <c r="AN40" s="1283"/>
      <c r="AO40" s="1283"/>
      <c r="AP40" s="1283"/>
      <c r="AQ40" s="1283"/>
      <c r="AR40" s="1307">
        <v>0</v>
      </c>
    </row>
    <row s="1877" customFormat="1" customHeight="1" ht="17.25" hidden="1">
      <c r="A41" s="345"/>
      <c r="C41" s="344"/>
      <c r="D41" s="2160"/>
      <c r="E41" s="2168"/>
      <c r="F41" s="2170"/>
      <c r="G41" s="2168"/>
      <c r="H41" s="2173"/>
      <c r="I41" s="2175"/>
      <c r="J41" s="2178"/>
      <c r="K41" s="2162"/>
      <c r="L41" s="1321"/>
      <c r="M41" s="1321"/>
      <c r="N41" s="1321"/>
      <c r="O41" s="1321"/>
      <c r="P41" s="1321"/>
      <c r="Q41" s="1321"/>
      <c r="R41" s="1321"/>
      <c r="S41" s="353"/>
      <c r="T41" s="353"/>
      <c r="U41" s="353"/>
      <c r="V41" s="353"/>
      <c r="W41" s="1322"/>
      <c r="X41" s="1283"/>
      <c r="Y41" s="1283"/>
      <c r="Z41" s="1283"/>
      <c r="AA41" s="1283"/>
      <c r="AB41" s="1283"/>
      <c r="AC41" s="1283"/>
      <c r="AD41" s="1283"/>
      <c r="AE41" s="1283"/>
      <c r="AF41" s="1283"/>
      <c r="AG41" s="1283"/>
      <c r="AH41" s="1283"/>
      <c r="AI41" s="1283"/>
      <c r="AJ41" s="1283"/>
      <c r="AK41" s="1283"/>
      <c r="AL41" s="1283"/>
      <c r="AM41" s="1283"/>
      <c r="AN41" s="1283"/>
      <c r="AO41" s="1283"/>
      <c r="AP41" s="1283"/>
      <c r="AQ41" s="1283"/>
      <c r="AR41" s="1307">
        <v>0</v>
      </c>
    </row>
    <row s="1877" customFormat="1" customHeight="1" ht="17.25" hidden="1">
      <c r="A42" s="345"/>
      <c r="C42" s="344"/>
      <c r="D42" s="2160"/>
      <c r="E42" s="2168"/>
      <c r="F42" s="2171"/>
      <c r="G42" s="2168"/>
      <c r="H42" s="1323"/>
      <c r="I42" s="1324"/>
      <c r="J42" s="1324"/>
      <c r="K42" s="1324"/>
      <c r="L42" s="1324"/>
      <c r="M42" s="1324"/>
      <c r="N42" s="1324"/>
      <c r="O42" s="1324"/>
      <c r="P42" s="1324"/>
      <c r="Q42" s="1324"/>
      <c r="R42" s="1324"/>
      <c r="S42" s="1325"/>
      <c r="T42" s="1325"/>
      <c r="U42" s="1325"/>
      <c r="V42" s="1325"/>
      <c r="W42" s="1326"/>
      <c r="X42" s="1283"/>
      <c r="Y42" s="1283"/>
      <c r="Z42" s="1283"/>
      <c r="AA42" s="1283"/>
      <c r="AB42" s="1283"/>
      <c r="AC42" s="1283"/>
      <c r="AD42" s="1283"/>
      <c r="AE42" s="1283"/>
      <c r="AF42" s="1283"/>
      <c r="AG42" s="1283"/>
      <c r="AH42" s="1283"/>
      <c r="AI42" s="1283"/>
      <c r="AJ42" s="1283"/>
      <c r="AK42" s="1283"/>
      <c r="AL42" s="1283"/>
      <c r="AM42" s="1283"/>
      <c r="AN42" s="1283"/>
      <c r="AO42" s="1283"/>
      <c r="AP42" s="1283"/>
      <c r="AQ42" s="1283"/>
      <c r="AR42" s="1307">
        <v>0</v>
      </c>
    </row>
    <row s="1877" customFormat="1" customHeight="1" ht="17.25" hidden="1">
      <c r="A43" s="345"/>
      <c r="C43" s="233"/>
      <c r="D43" s="2159">
        <v>6</v>
      </c>
      <c r="E43" s="2167" t="s">
        <v>270</v>
      </c>
      <c r="F43" s="2169" t="s">
        <v>19</v>
      </c>
      <c r="G43" s="2167"/>
      <c r="H43" s="2172"/>
      <c r="I43" s="2174"/>
      <c r="J43" s="2176"/>
      <c r="K43" s="2161"/>
      <c r="L43" s="2161"/>
      <c r="M43" s="2161"/>
      <c r="N43" s="2163"/>
      <c r="O43" s="2161"/>
      <c r="P43" s="2161"/>
      <c r="Q43" s="2161"/>
      <c r="R43" s="2166"/>
      <c r="S43" s="2161"/>
      <c r="T43" s="1444"/>
      <c r="U43" s="1444"/>
      <c r="V43" s="1443"/>
      <c r="W43" s="1320"/>
      <c r="X43" s="1291"/>
      <c r="Y43" s="1291"/>
      <c r="Z43" s="1291"/>
      <c r="AA43" s="1291"/>
      <c r="AB43" s="1291"/>
      <c r="AC43" s="1291" t="s">
        <v>271</v>
      </c>
      <c r="AD43" s="1291" t="s">
        <v>272</v>
      </c>
      <c r="AE43" s="1291" t="s">
        <v>273</v>
      </c>
      <c r="AF43" s="1291" t="s">
        <v>274</v>
      </c>
      <c r="AG43" s="1291" t="s">
        <v>275</v>
      </c>
      <c r="AH43" s="1291" t="str">
        <f>IF($E$43=0,"",$E$43)</f>
        <v>Тарифы на услуги по передаче теплоносителя</v>
      </c>
      <c r="AI43" s="1291" t="str">
        <f>IF($G$43=0,"",$G$43)</f>
        <v/>
      </c>
      <c r="AJ43" s="1291" t="str">
        <f>IF($J$43=0,"",$J$43)</f>
        <v/>
      </c>
      <c r="AK43" s="1291" t="str">
        <f>IF($K$43="нет","без дифференциации",IF($N$43=0,"",$N$43))</f>
        <v/>
      </c>
      <c r="AL43" s="1291" t="str">
        <f>IF($O$43="нет","без дифференциации",IF($R$43=0,"",$R$43))</f>
        <v/>
      </c>
      <c r="AM43" s="1291" t="str">
        <f>IF($S$43="нет","без дифференциации",IF($V$43=0,"",$V$43))</f>
        <v/>
      </c>
      <c r="AN43" s="1796">
        <f>$I$43</f>
        <v>0</v>
      </c>
      <c r="AO43" s="1291" t="str">
        <f>$I$43&amp;"."&amp;$M$43</f>
        <v>.</v>
      </c>
      <c r="AP43" s="1283" t="str">
        <f>$I$43&amp;"."&amp;$M$43&amp;"."&amp;$Q$43</f>
        <v>..</v>
      </c>
      <c r="AQ43" s="1283" t="str">
        <f>$I$43&amp;"."&amp;$M$43&amp;"."&amp;$Q$43&amp;"."&amp;$U$43</f>
        <v>...</v>
      </c>
      <c r="AR43" s="1307">
        <v>0</v>
      </c>
    </row>
    <row s="1877" customFormat="1" customHeight="1" ht="17.25" hidden="1">
      <c r="A44" s="345"/>
      <c r="C44" s="344"/>
      <c r="D44" s="2159"/>
      <c r="E44" s="2167"/>
      <c r="F44" s="2170"/>
      <c r="G44" s="2167"/>
      <c r="H44" s="2173"/>
      <c r="I44" s="2175"/>
      <c r="J44" s="2177"/>
      <c r="K44" s="2162"/>
      <c r="L44" s="2162"/>
      <c r="M44" s="2162"/>
      <c r="N44" s="2164"/>
      <c r="O44" s="2162"/>
      <c r="P44" s="2162"/>
      <c r="Q44" s="2162"/>
      <c r="R44" s="2165"/>
      <c r="S44" s="2162"/>
      <c r="T44" s="1321"/>
      <c r="U44" s="1321"/>
      <c r="V44" s="1321"/>
      <c r="W44" s="1322"/>
      <c r="X44" s="1283"/>
      <c r="Y44" s="1283"/>
      <c r="Z44" s="1283"/>
      <c r="AA44" s="1283"/>
      <c r="AB44" s="1283"/>
      <c r="AC44" s="1283"/>
      <c r="AD44" s="1283"/>
      <c r="AE44" s="1283"/>
      <c r="AF44" s="1283"/>
      <c r="AG44" s="1283"/>
      <c r="AH44" s="1283"/>
      <c r="AI44" s="1283"/>
      <c r="AJ44" s="1283"/>
      <c r="AK44" s="1283"/>
      <c r="AL44" s="1283"/>
      <c r="AM44" s="1283"/>
      <c r="AN44" s="1283"/>
      <c r="AO44" s="1283"/>
      <c r="AP44" s="1283"/>
      <c r="AQ44" s="1283"/>
      <c r="AR44" s="1307">
        <v>0</v>
      </c>
    </row>
    <row s="1877" customFormat="1" customHeight="1" ht="17.25" hidden="1">
      <c r="A45" s="345"/>
      <c r="C45" s="344"/>
      <c r="D45" s="2160"/>
      <c r="E45" s="2168"/>
      <c r="F45" s="2170"/>
      <c r="G45" s="2168"/>
      <c r="H45" s="2173"/>
      <c r="I45" s="2175"/>
      <c r="J45" s="2178"/>
      <c r="K45" s="2162"/>
      <c r="L45" s="2162"/>
      <c r="M45" s="2162"/>
      <c r="N45" s="2165"/>
      <c r="O45" s="2162"/>
      <c r="P45" s="1442"/>
      <c r="Q45" s="1321"/>
      <c r="R45" s="1321"/>
      <c r="S45" s="353"/>
      <c r="T45" s="353"/>
      <c r="U45" s="353"/>
      <c r="V45" s="353"/>
      <c r="W45" s="1322"/>
      <c r="X45" s="1283"/>
      <c r="Y45" s="1283"/>
      <c r="Z45" s="1283"/>
      <c r="AA45" s="1283"/>
      <c r="AB45" s="1283"/>
      <c r="AC45" s="1283"/>
      <c r="AD45" s="1283"/>
      <c r="AE45" s="1283"/>
      <c r="AF45" s="1283"/>
      <c r="AG45" s="1283"/>
      <c r="AH45" s="1283"/>
      <c r="AI45" s="1283"/>
      <c r="AJ45" s="1283"/>
      <c r="AK45" s="1283"/>
      <c r="AL45" s="1283"/>
      <c r="AM45" s="1283"/>
      <c r="AN45" s="1283"/>
      <c r="AO45" s="1283"/>
      <c r="AP45" s="1283"/>
      <c r="AQ45" s="1283"/>
      <c r="AR45" s="1307">
        <v>0</v>
      </c>
    </row>
    <row s="1877" customFormat="1" customHeight="1" ht="17.25" hidden="1">
      <c r="A46" s="345"/>
      <c r="C46" s="233"/>
      <c r="D46" s="2160"/>
      <c r="E46" s="2168"/>
      <c r="F46" s="2170"/>
      <c r="G46" s="2168"/>
      <c r="H46" s="2173"/>
      <c r="I46" s="2175"/>
      <c r="J46" s="2178"/>
      <c r="K46" s="2162"/>
      <c r="L46" s="1321"/>
      <c r="M46" s="1321"/>
      <c r="N46" s="1321"/>
      <c r="O46" s="1321"/>
      <c r="P46" s="1321"/>
      <c r="Q46" s="1321"/>
      <c r="R46" s="1321"/>
      <c r="S46" s="353"/>
      <c r="T46" s="353"/>
      <c r="U46" s="353"/>
      <c r="V46" s="353"/>
      <c r="W46" s="1322"/>
      <c r="Y46" s="1291"/>
      <c r="Z46" s="1291"/>
      <c r="AA46" s="1291"/>
      <c r="AB46" s="1291"/>
      <c r="AC46" s="1291"/>
      <c r="AD46" s="1291"/>
      <c r="AE46" s="1291"/>
      <c r="AF46" s="1291"/>
      <c r="AG46" s="1291"/>
      <c r="AH46" s="1291"/>
      <c r="AI46" s="1291"/>
      <c r="AJ46" s="1291"/>
      <c r="AK46" s="1291"/>
      <c r="AL46" s="1291"/>
      <c r="AM46" s="1291"/>
      <c r="AN46" s="1291"/>
      <c r="AO46" s="1291"/>
      <c r="AP46" s="1291"/>
      <c r="AQ46" s="1291"/>
      <c r="AR46" s="1350">
        <v>0</v>
      </c>
    </row>
    <row s="1877" customFormat="1" customHeight="1" ht="17.25" hidden="1">
      <c r="A47" s="345"/>
      <c r="C47" s="344"/>
      <c r="D47" s="2160"/>
      <c r="E47" s="2168"/>
      <c r="F47" s="2171"/>
      <c r="G47" s="2168"/>
      <c r="H47" s="1323"/>
      <c r="I47" s="1324"/>
      <c r="J47" s="1324"/>
      <c r="K47" s="1324"/>
      <c r="L47" s="1324"/>
      <c r="M47" s="1324"/>
      <c r="N47" s="1324"/>
      <c r="O47" s="1324"/>
      <c r="P47" s="1324"/>
      <c r="Q47" s="1324"/>
      <c r="R47" s="1324"/>
      <c r="S47" s="1325"/>
      <c r="T47" s="1325"/>
      <c r="U47" s="1325"/>
      <c r="V47" s="1325"/>
      <c r="W47" s="1326"/>
      <c r="X47" s="1283"/>
      <c r="Y47" s="1283"/>
      <c r="Z47" s="1283"/>
      <c r="AA47" s="1283"/>
      <c r="AB47" s="1283"/>
      <c r="AC47" s="1283"/>
      <c r="AD47" s="1283"/>
      <c r="AE47" s="1283"/>
      <c r="AF47" s="1283"/>
      <c r="AG47" s="1283"/>
      <c r="AH47" s="1283"/>
      <c r="AI47" s="1283"/>
      <c r="AJ47" s="1283"/>
      <c r="AK47" s="1283"/>
      <c r="AL47" s="1283"/>
      <c r="AM47" s="1283"/>
      <c r="AN47" s="1283"/>
      <c r="AO47" s="1283"/>
      <c r="AP47" s="1283"/>
      <c r="AQ47" s="1283"/>
      <c r="AR47" s="1307">
        <v>0</v>
      </c>
    </row>
    <row s="1877" customFormat="1" customHeight="1" ht="17.25" hidden="1">
      <c r="A48" s="345"/>
      <c r="C48" s="233"/>
      <c r="D48" s="2190">
        <v>7</v>
      </c>
      <c r="E48" s="2193" t="s">
        <v>276</v>
      </c>
      <c r="F48" s="2169" t="s">
        <v>19</v>
      </c>
      <c r="G48" s="2193"/>
      <c r="H48" s="2172"/>
      <c r="I48" s="2174"/>
      <c r="J48" s="2176"/>
      <c r="K48" s="2161"/>
      <c r="L48" s="2161"/>
      <c r="M48" s="2161"/>
      <c r="N48" s="2163"/>
      <c r="O48" s="2161"/>
      <c r="P48" s="2161"/>
      <c r="Q48" s="2161"/>
      <c r="R48" s="2166"/>
      <c r="S48" s="2161"/>
      <c r="T48" s="1444"/>
      <c r="U48" s="1444"/>
      <c r="V48" s="1443"/>
      <c r="W48" s="1320"/>
      <c r="X48" s="1291"/>
      <c r="Y48" s="1291"/>
      <c r="Z48" s="1291"/>
      <c r="AA48" s="1291"/>
      <c r="AB48" s="1291"/>
      <c r="AC48" s="1291" t="s">
        <v>277</v>
      </c>
      <c r="AD48" s="1291" t="s">
        <v>278</v>
      </c>
      <c r="AE48" s="1291" t="s">
        <v>279</v>
      </c>
      <c r="AF48" s="1291" t="s">
        <v>280</v>
      </c>
      <c r="AG48" s="1291" t="s">
        <v>281</v>
      </c>
      <c r="AH48" s="1291" t="str">
        <f>IF($E$48=0,"",$E$48)</f>
        <v>Плата за услуги по поддержанию резервной тепловой мощности при отсутствии потребления тепловой энергии</v>
      </c>
      <c r="AI48" s="1291" t="str">
        <f>IF($G$48=0,"",$G$48)</f>
        <v/>
      </c>
      <c r="AJ48" s="1291" t="str">
        <f>IF($J$48=0,"",$J$48)</f>
        <v/>
      </c>
      <c r="AK48" s="1291" t="str">
        <f>IF($K$48="нет","без дифференциации",IF($N$48=0,"",$N$48))</f>
        <v/>
      </c>
      <c r="AL48" s="1291" t="str">
        <f>IF($O$48="нет","без дифференциации",IF($R$48=0,"",$R$48))</f>
        <v/>
      </c>
      <c r="AM48" s="1291" t="str">
        <f>IF($S$48="нет","без дифференциации",IF($V$48=0,"",$V$48))</f>
        <v/>
      </c>
      <c r="AN48" s="1796">
        <f>$I$48</f>
        <v>0</v>
      </c>
      <c r="AO48" s="1291" t="str">
        <f>$I$48&amp;"."&amp;$M$48</f>
        <v>.</v>
      </c>
      <c r="AP48" s="1283" t="str">
        <f>$I$48&amp;"."&amp;$M$48&amp;"."&amp;$Q$48</f>
        <v>..</v>
      </c>
      <c r="AQ48" s="1283" t="str">
        <f>$I$48&amp;"."&amp;$M$48&amp;"."&amp;$Q$48&amp;"."&amp;$U$48</f>
        <v>...</v>
      </c>
      <c r="AR48" s="1332">
        <v>0</v>
      </c>
    </row>
    <row s="1877" customFormat="1" customHeight="1" ht="17.25" hidden="1">
      <c r="A49" s="345"/>
      <c r="C49" s="344"/>
      <c r="D49" s="2191"/>
      <c r="E49" s="2194"/>
      <c r="F49" s="2170"/>
      <c r="G49" s="2194"/>
      <c r="H49" s="2173"/>
      <c r="I49" s="2175"/>
      <c r="J49" s="2177"/>
      <c r="K49" s="2162"/>
      <c r="L49" s="2162"/>
      <c r="M49" s="2162"/>
      <c r="N49" s="2164"/>
      <c r="O49" s="2162"/>
      <c r="P49" s="2162"/>
      <c r="Q49" s="2162"/>
      <c r="R49" s="2165"/>
      <c r="S49" s="2162"/>
      <c r="T49" s="1321"/>
      <c r="U49" s="1321"/>
      <c r="V49" s="1321"/>
      <c r="W49" s="1322"/>
      <c r="X49" s="1283"/>
      <c r="Y49" s="1283"/>
      <c r="Z49" s="1283"/>
      <c r="AA49" s="1283"/>
      <c r="AB49" s="1283"/>
      <c r="AC49" s="1283"/>
      <c r="AD49" s="1283"/>
      <c r="AE49" s="1283"/>
      <c r="AF49" s="1283"/>
      <c r="AG49" s="1283"/>
      <c r="AH49" s="1283"/>
      <c r="AI49" s="1283"/>
      <c r="AJ49" s="1283"/>
      <c r="AK49" s="1283"/>
      <c r="AL49" s="1283"/>
      <c r="AM49" s="1283"/>
      <c r="AN49" s="1283"/>
      <c r="AO49" s="1283"/>
      <c r="AP49" s="1283"/>
      <c r="AQ49" s="1283"/>
      <c r="AR49" s="1332">
        <v>0</v>
      </c>
    </row>
    <row s="1877" customFormat="1" customHeight="1" ht="17.25" hidden="1">
      <c r="A50" s="345"/>
      <c r="C50" s="344"/>
      <c r="D50" s="2191"/>
      <c r="E50" s="2194"/>
      <c r="F50" s="2170"/>
      <c r="G50" s="2194"/>
      <c r="H50" s="2173"/>
      <c r="I50" s="2175"/>
      <c r="J50" s="2178"/>
      <c r="K50" s="2162"/>
      <c r="L50" s="2162"/>
      <c r="M50" s="2162"/>
      <c r="N50" s="2165"/>
      <c r="O50" s="2162"/>
      <c r="P50" s="1442"/>
      <c r="Q50" s="1321"/>
      <c r="R50" s="1321"/>
      <c r="S50" s="353"/>
      <c r="T50" s="353"/>
      <c r="U50" s="353"/>
      <c r="V50" s="353"/>
      <c r="W50" s="1322"/>
      <c r="X50" s="1283"/>
      <c r="Y50" s="1283"/>
      <c r="Z50" s="1283"/>
      <c r="AA50" s="1283"/>
      <c r="AB50" s="1283"/>
      <c r="AC50" s="1283"/>
      <c r="AD50" s="1283"/>
      <c r="AE50" s="1283"/>
      <c r="AF50" s="1283"/>
      <c r="AG50" s="1283"/>
      <c r="AH50" s="1283"/>
      <c r="AI50" s="1283"/>
      <c r="AJ50" s="1283"/>
      <c r="AK50" s="1283"/>
      <c r="AL50" s="1283"/>
      <c r="AM50" s="1283"/>
      <c r="AN50" s="1283"/>
      <c r="AO50" s="1283"/>
      <c r="AP50" s="1283"/>
      <c r="AQ50" s="1283"/>
      <c r="AR50" s="1332">
        <v>0</v>
      </c>
    </row>
    <row s="1877" customFormat="1" customHeight="1" ht="17.25" hidden="1">
      <c r="A51" s="345"/>
      <c r="C51" s="233"/>
      <c r="D51" s="2191"/>
      <c r="E51" s="2194"/>
      <c r="F51" s="2170"/>
      <c r="G51" s="2194"/>
      <c r="H51" s="2173"/>
      <c r="I51" s="2175"/>
      <c r="J51" s="2178"/>
      <c r="K51" s="2162"/>
      <c r="L51" s="1321"/>
      <c r="M51" s="1321"/>
      <c r="N51" s="1321"/>
      <c r="O51" s="1321"/>
      <c r="P51" s="1321"/>
      <c r="Q51" s="1321"/>
      <c r="R51" s="1321"/>
      <c r="S51" s="353"/>
      <c r="T51" s="353"/>
      <c r="U51" s="353"/>
      <c r="V51" s="353"/>
      <c r="W51" s="1322"/>
      <c r="Y51" s="1291"/>
      <c r="Z51" s="1291"/>
      <c r="AA51" s="1291"/>
      <c r="AB51" s="1291"/>
      <c r="AC51" s="1291"/>
      <c r="AD51" s="1291"/>
      <c r="AE51" s="1291"/>
      <c r="AF51" s="1291"/>
      <c r="AG51" s="1291"/>
      <c r="AH51" s="1291"/>
      <c r="AI51" s="1291"/>
      <c r="AJ51" s="1291"/>
      <c r="AK51" s="1291"/>
      <c r="AL51" s="1291"/>
      <c r="AM51" s="1291"/>
      <c r="AN51" s="1291"/>
      <c r="AO51" s="1291"/>
      <c r="AP51" s="1291"/>
      <c r="AQ51" s="1291"/>
      <c r="AR51" s="1350">
        <v>0</v>
      </c>
    </row>
    <row s="1877" customFormat="1" customHeight="1" ht="17.25" hidden="1">
      <c r="A52" s="345"/>
      <c r="C52" s="344"/>
      <c r="D52" s="2192"/>
      <c r="E52" s="2195"/>
      <c r="F52" s="2171"/>
      <c r="G52" s="2195"/>
      <c r="H52" s="1323"/>
      <c r="I52" s="1324"/>
      <c r="J52" s="1324"/>
      <c r="K52" s="1324"/>
      <c r="L52" s="1324"/>
      <c r="M52" s="1324"/>
      <c r="N52" s="1324"/>
      <c r="O52" s="1324"/>
      <c r="P52" s="1324"/>
      <c r="Q52" s="1324"/>
      <c r="R52" s="1324"/>
      <c r="S52" s="1325"/>
      <c r="T52" s="1325"/>
      <c r="U52" s="1325"/>
      <c r="V52" s="1325"/>
      <c r="W52" s="1326"/>
      <c r="X52" s="1283"/>
      <c r="Y52" s="1283"/>
      <c r="Z52" s="1283"/>
      <c r="AA52" s="1283"/>
      <c r="AB52" s="1283"/>
      <c r="AC52" s="1283"/>
      <c r="AD52" s="1283"/>
      <c r="AE52" s="1283"/>
      <c r="AF52" s="1283"/>
      <c r="AG52" s="1283"/>
      <c r="AH52" s="1283"/>
      <c r="AI52" s="1283"/>
      <c r="AJ52" s="1283"/>
      <c r="AK52" s="1283"/>
      <c r="AL52" s="1283"/>
      <c r="AM52" s="1283"/>
      <c r="AN52" s="1283"/>
      <c r="AO52" s="1283"/>
      <c r="AP52" s="1283"/>
      <c r="AQ52" s="1283"/>
      <c r="AR52" s="1332">
        <v>0</v>
      </c>
    </row>
    <row s="1877" customFormat="1" customHeight="1" ht="17.25" hidden="1">
      <c r="A53" s="345"/>
      <c r="C53" s="233"/>
      <c r="D53" s="2159">
        <v>8</v>
      </c>
      <c r="E53" s="2167" t="s">
        <v>282</v>
      </c>
      <c r="F53" s="2169" t="s">
        <v>19</v>
      </c>
      <c r="G53" s="2167"/>
      <c r="H53" s="2172"/>
      <c r="I53" s="2174"/>
      <c r="J53" s="2176"/>
      <c r="K53" s="2161"/>
      <c r="L53" s="2161"/>
      <c r="M53" s="2161"/>
      <c r="N53" s="2163"/>
      <c r="O53" s="2161"/>
      <c r="P53" s="2161"/>
      <c r="Q53" s="2161"/>
      <c r="R53" s="2166"/>
      <c r="S53" s="2161"/>
      <c r="T53" s="1494"/>
      <c r="U53" s="1494"/>
      <c r="V53" s="1496"/>
      <c r="W53" s="1320"/>
      <c r="X53" s="1291"/>
      <c r="Y53" s="1291"/>
      <c r="Z53" s="1291"/>
      <c r="AA53" s="1291"/>
      <c r="AB53" s="1291"/>
      <c r="AC53" s="1291" t="s">
        <v>283</v>
      </c>
      <c r="AD53" s="1291" t="s">
        <v>284</v>
      </c>
      <c r="AE53" s="1291" t="s">
        <v>285</v>
      </c>
      <c r="AF53" s="1291" t="s">
        <v>286</v>
      </c>
      <c r="AG53" s="1291" t="s">
        <v>287</v>
      </c>
      <c r="AH53" s="1291" t="str">
        <f>IF($E$53=0,"",$E$53)</f>
        <v>Плата за подключение (технологическое присоединение) к системе теплоснабжения</v>
      </c>
      <c r="AI53" s="1291" t="str">
        <f>IF($G$53=0,"",$G$53)</f>
        <v/>
      </c>
      <c r="AJ53" s="1291" t="str">
        <f>IF($J$53=0,"",$J$53)</f>
        <v/>
      </c>
      <c r="AK53" s="1291" t="str">
        <f>IF($K$53="нет","без дифференциации",IF($N$53=0,"",$N$53))</f>
        <v/>
      </c>
      <c r="AL53" s="1291" t="str">
        <f>IF($O$53="нет","без дифференциации",IF($R$53=0,"",$R$53))</f>
        <v/>
      </c>
      <c r="AM53" s="1291" t="str">
        <f>IF($S$53="нет","без дифференциации",IF($V$53=0,"",$V$53))</f>
        <v/>
      </c>
      <c r="AN53" s="1796">
        <f>$I$53</f>
        <v>0</v>
      </c>
      <c r="AO53" s="1291" t="str">
        <f>$I$53&amp;"."&amp;$M$53</f>
        <v>.</v>
      </c>
      <c r="AP53" s="1283" t="str">
        <f>$I$53&amp;"."&amp;$M$53&amp;"."&amp;$Q$53</f>
        <v>..</v>
      </c>
      <c r="AQ53" s="1283" t="str">
        <f>$I$53&amp;"."&amp;$M$53&amp;"."&amp;$Q$53&amp;"."&amp;$U$53</f>
        <v>...</v>
      </c>
      <c r="AR53" s="1332">
        <v>0</v>
      </c>
    </row>
    <row s="1877" customFormat="1" customHeight="1" ht="17.25" hidden="1">
      <c r="A54" s="345"/>
      <c r="C54" s="344"/>
      <c r="D54" s="2159"/>
      <c r="E54" s="2167"/>
      <c r="F54" s="2170"/>
      <c r="G54" s="2167"/>
      <c r="H54" s="2173"/>
      <c r="I54" s="2175"/>
      <c r="J54" s="2177"/>
      <c r="K54" s="2162"/>
      <c r="L54" s="2162"/>
      <c r="M54" s="2162"/>
      <c r="N54" s="2164"/>
      <c r="O54" s="2162"/>
      <c r="P54" s="2162"/>
      <c r="Q54" s="2162"/>
      <c r="R54" s="2165"/>
      <c r="S54" s="2162"/>
      <c r="T54" s="1321"/>
      <c r="U54" s="1321"/>
      <c r="V54" s="1321"/>
      <c r="W54" s="1322"/>
      <c r="X54" s="1283"/>
      <c r="Y54" s="1283"/>
      <c r="Z54" s="1283"/>
      <c r="AA54" s="1283"/>
      <c r="AB54" s="1283"/>
      <c r="AC54" s="1283"/>
      <c r="AD54" s="1283"/>
      <c r="AE54" s="1283"/>
      <c r="AF54" s="1283"/>
      <c r="AG54" s="1283"/>
      <c r="AH54" s="1283"/>
      <c r="AI54" s="1283"/>
      <c r="AJ54" s="1283"/>
      <c r="AK54" s="1283"/>
      <c r="AL54" s="1283"/>
      <c r="AM54" s="1283"/>
      <c r="AN54" s="1283"/>
      <c r="AO54" s="1283"/>
      <c r="AP54" s="1283"/>
      <c r="AQ54" s="1283"/>
      <c r="AR54" s="1332">
        <v>0</v>
      </c>
    </row>
    <row s="1877" customFormat="1" customHeight="1" ht="17.25" hidden="1">
      <c r="A55" s="345"/>
      <c r="C55" s="344"/>
      <c r="D55" s="2160"/>
      <c r="E55" s="2168"/>
      <c r="F55" s="2170"/>
      <c r="G55" s="2168"/>
      <c r="H55" s="2173"/>
      <c r="I55" s="2175"/>
      <c r="J55" s="2178"/>
      <c r="K55" s="2162"/>
      <c r="L55" s="2162"/>
      <c r="M55" s="2162"/>
      <c r="N55" s="2165"/>
      <c r="O55" s="2162"/>
      <c r="P55" s="1495"/>
      <c r="Q55" s="1321"/>
      <c r="R55" s="1321"/>
      <c r="S55" s="353"/>
      <c r="T55" s="353"/>
      <c r="U55" s="353"/>
      <c r="V55" s="353"/>
      <c r="W55" s="1322"/>
      <c r="X55" s="1283"/>
      <c r="Y55" s="1283"/>
      <c r="Z55" s="1283"/>
      <c r="AA55" s="1283"/>
      <c r="AB55" s="1283"/>
      <c r="AC55" s="1283"/>
      <c r="AD55" s="1283"/>
      <c r="AE55" s="1283"/>
      <c r="AF55" s="1283"/>
      <c r="AG55" s="1283"/>
      <c r="AH55" s="1283"/>
      <c r="AI55" s="1283"/>
      <c r="AJ55" s="1283"/>
      <c r="AK55" s="1283"/>
      <c r="AL55" s="1283"/>
      <c r="AM55" s="1283"/>
      <c r="AN55" s="1283"/>
      <c r="AO55" s="1283"/>
      <c r="AP55" s="1283"/>
      <c r="AQ55" s="1283"/>
      <c r="AR55" s="1332">
        <v>0</v>
      </c>
    </row>
    <row s="1877" customFormat="1" customHeight="1" ht="17.25" hidden="1">
      <c r="A56" s="345"/>
      <c r="C56" s="233"/>
      <c r="D56" s="2160"/>
      <c r="E56" s="2168"/>
      <c r="F56" s="2170"/>
      <c r="G56" s="2168"/>
      <c r="H56" s="2173"/>
      <c r="I56" s="2175"/>
      <c r="J56" s="2178"/>
      <c r="K56" s="2162"/>
      <c r="L56" s="1321"/>
      <c r="M56" s="1321"/>
      <c r="N56" s="1321"/>
      <c r="O56" s="1321"/>
      <c r="P56" s="1321"/>
      <c r="Q56" s="1321"/>
      <c r="R56" s="1321"/>
      <c r="S56" s="353"/>
      <c r="T56" s="353"/>
      <c r="U56" s="353"/>
      <c r="V56" s="353"/>
      <c r="W56" s="1322"/>
      <c r="Y56" s="1291"/>
      <c r="Z56" s="1291"/>
      <c r="AA56" s="1291"/>
      <c r="AB56" s="1291"/>
      <c r="AC56" s="1291"/>
      <c r="AD56" s="1291"/>
      <c r="AE56" s="1291"/>
      <c r="AF56" s="1291"/>
      <c r="AG56" s="1291"/>
      <c r="AH56" s="1291"/>
      <c r="AI56" s="1291"/>
      <c r="AJ56" s="1291"/>
      <c r="AK56" s="1291"/>
      <c r="AL56" s="1291"/>
      <c r="AM56" s="1291"/>
      <c r="AN56" s="1291"/>
      <c r="AO56" s="1291"/>
      <c r="AP56" s="1291"/>
      <c r="AQ56" s="1291"/>
      <c r="AR56" s="1350">
        <v>0</v>
      </c>
    </row>
    <row s="1877" customFormat="1" customHeight="1" ht="17.25" hidden="1">
      <c r="A57" s="345"/>
      <c r="C57" s="344"/>
      <c r="D57" s="2160"/>
      <c r="E57" s="2168"/>
      <c r="F57" s="2171"/>
      <c r="G57" s="2168"/>
      <c r="H57" s="1323"/>
      <c r="I57" s="1324"/>
      <c r="J57" s="1324"/>
      <c r="K57" s="1324"/>
      <c r="L57" s="1324"/>
      <c r="M57" s="1324"/>
      <c r="N57" s="1324"/>
      <c r="O57" s="1324"/>
      <c r="P57" s="1324"/>
      <c r="Q57" s="1324"/>
      <c r="R57" s="1324"/>
      <c r="S57" s="1325"/>
      <c r="T57" s="1325"/>
      <c r="U57" s="1325"/>
      <c r="V57" s="1325"/>
      <c r="W57" s="1326"/>
      <c r="X57" s="1283"/>
      <c r="Y57" s="1283"/>
      <c r="Z57" s="1283"/>
      <c r="AA57" s="1283"/>
      <c r="AB57" s="1283"/>
      <c r="AC57" s="1283"/>
      <c r="AD57" s="1283"/>
      <c r="AE57" s="1283"/>
      <c r="AF57" s="1283"/>
      <c r="AG57" s="1283"/>
      <c r="AH57" s="1283"/>
      <c r="AI57" s="1283"/>
      <c r="AJ57" s="1283"/>
      <c r="AK57" s="1283"/>
      <c r="AL57" s="1283"/>
      <c r="AM57" s="1283"/>
      <c r="AN57" s="1283"/>
      <c r="AO57" s="1283"/>
      <c r="AP57" s="1283"/>
      <c r="AQ57" s="1283"/>
      <c r="AR57" s="1332">
        <v>0</v>
      </c>
    </row>
    <row s="1877" customFormat="1" customHeight="1" ht="17.25" hidden="1">
      <c r="A58" s="345"/>
      <c r="C58" s="233"/>
      <c r="D58" s="2159">
        <v>9</v>
      </c>
      <c r="E58" s="2167" t="s">
        <v>288</v>
      </c>
      <c r="F58" s="2169" t="s">
        <v>19</v>
      </c>
      <c r="G58" s="2167"/>
      <c r="H58" s="2172"/>
      <c r="I58" s="2174"/>
      <c r="J58" s="2176"/>
      <c r="K58" s="2161"/>
      <c r="L58" s="2161"/>
      <c r="M58" s="2161"/>
      <c r="N58" s="2163"/>
      <c r="O58" s="2161"/>
      <c r="P58" s="2161"/>
      <c r="Q58" s="2161"/>
      <c r="R58" s="2166"/>
      <c r="S58" s="2161"/>
      <c r="T58" s="1955"/>
      <c r="U58" s="1955"/>
      <c r="V58" s="1957"/>
      <c r="W58" s="1320"/>
      <c r="X58" s="1291"/>
      <c r="Y58" s="1291"/>
      <c r="Z58" s="1291"/>
      <c r="AA58" s="1291"/>
      <c r="AB58" s="1291"/>
      <c r="AC58" s="1291" t="s">
        <v>289</v>
      </c>
      <c r="AD58" s="1291" t="s">
        <v>290</v>
      </c>
      <c r="AE58" s="1291" t="s">
        <v>291</v>
      </c>
      <c r="AF58" s="1291" t="s">
        <v>292</v>
      </c>
      <c r="AG58" s="1291" t="s">
        <v>293</v>
      </c>
      <c r="AH58" s="1291" t="str">
        <f>IF($E$58=0,"",$E$58)</f>
        <v>Плата за подключение (технологическое присоединение) к системе теплоснабжения (индивидуальная)</v>
      </c>
      <c r="AI58" s="1291" t="str">
        <f>IF($G$58=0,"",$G$58)</f>
        <v/>
      </c>
      <c r="AJ58" s="1291" t="str">
        <f>IF($J$58=0,"",$J$58)</f>
        <v/>
      </c>
      <c r="AK58" s="1291" t="str">
        <f>IF($K$58="нет","без дифференциации",IF($N$58=0,"",$N$58))</f>
        <v/>
      </c>
      <c r="AL58" s="1291" t="str">
        <f>IF($O$58="нет","без дифференциации",IF($R$58=0,"",$R$58))</f>
        <v/>
      </c>
      <c r="AM58" s="1291" t="str">
        <f>IF($S$58="нет","без дифференциации",IF($V$58=0,"",$V$58))</f>
        <v/>
      </c>
      <c r="AN58" s="1796">
        <f>$I$58</f>
        <v>0</v>
      </c>
      <c r="AO58" s="1291" t="str">
        <f>$I$58&amp;"."&amp;$M$58</f>
        <v>.</v>
      </c>
      <c r="AP58" s="1290" t="str">
        <f>$I$58&amp;"."&amp;$M$58&amp;"."&amp;$Q$58</f>
        <v>..</v>
      </c>
      <c r="AQ58" s="1290" t="str">
        <f>$I$58&amp;"."&amp;$M$58&amp;"."&amp;$Q$58&amp;"."&amp;$U$58</f>
        <v>...</v>
      </c>
      <c r="AR58" s="1491">
        <v>0</v>
      </c>
    </row>
    <row s="1877" customFormat="1" customHeight="1" ht="17.25" hidden="1">
      <c r="A59" s="345"/>
      <c r="C59" s="344"/>
      <c r="D59" s="2159"/>
      <c r="E59" s="2167"/>
      <c r="F59" s="2170"/>
      <c r="G59" s="2167"/>
      <c r="H59" s="2173"/>
      <c r="I59" s="2175"/>
      <c r="J59" s="2177"/>
      <c r="K59" s="2162"/>
      <c r="L59" s="2162"/>
      <c r="M59" s="2162"/>
      <c r="N59" s="2164"/>
      <c r="O59" s="2162"/>
      <c r="P59" s="2162"/>
      <c r="Q59" s="2162"/>
      <c r="R59" s="2165"/>
      <c r="S59" s="2162"/>
      <c r="T59" s="1958"/>
      <c r="U59" s="1958"/>
      <c r="V59" s="1958"/>
      <c r="W59" s="1959"/>
      <c r="X59" s="1290"/>
      <c r="Y59" s="1290"/>
      <c r="Z59" s="1290"/>
      <c r="AA59" s="1290"/>
      <c r="AB59" s="1290"/>
      <c r="AC59" s="1290"/>
      <c r="AD59" s="1290"/>
      <c r="AE59" s="1290"/>
      <c r="AF59" s="1290"/>
      <c r="AG59" s="1290"/>
      <c r="AH59" s="1290"/>
      <c r="AI59" s="1290"/>
      <c r="AJ59" s="1290"/>
      <c r="AK59" s="1290"/>
      <c r="AL59" s="1290"/>
      <c r="AM59" s="1290"/>
      <c r="AN59" s="1290"/>
      <c r="AO59" s="1290"/>
      <c r="AP59" s="1290"/>
      <c r="AQ59" s="1290"/>
      <c r="AR59" s="1491">
        <v>0</v>
      </c>
    </row>
    <row s="1877" customFormat="1" customHeight="1" ht="17.25" hidden="1">
      <c r="A60" s="345"/>
      <c r="C60" s="344"/>
      <c r="D60" s="2160"/>
      <c r="E60" s="2168"/>
      <c r="F60" s="2170"/>
      <c r="G60" s="2168"/>
      <c r="H60" s="2173"/>
      <c r="I60" s="2175"/>
      <c r="J60" s="2178"/>
      <c r="K60" s="2162"/>
      <c r="L60" s="2162"/>
      <c r="M60" s="2162"/>
      <c r="N60" s="2165"/>
      <c r="O60" s="2162"/>
      <c r="P60" s="1956"/>
      <c r="Q60" s="1958"/>
      <c r="R60" s="1958"/>
      <c r="S60" s="353"/>
      <c r="T60" s="353"/>
      <c r="U60" s="353"/>
      <c r="V60" s="353"/>
      <c r="W60" s="1959"/>
      <c r="X60" s="1290"/>
      <c r="Y60" s="1290"/>
      <c r="Z60" s="1290"/>
      <c r="AA60" s="1290"/>
      <c r="AB60" s="1290"/>
      <c r="AC60" s="1290"/>
      <c r="AD60" s="1290"/>
      <c r="AE60" s="1290"/>
      <c r="AF60" s="1290"/>
      <c r="AG60" s="1290"/>
      <c r="AH60" s="1290"/>
      <c r="AI60" s="1290"/>
      <c r="AJ60" s="1290"/>
      <c r="AK60" s="1290"/>
      <c r="AL60" s="1290"/>
      <c r="AM60" s="1290"/>
      <c r="AN60" s="1290"/>
      <c r="AO60" s="1290"/>
      <c r="AP60" s="1290"/>
      <c r="AQ60" s="1290"/>
      <c r="AR60" s="1491">
        <v>0</v>
      </c>
    </row>
    <row s="1877" customFormat="1" customHeight="1" ht="17.25" hidden="1">
      <c r="A61" s="345"/>
      <c r="C61" s="233"/>
      <c r="D61" s="2160"/>
      <c r="E61" s="2168"/>
      <c r="F61" s="2170"/>
      <c r="G61" s="2168"/>
      <c r="H61" s="2173"/>
      <c r="I61" s="2175"/>
      <c r="J61" s="2178"/>
      <c r="K61" s="2162"/>
      <c r="L61" s="1958"/>
      <c r="M61" s="1958"/>
      <c r="N61" s="1958"/>
      <c r="O61" s="1958"/>
      <c r="P61" s="1958"/>
      <c r="Q61" s="1958"/>
      <c r="R61" s="1958"/>
      <c r="S61" s="353"/>
      <c r="T61" s="353"/>
      <c r="U61" s="353"/>
      <c r="V61" s="353"/>
      <c r="W61" s="1959"/>
      <c r="Y61" s="1291"/>
      <c r="Z61" s="1291"/>
      <c r="AA61" s="1291"/>
      <c r="AB61" s="1291"/>
      <c r="AC61" s="1291"/>
      <c r="AD61" s="1291"/>
      <c r="AE61" s="1291"/>
      <c r="AF61" s="1291"/>
      <c r="AG61" s="1291"/>
      <c r="AH61" s="1291"/>
      <c r="AI61" s="1291"/>
      <c r="AJ61" s="1291"/>
      <c r="AK61" s="1291"/>
      <c r="AL61" s="1291"/>
      <c r="AM61" s="1291"/>
      <c r="AN61" s="1291"/>
      <c r="AO61" s="1291"/>
      <c r="AP61" s="1291"/>
      <c r="AQ61" s="1291"/>
      <c r="AR61" s="1491">
        <v>0</v>
      </c>
    </row>
    <row s="1877" customFormat="1" customHeight="1" ht="17.25" hidden="1">
      <c r="A62" s="345"/>
      <c r="C62" s="344"/>
      <c r="D62" s="2160"/>
      <c r="E62" s="2168"/>
      <c r="F62" s="2171"/>
      <c r="G62" s="2168"/>
      <c r="H62" s="1323"/>
      <c r="I62" s="1960"/>
      <c r="J62" s="1960"/>
      <c r="K62" s="1960"/>
      <c r="L62" s="1960"/>
      <c r="M62" s="1960"/>
      <c r="N62" s="1960"/>
      <c r="O62" s="1960"/>
      <c r="P62" s="1960"/>
      <c r="Q62" s="1960"/>
      <c r="R62" s="1960"/>
      <c r="S62" s="1325"/>
      <c r="T62" s="1325"/>
      <c r="U62" s="1325"/>
      <c r="V62" s="1325"/>
      <c r="W62" s="1961"/>
      <c r="X62" s="1290"/>
      <c r="Y62" s="1290"/>
      <c r="Z62" s="1290"/>
      <c r="AA62" s="1290"/>
      <c r="AB62" s="1290"/>
      <c r="AC62" s="1290"/>
      <c r="AD62" s="1290"/>
      <c r="AE62" s="1290"/>
      <c r="AF62" s="1290"/>
      <c r="AG62" s="1290"/>
      <c r="AH62" s="1290"/>
      <c r="AI62" s="1290"/>
      <c r="AJ62" s="1290"/>
      <c r="AK62" s="1290"/>
      <c r="AL62" s="1290"/>
      <c r="AM62" s="1290"/>
      <c r="AN62" s="1290"/>
      <c r="AO62" s="1290"/>
      <c r="AP62" s="1290"/>
      <c r="AQ62" s="1290"/>
      <c r="AR62" s="1491">
        <v>0</v>
      </c>
    </row>
    <row s="1877" customFormat="1" customHeight="1" ht="17.25" hidden="1">
      <c r="A63" s="345"/>
      <c r="C63" s="233"/>
      <c r="D63" s="2159">
        <v>10</v>
      </c>
      <c r="E63" s="2167" t="s">
        <v>294</v>
      </c>
      <c r="F63" s="2169" t="s">
        <v>19</v>
      </c>
      <c r="G63" s="2167"/>
      <c r="H63" s="2172"/>
      <c r="I63" s="2174"/>
      <c r="J63" s="2176"/>
      <c r="K63" s="2161"/>
      <c r="L63" s="2161"/>
      <c r="M63" s="2161"/>
      <c r="N63" s="2163"/>
      <c r="O63" s="2161"/>
      <c r="P63" s="2161"/>
      <c r="Q63" s="2161"/>
      <c r="R63" s="2166"/>
      <c r="S63" s="2161"/>
      <c r="T63" s="1955"/>
      <c r="U63" s="1955"/>
      <c r="V63" s="1957"/>
      <c r="W63" s="1320"/>
      <c r="X63" s="1291"/>
      <c r="Y63" s="1291"/>
      <c r="Z63" s="1291"/>
      <c r="AA63" s="1291"/>
      <c r="AB63" s="1291"/>
      <c r="AC63" s="1291" t="s">
        <v>295</v>
      </c>
      <c r="AD63" s="1291" t="s">
        <v>296</v>
      </c>
      <c r="AE63" s="1291" t="s">
        <v>297</v>
      </c>
      <c r="AF63" s="1291" t="s">
        <v>298</v>
      </c>
      <c r="AG63" s="1291" t="s">
        <v>299</v>
      </c>
      <c r="AH63" s="1291" t="str">
        <f>IF($E$63=0,"",$E$63)</f>
        <v>Предельный уровень цены на тепловую энергию (мощность), поставляемую теплоснабжающими организациями потребителям</v>
      </c>
      <c r="AI63" s="1291" t="str">
        <f>IF($G$63=0,"",$G$63)</f>
        <v/>
      </c>
      <c r="AJ63" s="1291" t="str">
        <f>IF($J$63=0,"",$J$63)</f>
        <v/>
      </c>
      <c r="AK63" s="1291" t="str">
        <f>IF($K$63="нет","без дифференциации",IF($N$63=0,"",$N$63))</f>
        <v/>
      </c>
      <c r="AL63" s="1291" t="str">
        <f>IF($O$63="нет","без дифференциации",IF($R$63=0,"",$R$63))</f>
        <v/>
      </c>
      <c r="AM63" s="1291" t="str">
        <f>IF($S$63="нет","без дифференциации",IF($V$63=0,"",$V$63))</f>
        <v/>
      </c>
      <c r="AN63" s="1796">
        <f>$I$63</f>
        <v>0</v>
      </c>
      <c r="AO63" s="1291" t="str">
        <f>$I$63&amp;"."&amp;$M$63</f>
        <v>.</v>
      </c>
      <c r="AP63" s="1290" t="str">
        <f>$I$63&amp;"."&amp;$M$63&amp;"."&amp;$Q$63</f>
        <v>..</v>
      </c>
      <c r="AQ63" s="1290" t="str">
        <f>$I$63&amp;"."&amp;$M$63&amp;"."&amp;$Q$63&amp;"."&amp;$U$63</f>
        <v>...</v>
      </c>
      <c r="AR63" s="1491">
        <v>0</v>
      </c>
    </row>
    <row s="1877" customFormat="1" customHeight="1" ht="17.25" hidden="1">
      <c r="A64" s="345"/>
      <c r="C64" s="344"/>
      <c r="D64" s="2159"/>
      <c r="E64" s="2167"/>
      <c r="F64" s="2170"/>
      <c r="G64" s="2167"/>
      <c r="H64" s="2173"/>
      <c r="I64" s="2175"/>
      <c r="J64" s="2177"/>
      <c r="K64" s="2162"/>
      <c r="L64" s="2162"/>
      <c r="M64" s="2162"/>
      <c r="N64" s="2164"/>
      <c r="O64" s="2162"/>
      <c r="P64" s="2162"/>
      <c r="Q64" s="2162"/>
      <c r="R64" s="2165"/>
      <c r="S64" s="2162"/>
      <c r="T64" s="1958"/>
      <c r="U64" s="1958"/>
      <c r="V64" s="1958"/>
      <c r="W64" s="1959"/>
      <c r="X64" s="1290"/>
      <c r="Y64" s="1290"/>
      <c r="Z64" s="1290"/>
      <c r="AA64" s="1290"/>
      <c r="AB64" s="1290"/>
      <c r="AC64" s="1290"/>
      <c r="AD64" s="1290"/>
      <c r="AE64" s="1290"/>
      <c r="AF64" s="1290"/>
      <c r="AG64" s="1290"/>
      <c r="AH64" s="1290"/>
      <c r="AI64" s="1290"/>
      <c r="AJ64" s="1290"/>
      <c r="AK64" s="1290"/>
      <c r="AL64" s="1290"/>
      <c r="AM64" s="1290"/>
      <c r="AN64" s="1290"/>
      <c r="AO64" s="1290"/>
      <c r="AP64" s="1290"/>
      <c r="AQ64" s="1290"/>
      <c r="AR64" s="1491">
        <v>0</v>
      </c>
    </row>
    <row s="1877" customFormat="1" customHeight="1" ht="17.25" hidden="1">
      <c r="A65" s="345"/>
      <c r="C65" s="344"/>
      <c r="D65" s="2160"/>
      <c r="E65" s="2168"/>
      <c r="F65" s="2170"/>
      <c r="G65" s="2168"/>
      <c r="H65" s="2173"/>
      <c r="I65" s="2175"/>
      <c r="J65" s="2178"/>
      <c r="K65" s="2162"/>
      <c r="L65" s="2162"/>
      <c r="M65" s="2162"/>
      <c r="N65" s="2165"/>
      <c r="O65" s="2162"/>
      <c r="P65" s="1956"/>
      <c r="Q65" s="1958"/>
      <c r="R65" s="1958"/>
      <c r="S65" s="353"/>
      <c r="T65" s="353"/>
      <c r="U65" s="353"/>
      <c r="V65" s="353"/>
      <c r="W65" s="1959"/>
      <c r="X65" s="1290"/>
      <c r="Y65" s="1290"/>
      <c r="Z65" s="1290"/>
      <c r="AA65" s="1290"/>
      <c r="AB65" s="1290"/>
      <c r="AC65" s="1290"/>
      <c r="AD65" s="1290"/>
      <c r="AE65" s="1290"/>
      <c r="AF65" s="1290"/>
      <c r="AG65" s="1290"/>
      <c r="AH65" s="1290"/>
      <c r="AI65" s="1290"/>
      <c r="AJ65" s="1290"/>
      <c r="AK65" s="1290"/>
      <c r="AL65" s="1290"/>
      <c r="AM65" s="1290"/>
      <c r="AN65" s="1290"/>
      <c r="AO65" s="1290"/>
      <c r="AP65" s="1290"/>
      <c r="AQ65" s="1290"/>
      <c r="AR65" s="1491">
        <v>0</v>
      </c>
    </row>
    <row s="1877" customFormat="1" customHeight="1" ht="17.25" hidden="1">
      <c r="A66" s="345"/>
      <c r="C66" s="233"/>
      <c r="D66" s="2160"/>
      <c r="E66" s="2168"/>
      <c r="F66" s="2170"/>
      <c r="G66" s="2168"/>
      <c r="H66" s="2173"/>
      <c r="I66" s="2175"/>
      <c r="J66" s="2178"/>
      <c r="K66" s="2162"/>
      <c r="L66" s="1958"/>
      <c r="M66" s="1958"/>
      <c r="N66" s="1958"/>
      <c r="O66" s="1958"/>
      <c r="P66" s="1958"/>
      <c r="Q66" s="1958"/>
      <c r="R66" s="1958"/>
      <c r="S66" s="353"/>
      <c r="T66" s="353"/>
      <c r="U66" s="353"/>
      <c r="V66" s="353"/>
      <c r="W66" s="1959"/>
      <c r="Y66" s="1291"/>
      <c r="Z66" s="1291"/>
      <c r="AA66" s="1291"/>
      <c r="AB66" s="1291"/>
      <c r="AC66" s="1291"/>
      <c r="AD66" s="1291"/>
      <c r="AE66" s="1291"/>
      <c r="AF66" s="1291"/>
      <c r="AG66" s="1291"/>
      <c r="AH66" s="1291"/>
      <c r="AI66" s="1291"/>
      <c r="AJ66" s="1291"/>
      <c r="AK66" s="1291"/>
      <c r="AL66" s="1291"/>
      <c r="AM66" s="1291"/>
      <c r="AN66" s="1291"/>
      <c r="AO66" s="1291"/>
      <c r="AP66" s="1291"/>
      <c r="AQ66" s="1291"/>
      <c r="AR66" s="1491">
        <v>0</v>
      </c>
    </row>
    <row s="1877" customFormat="1" customHeight="1" ht="17.25" hidden="1">
      <c r="A67" s="345"/>
      <c r="C67" s="344"/>
      <c r="D67" s="2160"/>
      <c r="E67" s="2168"/>
      <c r="F67" s="2171"/>
      <c r="G67" s="2168"/>
      <c r="H67" s="1323"/>
      <c r="I67" s="1960"/>
      <c r="J67" s="1960"/>
      <c r="K67" s="1960"/>
      <c r="L67" s="1960"/>
      <c r="M67" s="1960"/>
      <c r="N67" s="1960"/>
      <c r="O67" s="1960"/>
      <c r="P67" s="1960"/>
      <c r="Q67" s="1960"/>
      <c r="R67" s="1960"/>
      <c r="S67" s="1325"/>
      <c r="T67" s="1325"/>
      <c r="U67" s="1325"/>
      <c r="V67" s="1325"/>
      <c r="W67" s="1961"/>
      <c r="X67" s="1290"/>
      <c r="Y67" s="1290"/>
      <c r="Z67" s="1290"/>
      <c r="AA67" s="1290"/>
      <c r="AB67" s="1290"/>
      <c r="AC67" s="1290"/>
      <c r="AD67" s="1290"/>
      <c r="AE67" s="1290"/>
      <c r="AF67" s="1290"/>
      <c r="AG67" s="1290"/>
      <c r="AH67" s="1290"/>
      <c r="AI67" s="1290"/>
      <c r="AJ67" s="1290"/>
      <c r="AK67" s="1290"/>
      <c r="AL67" s="1290"/>
      <c r="AM67" s="1290"/>
      <c r="AN67" s="1290"/>
      <c r="AO67" s="1290"/>
      <c r="AP67" s="1290"/>
      <c r="AQ67" s="1290"/>
      <c r="AR67" s="1491">
        <v>0</v>
      </c>
    </row>
    <row customHeight="1" ht="11.25" hidden="1">
      <c r="AR68" s="128">
        <v>0</v>
      </c>
    </row>
    <row customHeight="1" ht="11.25" hidden="1">
      <c r="E69" s="2198" t="s">
        <v>300</v>
      </c>
      <c r="F69" s="2198"/>
      <c r="G69" s="2198"/>
      <c r="H69" s="2198"/>
      <c r="I69" s="2198"/>
      <c r="J69" s="2198"/>
      <c r="K69" s="2198"/>
      <c r="L69" s="2198"/>
      <c r="M69" s="2198"/>
      <c r="N69" s="2198"/>
      <c r="O69" s="2198"/>
      <c r="P69" s="2198"/>
      <c r="Q69" s="2198"/>
      <c r="R69" s="2198"/>
      <c r="S69" s="2198"/>
      <c r="T69" s="2198"/>
      <c r="U69" s="2198"/>
      <c r="V69" s="2198"/>
      <c r="W69" s="2198"/>
      <c r="AR69" s="128">
        <v>0</v>
      </c>
    </row>
    <row customHeight="1" ht="36.75" hidden="1">
      <c r="E70" s="2196" t="s">
        <v>301</v>
      </c>
      <c r="F70" s="2196"/>
      <c r="G70" s="2197"/>
      <c r="H70" s="2197"/>
      <c r="I70" s="2197"/>
      <c r="J70" s="2197"/>
      <c r="K70" s="2197"/>
      <c r="L70" s="2197"/>
      <c r="M70" s="2197"/>
      <c r="N70" s="2197"/>
      <c r="O70" s="2197"/>
      <c r="P70" s="2197"/>
      <c r="Q70" s="2197"/>
      <c r="R70" s="2197"/>
      <c r="S70" s="2197"/>
      <c r="T70" s="2197"/>
      <c r="U70" s="2197"/>
      <c r="V70" s="2197"/>
      <c r="W70" s="2197"/>
      <c r="AR70" s="128">
        <v>0</v>
      </c>
    </row>
    <row customHeight="1" ht="28.5" hidden="1">
      <c r="E71" s="2196" t="s">
        <v>302</v>
      </c>
      <c r="F71" s="2196"/>
      <c r="G71" s="2197"/>
      <c r="H71" s="2197"/>
      <c r="I71" s="2197"/>
      <c r="J71" s="2197"/>
      <c r="K71" s="2197"/>
      <c r="L71" s="2197"/>
      <c r="M71" s="2197"/>
      <c r="N71" s="2197"/>
      <c r="O71" s="2197"/>
      <c r="P71" s="2197"/>
      <c r="Q71" s="2197"/>
      <c r="R71" s="2197"/>
      <c r="S71" s="2197"/>
      <c r="T71" s="2197"/>
      <c r="U71" s="2197"/>
      <c r="V71" s="2197"/>
      <c r="W71" s="2197"/>
      <c r="AR71" s="128">
        <v>0</v>
      </c>
    </row>
    <row customHeight="1" ht="27" hidden="1">
      <c r="E72" s="2196" t="s">
        <v>303</v>
      </c>
      <c r="F72" s="2196"/>
      <c r="G72" s="2197"/>
      <c r="H72" s="2197"/>
      <c r="I72" s="2197"/>
      <c r="J72" s="2197"/>
      <c r="K72" s="2197"/>
      <c r="L72" s="2197"/>
      <c r="M72" s="2197"/>
      <c r="N72" s="2197"/>
      <c r="O72" s="2197"/>
      <c r="P72" s="2197"/>
      <c r="Q72" s="2197"/>
      <c r="R72" s="2197"/>
      <c r="S72" s="2197"/>
      <c r="T72" s="2197"/>
      <c r="U72" s="2197"/>
      <c r="V72" s="2197"/>
      <c r="W72" s="2197"/>
      <c r="AR72" s="128">
        <v>0</v>
      </c>
    </row>
    <row customHeight="1" ht="17.25" hidden="1">
      <c r="E73" s="2196" t="s">
        <v>304</v>
      </c>
      <c r="F73" s="2196"/>
      <c r="G73" s="2197"/>
      <c r="H73" s="2197"/>
      <c r="I73" s="2197"/>
      <c r="J73" s="2197"/>
      <c r="K73" s="2197"/>
      <c r="L73" s="2197"/>
      <c r="M73" s="2197"/>
      <c r="N73" s="2197"/>
      <c r="O73" s="2197"/>
      <c r="P73" s="2197"/>
      <c r="Q73" s="2197"/>
      <c r="R73" s="2197"/>
      <c r="S73" s="2197"/>
      <c r="T73" s="2197"/>
      <c r="U73" s="2197"/>
      <c r="V73" s="2197"/>
      <c r="W73" s="2197"/>
      <c r="AR73" s="128">
        <v>0</v>
      </c>
    </row>
    <row customHeight="1" ht="15" hidden="1">
      <c r="E74" s="364"/>
      <c r="F74" s="1309"/>
      <c r="G74" s="181"/>
      <c r="H74" s="181"/>
      <c r="I74" s="181"/>
      <c r="J74" s="181"/>
      <c r="K74" s="181"/>
      <c r="L74" s="181"/>
      <c r="M74" s="181"/>
      <c r="N74" s="181"/>
      <c r="O74" s="181"/>
      <c r="P74" s="181"/>
      <c r="Q74" s="181"/>
      <c r="R74" s="181"/>
      <c r="S74" s="181"/>
      <c r="T74" s="181"/>
      <c r="U74" s="181"/>
      <c r="V74" s="181"/>
      <c r="W74" s="181"/>
      <c r="AR74" s="128">
        <v>0</v>
      </c>
    </row>
    <row customHeight="1" ht="15" hidden="1">
      <c r="E75" s="2198" t="s">
        <v>305</v>
      </c>
      <c r="F75" s="2198"/>
      <c r="G75" s="2198"/>
      <c r="H75" s="2198"/>
      <c r="I75" s="2198"/>
      <c r="J75" s="2198"/>
      <c r="K75" s="2198"/>
      <c r="L75" s="2198"/>
      <c r="M75" s="2198"/>
      <c r="N75" s="2198"/>
      <c r="O75" s="2198"/>
      <c r="P75" s="2198"/>
      <c r="Q75" s="2198"/>
      <c r="R75" s="2198"/>
      <c r="S75" s="2198"/>
      <c r="T75" s="2198"/>
      <c r="U75" s="2198"/>
      <c r="V75" s="2198"/>
      <c r="W75" s="2198"/>
      <c r="AR75" s="128">
        <v>0</v>
      </c>
    </row>
    <row customHeight="1" ht="17.25" hidden="1">
      <c r="E76" s="2196" t="s">
        <v>306</v>
      </c>
      <c r="F76" s="2196"/>
      <c r="G76" s="2197"/>
      <c r="H76" s="2197"/>
      <c r="I76" s="2197"/>
      <c r="J76" s="2197"/>
      <c r="K76" s="2197"/>
      <c r="L76" s="2197"/>
      <c r="M76" s="2197"/>
      <c r="N76" s="2197"/>
      <c r="O76" s="2197"/>
      <c r="P76" s="2197"/>
      <c r="Q76" s="2197"/>
      <c r="R76" s="2197"/>
      <c r="S76" s="2197"/>
      <c r="T76" s="2197"/>
      <c r="U76" s="2197"/>
      <c r="V76" s="2197"/>
      <c r="W76" s="2197"/>
      <c r="AR76" s="128">
        <v>0</v>
      </c>
    </row>
    <row customHeight="1" ht="17.25" hidden="1">
      <c r="E77" s="2196" t="s">
        <v>307</v>
      </c>
      <c r="F77" s="2196"/>
      <c r="G77" s="2197"/>
      <c r="H77" s="2197"/>
      <c r="I77" s="2197"/>
      <c r="J77" s="2197"/>
      <c r="K77" s="2197"/>
      <c r="L77" s="2197"/>
      <c r="M77" s="2197"/>
      <c r="N77" s="2197"/>
      <c r="O77" s="2197"/>
      <c r="P77" s="2197"/>
      <c r="Q77" s="2197"/>
      <c r="R77" s="2197"/>
      <c r="S77" s="2197"/>
      <c r="T77" s="2197"/>
      <c r="U77" s="2197"/>
      <c r="V77" s="2197"/>
      <c r="W77" s="2197"/>
      <c r="AR77" s="128">
        <v>0</v>
      </c>
    </row>
    <row s="1877" customFormat="1" customHeight="1" ht="11.25" hidden="1">
      <c r="A78" s="301"/>
      <c r="B78" s="301"/>
      <c r="Y78" s="1283"/>
      <c r="Z78" s="1283"/>
      <c r="AA78" s="1283"/>
      <c r="AB78" s="1283"/>
      <c r="AC78" s="1283"/>
      <c r="AD78" s="1283"/>
      <c r="AE78" s="1283"/>
      <c r="AF78" s="1283"/>
      <c r="AG78" s="1283"/>
      <c r="AH78" s="1283"/>
      <c r="AI78" s="1283"/>
      <c r="AJ78" s="1283"/>
      <c r="AK78" s="1283"/>
      <c r="AL78" s="1283"/>
      <c r="AM78" s="1283"/>
      <c r="AN78" s="1283"/>
      <c r="AO78" s="1283"/>
      <c r="AP78" s="1283"/>
      <c r="AQ78" s="1283"/>
      <c r="AR78" s="1374">
        <v>0</v>
      </c>
    </row>
    <row s="1877" customFormat="1" customHeight="1" ht="17.25" hidden="1">
      <c r="A79" s="345"/>
      <c r="C79" s="233"/>
      <c r="D79" s="2159">
        <v>1</v>
      </c>
      <c r="E79" s="2167" t="s">
        <v>308</v>
      </c>
      <c r="F79" s="2169" t="s">
        <v>19</v>
      </c>
      <c r="G79" s="2167"/>
      <c r="H79" s="2172"/>
      <c r="I79" s="2174"/>
      <c r="J79" s="2176"/>
      <c r="K79" s="2161"/>
      <c r="L79" s="2161"/>
      <c r="M79" s="2161"/>
      <c r="N79" s="2163"/>
      <c r="O79" s="2161"/>
      <c r="P79" s="2161"/>
      <c r="Q79" s="2161"/>
      <c r="R79" s="2166"/>
      <c r="S79" s="2161"/>
      <c r="T79" s="1494"/>
      <c r="U79" s="1494"/>
      <c r="V79" s="1496"/>
      <c r="W79" s="1320"/>
      <c r="Y79" s="1291"/>
      <c r="Z79" s="1291"/>
      <c r="AA79" s="1291"/>
      <c r="AB79" s="1291"/>
      <c r="AC79" s="1291" t="s">
        <v>309</v>
      </c>
      <c r="AD79" s="1291" t="s">
        <v>310</v>
      </c>
      <c r="AE79" s="1291" t="s">
        <v>311</v>
      </c>
      <c r="AF79" s="1291" t="s">
        <v>312</v>
      </c>
      <c r="AG79" s="1291"/>
      <c r="AH79" s="1291" t="str">
        <f>IF($E$79=0,"",$E$79)</f>
        <v>Тариф на питьевую воду (питьевое водоснабжение)</v>
      </c>
      <c r="AI79" s="1291" t="str">
        <f>IF($G$79=0,"",$G$79)</f>
        <v/>
      </c>
      <c r="AJ79" s="1291" t="str">
        <f>IF($J$79=0,"",$J$79)</f>
        <v/>
      </c>
      <c r="AK79" s="1291" t="str">
        <f>IF($K$79="нет","без дифференциации",IF($N$79=0,"",$N$79))</f>
        <v/>
      </c>
      <c r="AL79" s="1291" t="str">
        <f>IF($O$79="нет","без дифференциации",IF($R$79=0,"",$R$79))</f>
        <v/>
      </c>
      <c r="AM79" s="1291" t="str">
        <f>IF($S$79="нет","без дифференциации",IF($V$79=0,"",$V$79))</f>
        <v/>
      </c>
      <c r="AN79" s="1291">
        <f>$I$79</f>
        <v>0</v>
      </c>
      <c r="AO79" s="1291" t="str">
        <f>$I$79&amp;"."&amp;$M$79</f>
        <v>.</v>
      </c>
      <c r="AP79" s="1291" t="str">
        <f>$I$79&amp;"."&amp;$M$79&amp;"."&amp;$Q$79</f>
        <v>..</v>
      </c>
      <c r="AQ79" s="1291" t="str">
        <f>$I$79&amp;"."&amp;$M$79&amp;"."&amp;$Q$79&amp;"."&amp;$U$79</f>
        <v>...</v>
      </c>
      <c r="AR79" s="1374">
        <v>0</v>
      </c>
    </row>
    <row s="1877" customFormat="1" customHeight="1" ht="17.25" hidden="1">
      <c r="A80" s="345"/>
      <c r="C80" s="344"/>
      <c r="D80" s="2159"/>
      <c r="E80" s="2167"/>
      <c r="F80" s="2170"/>
      <c r="G80" s="2167"/>
      <c r="H80" s="2173"/>
      <c r="I80" s="2175"/>
      <c r="J80" s="2177"/>
      <c r="K80" s="2162"/>
      <c r="L80" s="2162"/>
      <c r="M80" s="2162"/>
      <c r="N80" s="2164"/>
      <c r="O80" s="2162"/>
      <c r="P80" s="2162"/>
      <c r="Q80" s="2162"/>
      <c r="R80" s="2165"/>
      <c r="S80" s="2162"/>
      <c r="T80" s="1321"/>
      <c r="U80" s="1321"/>
      <c r="V80" s="1321"/>
      <c r="W80" s="1322"/>
      <c r="Y80" s="1283"/>
      <c r="Z80" s="1283"/>
      <c r="AA80" s="1283"/>
      <c r="AB80" s="1283"/>
      <c r="AC80" s="1283"/>
      <c r="AD80" s="1283"/>
      <c r="AE80" s="1283"/>
      <c r="AF80" s="1283"/>
      <c r="AG80" s="1283"/>
      <c r="AH80" s="1283"/>
      <c r="AI80" s="1283"/>
      <c r="AJ80" s="1283"/>
      <c r="AK80" s="1283"/>
      <c r="AL80" s="1283"/>
      <c r="AM80" s="1283"/>
      <c r="AN80" s="1283"/>
      <c r="AO80" s="1283"/>
      <c r="AP80" s="1283"/>
      <c r="AQ80" s="1283"/>
      <c r="AR80" s="1374">
        <v>0</v>
      </c>
    </row>
    <row s="1877" customFormat="1" customHeight="1" ht="17.25" hidden="1">
      <c r="A81" s="345"/>
      <c r="C81" s="233"/>
      <c r="D81" s="2159"/>
      <c r="E81" s="2167"/>
      <c r="F81" s="2170"/>
      <c r="G81" s="2167"/>
      <c r="H81" s="2173"/>
      <c r="I81" s="2175"/>
      <c r="J81" s="2178"/>
      <c r="K81" s="2162"/>
      <c r="L81" s="2162"/>
      <c r="M81" s="2162"/>
      <c r="N81" s="2165"/>
      <c r="O81" s="2162"/>
      <c r="P81" s="1495"/>
      <c r="Q81" s="1321"/>
      <c r="R81" s="1321"/>
      <c r="S81" s="353"/>
      <c r="T81" s="353"/>
      <c r="U81" s="353"/>
      <c r="V81" s="353"/>
      <c r="W81" s="1322"/>
      <c r="Y81" s="1291"/>
      <c r="Z81" s="1291"/>
      <c r="AA81" s="1291"/>
      <c r="AB81" s="1291"/>
      <c r="AC81" s="1291"/>
      <c r="AD81" s="1291"/>
      <c r="AE81" s="1291"/>
      <c r="AF81" s="1291"/>
      <c r="AG81" s="1291"/>
      <c r="AH81" s="1291"/>
      <c r="AI81" s="1291"/>
      <c r="AJ81" s="1291"/>
      <c r="AK81" s="1291"/>
      <c r="AL81" s="1291"/>
      <c r="AM81" s="1291"/>
      <c r="AN81" s="1291"/>
      <c r="AO81" s="1291"/>
      <c r="AP81" s="1291"/>
      <c r="AQ81" s="1291"/>
      <c r="AR81" s="1465">
        <v>0</v>
      </c>
    </row>
    <row s="1877" customFormat="1" customHeight="1" ht="17.25" hidden="1">
      <c r="A82" s="345"/>
      <c r="C82" s="344"/>
      <c r="D82" s="2159"/>
      <c r="E82" s="2167"/>
      <c r="F82" s="2170"/>
      <c r="G82" s="2167"/>
      <c r="H82" s="2173"/>
      <c r="I82" s="2175"/>
      <c r="J82" s="2178"/>
      <c r="K82" s="2162"/>
      <c r="L82" s="1321"/>
      <c r="M82" s="1321"/>
      <c r="N82" s="1321"/>
      <c r="O82" s="1321"/>
      <c r="P82" s="1321"/>
      <c r="Q82" s="1321"/>
      <c r="R82" s="1321"/>
      <c r="S82" s="353"/>
      <c r="T82" s="353"/>
      <c r="U82" s="353"/>
      <c r="V82" s="353"/>
      <c r="W82" s="1322"/>
      <c r="Y82" s="1283"/>
      <c r="Z82" s="1283"/>
      <c r="AA82" s="1283"/>
      <c r="AB82" s="1283"/>
      <c r="AC82" s="1283"/>
      <c r="AD82" s="1283"/>
      <c r="AE82" s="1283"/>
      <c r="AF82" s="1283"/>
      <c r="AG82" s="1283"/>
      <c r="AH82" s="1283"/>
      <c r="AI82" s="1283"/>
      <c r="AJ82" s="1283"/>
      <c r="AK82" s="1283"/>
      <c r="AL82" s="1283"/>
      <c r="AM82" s="1283"/>
      <c r="AN82" s="1283"/>
      <c r="AO82" s="1283"/>
      <c r="AP82" s="1283"/>
      <c r="AQ82" s="1283"/>
      <c r="AR82" s="1465">
        <v>0</v>
      </c>
    </row>
    <row s="1877" customFormat="1" customHeight="1" ht="17.25" hidden="1">
      <c r="A83" s="345"/>
      <c r="C83" s="344"/>
      <c r="D83" s="2160"/>
      <c r="E83" s="2168"/>
      <c r="F83" s="2171"/>
      <c r="G83" s="2168"/>
      <c r="H83" s="1323"/>
      <c r="I83" s="1324"/>
      <c r="J83" s="1324"/>
      <c r="K83" s="1324"/>
      <c r="L83" s="1324"/>
      <c r="M83" s="1324"/>
      <c r="N83" s="1324"/>
      <c r="O83" s="1324"/>
      <c r="P83" s="1324"/>
      <c r="Q83" s="1324"/>
      <c r="R83" s="1324"/>
      <c r="S83" s="1325"/>
      <c r="T83" s="1325"/>
      <c r="U83" s="1325"/>
      <c r="V83" s="1325"/>
      <c r="W83" s="1326"/>
      <c r="Y83" s="1283"/>
      <c r="Z83" s="1283"/>
      <c r="AA83" s="1283"/>
      <c r="AB83" s="1283"/>
      <c r="AC83" s="1283"/>
      <c r="AD83" s="1283"/>
      <c r="AE83" s="1283"/>
      <c r="AF83" s="1283"/>
      <c r="AG83" s="1283"/>
      <c r="AH83" s="1283"/>
      <c r="AI83" s="1283"/>
      <c r="AJ83" s="1283"/>
      <c r="AK83" s="1283"/>
      <c r="AL83" s="1283"/>
      <c r="AM83" s="1283"/>
      <c r="AN83" s="1283"/>
      <c r="AO83" s="1283"/>
      <c r="AP83" s="1283"/>
      <c r="AQ83" s="1283"/>
      <c r="AR83" s="1374">
        <v>0</v>
      </c>
    </row>
    <row s="1877" customFormat="1" customHeight="1" ht="17.25" hidden="1">
      <c r="A84" s="345"/>
      <c r="C84" s="233"/>
      <c r="D84" s="2159">
        <v>2</v>
      </c>
      <c r="E84" s="2167" t="s">
        <v>313</v>
      </c>
      <c r="F84" s="2169" t="s">
        <v>19</v>
      </c>
      <c r="G84" s="2167"/>
      <c r="H84" s="2172"/>
      <c r="I84" s="2174"/>
      <c r="J84" s="2176"/>
      <c r="K84" s="2161"/>
      <c r="L84" s="2161"/>
      <c r="M84" s="2161"/>
      <c r="N84" s="2163"/>
      <c r="O84" s="2161"/>
      <c r="P84" s="2161"/>
      <c r="Q84" s="2161"/>
      <c r="R84" s="2166"/>
      <c r="S84" s="2161"/>
      <c r="T84" s="1467"/>
      <c r="U84" s="1467"/>
      <c r="V84" s="1469"/>
      <c r="W84" s="1320"/>
      <c r="X84" s="1291"/>
      <c r="Y84" s="1291"/>
      <c r="Z84" s="1291"/>
      <c r="AA84" s="1291"/>
      <c r="AB84" s="1291"/>
      <c r="AC84" s="1291" t="s">
        <v>314</v>
      </c>
      <c r="AD84" s="1291" t="s">
        <v>315</v>
      </c>
      <c r="AE84" s="1291" t="s">
        <v>316</v>
      </c>
      <c r="AF84" s="1291" t="s">
        <v>317</v>
      </c>
      <c r="AG84" s="1291"/>
      <c r="AH84" s="1291" t="str">
        <f>IF($E$84=0,"",$E$84)</f>
        <v>Тариф на техническую воду</v>
      </c>
      <c r="AI84" s="1291" t="str">
        <f>IF($G$84=0,"",$G$84)</f>
        <v/>
      </c>
      <c r="AJ84" s="1291" t="str">
        <f>IF($J$84=0,"",$J$84)</f>
        <v/>
      </c>
      <c r="AK84" s="1291" t="str">
        <f>IF($K$84="нет","без дифференциации",IF($N$84=0,"",$N$84))</f>
        <v/>
      </c>
      <c r="AL84" s="1291" t="str">
        <f>IF($O$84="нет","без дифференциации",IF($R$84=0,"",$R$84))</f>
        <v/>
      </c>
      <c r="AM84" s="1291" t="str">
        <f>IF($S$84="нет","без дифференциации",IF($V$84=0,"",$V$84))</f>
        <v/>
      </c>
      <c r="AN84" s="1796">
        <f>$I$84</f>
        <v>0</v>
      </c>
      <c r="AO84" s="1291" t="str">
        <f>$I$84&amp;"."&amp;$M$84</f>
        <v>.</v>
      </c>
      <c r="AP84" s="1283" t="str">
        <f>$I$84&amp;"."&amp;$M$84&amp;"."&amp;$Q$84</f>
        <v>..</v>
      </c>
      <c r="AQ84" s="1283" t="str">
        <f>$I$84&amp;"."&amp;$M$84&amp;"."&amp;$Q$84&amp;"."&amp;$U$84</f>
        <v>...</v>
      </c>
      <c r="AR84" s="1374">
        <v>0</v>
      </c>
    </row>
    <row s="1877" customFormat="1" customHeight="1" ht="17.25" hidden="1">
      <c r="A85" s="345"/>
      <c r="C85" s="344"/>
      <c r="D85" s="2159"/>
      <c r="E85" s="2167"/>
      <c r="F85" s="2170"/>
      <c r="G85" s="2167"/>
      <c r="H85" s="2173"/>
      <c r="I85" s="2175"/>
      <c r="J85" s="2177"/>
      <c r="K85" s="2162"/>
      <c r="L85" s="2162"/>
      <c r="M85" s="2162"/>
      <c r="N85" s="2164"/>
      <c r="O85" s="2162"/>
      <c r="P85" s="2162"/>
      <c r="Q85" s="2162"/>
      <c r="R85" s="2165"/>
      <c r="S85" s="2162"/>
      <c r="T85" s="1321"/>
      <c r="U85" s="1321"/>
      <c r="V85" s="1321"/>
      <c r="W85" s="1322"/>
      <c r="X85" s="1283"/>
      <c r="Y85" s="1283"/>
      <c r="Z85" s="1283"/>
      <c r="AA85" s="1283"/>
      <c r="AB85" s="1283"/>
      <c r="AC85" s="1283"/>
      <c r="AD85" s="1283"/>
      <c r="AE85" s="1283"/>
      <c r="AF85" s="1283"/>
      <c r="AG85" s="1283"/>
      <c r="AH85" s="1283"/>
      <c r="AI85" s="1283"/>
      <c r="AJ85" s="1283"/>
      <c r="AK85" s="1283"/>
      <c r="AL85" s="1283"/>
      <c r="AM85" s="1283"/>
      <c r="AN85" s="1283"/>
      <c r="AO85" s="1283"/>
      <c r="AP85" s="1283"/>
      <c r="AQ85" s="1283"/>
      <c r="AR85" s="1374">
        <v>0</v>
      </c>
    </row>
    <row s="1877" customFormat="1" customHeight="1" ht="17.25" hidden="1">
      <c r="A86" s="345"/>
      <c r="C86" s="344"/>
      <c r="D86" s="2160"/>
      <c r="E86" s="2168"/>
      <c r="F86" s="2170"/>
      <c r="G86" s="2168"/>
      <c r="H86" s="2173"/>
      <c r="I86" s="2175"/>
      <c r="J86" s="2178"/>
      <c r="K86" s="2162"/>
      <c r="L86" s="2162"/>
      <c r="M86" s="2162"/>
      <c r="N86" s="2165"/>
      <c r="O86" s="2162"/>
      <c r="P86" s="1468"/>
      <c r="Q86" s="1321"/>
      <c r="R86" s="1321"/>
      <c r="S86" s="353"/>
      <c r="T86" s="353"/>
      <c r="U86" s="353"/>
      <c r="V86" s="353"/>
      <c r="W86" s="1322"/>
      <c r="X86" s="1283"/>
      <c r="Y86" s="1283"/>
      <c r="Z86" s="1283"/>
      <c r="AA86" s="1283"/>
      <c r="AB86" s="1283"/>
      <c r="AC86" s="1283"/>
      <c r="AD86" s="1283"/>
      <c r="AE86" s="1283"/>
      <c r="AF86" s="1283"/>
      <c r="AG86" s="1283"/>
      <c r="AH86" s="1283"/>
      <c r="AI86" s="1283"/>
      <c r="AJ86" s="1283"/>
      <c r="AK86" s="1283"/>
      <c r="AL86" s="1283"/>
      <c r="AM86" s="1283"/>
      <c r="AN86" s="1283"/>
      <c r="AO86" s="1283"/>
      <c r="AP86" s="1283"/>
      <c r="AQ86" s="1283"/>
      <c r="AR86" s="1374">
        <v>0</v>
      </c>
    </row>
    <row s="1877" customFormat="1" customHeight="1" ht="17.25" hidden="1">
      <c r="A87" s="345"/>
      <c r="C87" s="344"/>
      <c r="D87" s="2160"/>
      <c r="E87" s="2168"/>
      <c r="F87" s="2170"/>
      <c r="G87" s="2168"/>
      <c r="H87" s="2173"/>
      <c r="I87" s="2175"/>
      <c r="J87" s="2178"/>
      <c r="K87" s="2162"/>
      <c r="L87" s="1321"/>
      <c r="M87" s="1321"/>
      <c r="N87" s="1321"/>
      <c r="O87" s="1321"/>
      <c r="P87" s="1321"/>
      <c r="Q87" s="1321"/>
      <c r="R87" s="1321"/>
      <c r="S87" s="353"/>
      <c r="T87" s="353"/>
      <c r="U87" s="353"/>
      <c r="V87" s="353"/>
      <c r="W87" s="1322"/>
      <c r="X87" s="1283"/>
      <c r="Y87" s="1283"/>
      <c r="Z87" s="1283"/>
      <c r="AA87" s="1283"/>
      <c r="AB87" s="1283"/>
      <c r="AC87" s="1283"/>
      <c r="AD87" s="1283"/>
      <c r="AE87" s="1283"/>
      <c r="AF87" s="1283"/>
      <c r="AG87" s="1283"/>
      <c r="AH87" s="1283"/>
      <c r="AI87" s="1283"/>
      <c r="AJ87" s="1283"/>
      <c r="AK87" s="1283"/>
      <c r="AL87" s="1283"/>
      <c r="AM87" s="1283"/>
      <c r="AN87" s="1283"/>
      <c r="AO87" s="1283"/>
      <c r="AP87" s="1283"/>
      <c r="AQ87" s="1283"/>
      <c r="AR87" s="1374">
        <v>0</v>
      </c>
    </row>
    <row s="1877" customFormat="1" customHeight="1" ht="17.25" hidden="1">
      <c r="A88" s="345"/>
      <c r="C88" s="344"/>
      <c r="D88" s="2160"/>
      <c r="E88" s="2168"/>
      <c r="F88" s="2171"/>
      <c r="G88" s="2168"/>
      <c r="H88" s="1323"/>
      <c r="I88" s="1324"/>
      <c r="J88" s="1324"/>
      <c r="K88" s="1324"/>
      <c r="L88" s="1324"/>
      <c r="M88" s="1324"/>
      <c r="N88" s="1324"/>
      <c r="O88" s="1324"/>
      <c r="P88" s="1324"/>
      <c r="Q88" s="1324"/>
      <c r="R88" s="1324"/>
      <c r="S88" s="1325"/>
      <c r="T88" s="1325"/>
      <c r="U88" s="1325"/>
      <c r="V88" s="1325"/>
      <c r="W88" s="1326"/>
      <c r="X88" s="1283"/>
      <c r="Y88" s="1283"/>
      <c r="Z88" s="1283"/>
      <c r="AA88" s="1283"/>
      <c r="AB88" s="1283"/>
      <c r="AC88" s="1283"/>
      <c r="AD88" s="1283"/>
      <c r="AE88" s="1283"/>
      <c r="AF88" s="1283"/>
      <c r="AG88" s="1283"/>
      <c r="AH88" s="1283"/>
      <c r="AI88" s="1283"/>
      <c r="AJ88" s="1283"/>
      <c r="AK88" s="1283"/>
      <c r="AL88" s="1283"/>
      <c r="AM88" s="1283"/>
      <c r="AN88" s="1283"/>
      <c r="AO88" s="1283"/>
      <c r="AP88" s="1283"/>
      <c r="AQ88" s="1283"/>
      <c r="AR88" s="1374">
        <v>0</v>
      </c>
    </row>
    <row s="1877" customFormat="1" customHeight="1" ht="17.25" hidden="1">
      <c r="A89" s="345"/>
      <c r="C89" s="233"/>
      <c r="D89" s="2159">
        <v>3</v>
      </c>
      <c r="E89" s="2167" t="s">
        <v>318</v>
      </c>
      <c r="F89" s="2169" t="s">
        <v>19</v>
      </c>
      <c r="G89" s="2167"/>
      <c r="H89" s="2172"/>
      <c r="I89" s="2174"/>
      <c r="J89" s="2176"/>
      <c r="K89" s="2161"/>
      <c r="L89" s="2161"/>
      <c r="M89" s="2161"/>
      <c r="N89" s="2163"/>
      <c r="O89" s="2161"/>
      <c r="P89" s="2161"/>
      <c r="Q89" s="2161"/>
      <c r="R89" s="2166"/>
      <c r="S89" s="2161"/>
      <c r="T89" s="1467"/>
      <c r="U89" s="1467"/>
      <c r="V89" s="1469"/>
      <c r="W89" s="1320"/>
      <c r="X89" s="1291"/>
      <c r="Y89" s="1291"/>
      <c r="Z89" s="1291"/>
      <c r="AA89" s="1291"/>
      <c r="AB89" s="1291"/>
      <c r="AC89" s="1291" t="s">
        <v>319</v>
      </c>
      <c r="AD89" s="1291" t="s">
        <v>320</v>
      </c>
      <c r="AE89" s="1291" t="s">
        <v>321</v>
      </c>
      <c r="AF89" s="1291" t="s">
        <v>322</v>
      </c>
      <c r="AG89" s="1291"/>
      <c r="AH89" s="1291" t="str">
        <f>IF($E$89=0,"",$E$89)</f>
        <v>Тариф на транспортировку воды</v>
      </c>
      <c r="AI89" s="1291" t="str">
        <f>IF($G$89=0,"",$G$89)</f>
        <v/>
      </c>
      <c r="AJ89" s="1291" t="str">
        <f>IF($J$89=0,"",$J$89)</f>
        <v/>
      </c>
      <c r="AK89" s="1291" t="str">
        <f>IF($K$89="нет","без дифференциации",IF($N$89=0,"",$N$89))</f>
        <v/>
      </c>
      <c r="AL89" s="1291" t="str">
        <f>IF($O$89="нет","без дифференциации",IF($R$89=0,"",$R$89))</f>
        <v/>
      </c>
      <c r="AM89" s="1291" t="str">
        <f>IF($S$89="нет","без дифференциации",IF($V$89=0,"",$V$89))</f>
        <v/>
      </c>
      <c r="AN89" s="1796">
        <f>$I$89</f>
        <v>0</v>
      </c>
      <c r="AO89" s="1291" t="str">
        <f>$I$89&amp;"."&amp;$M$89</f>
        <v>.</v>
      </c>
      <c r="AP89" s="1283" t="str">
        <f>$I$89&amp;"."&amp;$M$89&amp;"."&amp;$Q$89</f>
        <v>..</v>
      </c>
      <c r="AQ89" s="1283" t="str">
        <f>$I$89&amp;"."&amp;$M$89&amp;"."&amp;$Q$89&amp;"."&amp;$U$89</f>
        <v>...</v>
      </c>
      <c r="AR89" s="1374">
        <v>0</v>
      </c>
    </row>
    <row s="1877" customFormat="1" customHeight="1" ht="17.25" hidden="1">
      <c r="A90" s="345"/>
      <c r="C90" s="344"/>
      <c r="D90" s="2159"/>
      <c r="E90" s="2167"/>
      <c r="F90" s="2170"/>
      <c r="G90" s="2167"/>
      <c r="H90" s="2173"/>
      <c r="I90" s="2175"/>
      <c r="J90" s="2177"/>
      <c r="K90" s="2162"/>
      <c r="L90" s="2162"/>
      <c r="M90" s="2162"/>
      <c r="N90" s="2164"/>
      <c r="O90" s="2162"/>
      <c r="P90" s="2162"/>
      <c r="Q90" s="2162"/>
      <c r="R90" s="2165"/>
      <c r="S90" s="2162"/>
      <c r="T90" s="1321"/>
      <c r="U90" s="1321"/>
      <c r="V90" s="1321"/>
      <c r="W90" s="1322"/>
      <c r="X90" s="1283"/>
      <c r="Y90" s="1283"/>
      <c r="Z90" s="1283"/>
      <c r="AA90" s="1283"/>
      <c r="AB90" s="1283"/>
      <c r="AC90" s="1283"/>
      <c r="AD90" s="1283"/>
      <c r="AE90" s="1283"/>
      <c r="AF90" s="1283"/>
      <c r="AG90" s="1283"/>
      <c r="AH90" s="1283"/>
      <c r="AI90" s="1283"/>
      <c r="AJ90" s="1283"/>
      <c r="AK90" s="1283"/>
      <c r="AL90" s="1283"/>
      <c r="AM90" s="1283"/>
      <c r="AN90" s="1283"/>
      <c r="AO90" s="1283"/>
      <c r="AP90" s="1283"/>
      <c r="AQ90" s="1283"/>
      <c r="AR90" s="1374">
        <v>0</v>
      </c>
    </row>
    <row s="1877" customFormat="1" customHeight="1" ht="17.25" hidden="1">
      <c r="A91" s="345"/>
      <c r="C91" s="344"/>
      <c r="D91" s="2160"/>
      <c r="E91" s="2168"/>
      <c r="F91" s="2170"/>
      <c r="G91" s="2168"/>
      <c r="H91" s="2173"/>
      <c r="I91" s="2175"/>
      <c r="J91" s="2178"/>
      <c r="K91" s="2162"/>
      <c r="L91" s="2162"/>
      <c r="M91" s="2162"/>
      <c r="N91" s="2165"/>
      <c r="O91" s="2162"/>
      <c r="P91" s="1468"/>
      <c r="Q91" s="1321"/>
      <c r="R91" s="1321"/>
      <c r="S91" s="353"/>
      <c r="T91" s="353"/>
      <c r="U91" s="353"/>
      <c r="V91" s="353"/>
      <c r="W91" s="1322"/>
      <c r="X91" s="1283"/>
      <c r="Y91" s="1283"/>
      <c r="Z91" s="1283"/>
      <c r="AA91" s="1283"/>
      <c r="AB91" s="1283"/>
      <c r="AC91" s="1283"/>
      <c r="AD91" s="1283"/>
      <c r="AE91" s="1283"/>
      <c r="AF91" s="1283"/>
      <c r="AG91" s="1283"/>
      <c r="AH91" s="1283"/>
      <c r="AI91" s="1283"/>
      <c r="AJ91" s="1283"/>
      <c r="AK91" s="1283"/>
      <c r="AL91" s="1283"/>
      <c r="AM91" s="1283"/>
      <c r="AN91" s="1283"/>
      <c r="AO91" s="1283"/>
      <c r="AP91" s="1283"/>
      <c r="AQ91" s="1283"/>
      <c r="AR91" s="1374">
        <v>0</v>
      </c>
    </row>
    <row s="1877" customFormat="1" customHeight="1" ht="17.25" hidden="1">
      <c r="A92" s="345"/>
      <c r="C92" s="344"/>
      <c r="D92" s="2160"/>
      <c r="E92" s="2168"/>
      <c r="F92" s="2170"/>
      <c r="G92" s="2168"/>
      <c r="H92" s="2173"/>
      <c r="I92" s="2175"/>
      <c r="J92" s="2178"/>
      <c r="K92" s="2162"/>
      <c r="L92" s="1321"/>
      <c r="M92" s="1321"/>
      <c r="N92" s="1321"/>
      <c r="O92" s="1321"/>
      <c r="P92" s="1321"/>
      <c r="Q92" s="1321"/>
      <c r="R92" s="1321"/>
      <c r="S92" s="353"/>
      <c r="T92" s="353"/>
      <c r="U92" s="353"/>
      <c r="V92" s="353"/>
      <c r="W92" s="1322"/>
      <c r="X92" s="1283"/>
      <c r="Y92" s="1283"/>
      <c r="Z92" s="1283"/>
      <c r="AA92" s="1283"/>
      <c r="AB92" s="1283"/>
      <c r="AC92" s="1283"/>
      <c r="AD92" s="1283"/>
      <c r="AE92" s="1283"/>
      <c r="AF92" s="1283"/>
      <c r="AG92" s="1283"/>
      <c r="AH92" s="1283"/>
      <c r="AI92" s="1283"/>
      <c r="AJ92" s="1283"/>
      <c r="AK92" s="1283"/>
      <c r="AL92" s="1283"/>
      <c r="AM92" s="1283"/>
      <c r="AN92" s="1283"/>
      <c r="AO92" s="1283"/>
      <c r="AP92" s="1283"/>
      <c r="AQ92" s="1283"/>
      <c r="AR92" s="1374">
        <v>0</v>
      </c>
    </row>
    <row s="1877" customFormat="1" customHeight="1" ht="17.25" hidden="1">
      <c r="A93" s="345"/>
      <c r="C93" s="344"/>
      <c r="D93" s="2160"/>
      <c r="E93" s="2168"/>
      <c r="F93" s="2171"/>
      <c r="G93" s="2168"/>
      <c r="H93" s="1323"/>
      <c r="I93" s="1324"/>
      <c r="J93" s="1324"/>
      <c r="K93" s="1324"/>
      <c r="L93" s="1324"/>
      <c r="M93" s="1324"/>
      <c r="N93" s="1324"/>
      <c r="O93" s="1324"/>
      <c r="P93" s="1324"/>
      <c r="Q93" s="1324"/>
      <c r="R93" s="1324"/>
      <c r="S93" s="1325"/>
      <c r="T93" s="1325"/>
      <c r="U93" s="1325"/>
      <c r="V93" s="1325"/>
      <c r="W93" s="1326"/>
      <c r="X93" s="1283"/>
      <c r="Y93" s="1283"/>
      <c r="Z93" s="1283"/>
      <c r="AA93" s="1283"/>
      <c r="AB93" s="1283"/>
      <c r="AC93" s="1283"/>
      <c r="AD93" s="1283"/>
      <c r="AE93" s="1283"/>
      <c r="AF93" s="1283"/>
      <c r="AG93" s="1283"/>
      <c r="AH93" s="1283"/>
      <c r="AI93" s="1283"/>
      <c r="AJ93" s="1283"/>
      <c r="AK93" s="1283"/>
      <c r="AL93" s="1283"/>
      <c r="AM93" s="1283"/>
      <c r="AN93" s="1283"/>
      <c r="AO93" s="1283"/>
      <c r="AP93" s="1283"/>
      <c r="AQ93" s="1283"/>
      <c r="AR93" s="1374">
        <v>0</v>
      </c>
    </row>
    <row s="1877" customFormat="1" customHeight="1" ht="17.25" hidden="1">
      <c r="A94" s="345"/>
      <c r="C94" s="233"/>
      <c r="D94" s="2159">
        <v>4</v>
      </c>
      <c r="E94" s="2167" t="s">
        <v>323</v>
      </c>
      <c r="F94" s="2169" t="s">
        <v>19</v>
      </c>
      <c r="G94" s="2167"/>
      <c r="H94" s="2172"/>
      <c r="I94" s="2174"/>
      <c r="J94" s="2176"/>
      <c r="K94" s="2161"/>
      <c r="L94" s="2161"/>
      <c r="M94" s="2161"/>
      <c r="N94" s="2163"/>
      <c r="O94" s="2161"/>
      <c r="P94" s="2161"/>
      <c r="Q94" s="2161"/>
      <c r="R94" s="2166"/>
      <c r="S94" s="2161"/>
      <c r="T94" s="1467"/>
      <c r="U94" s="1467"/>
      <c r="V94" s="1469"/>
      <c r="W94" s="1320"/>
      <c r="X94" s="1291"/>
      <c r="Y94" s="1291"/>
      <c r="Z94" s="1291"/>
      <c r="AA94" s="1291"/>
      <c r="AB94" s="1291"/>
      <c r="AC94" s="1291" t="s">
        <v>324</v>
      </c>
      <c r="AD94" s="1291" t="s">
        <v>325</v>
      </c>
      <c r="AE94" s="1291" t="s">
        <v>326</v>
      </c>
      <c r="AF94" s="1291" t="s">
        <v>327</v>
      </c>
      <c r="AG94" s="1291"/>
      <c r="AH94" s="1291" t="str">
        <f>IF($E$94=0,"",$E$94)</f>
        <v>Тариф на подвоз воды</v>
      </c>
      <c r="AI94" s="1291" t="str">
        <f>IF($G$94=0,"",$G$94)</f>
        <v/>
      </c>
      <c r="AJ94" s="1291" t="str">
        <f>IF($J$94=0,"",$J$94)</f>
        <v/>
      </c>
      <c r="AK94" s="1291" t="str">
        <f>IF($K$94="нет","без дифференциации",IF($N$94=0,"",$N$94))</f>
        <v/>
      </c>
      <c r="AL94" s="1291" t="str">
        <f>IF($O$94="нет","без дифференциации",IF($R$94=0,"",$R$94))</f>
        <v/>
      </c>
      <c r="AM94" s="1291" t="str">
        <f>IF($S$94="нет","без дифференциации",IF($V$94=0,"",$V$94))</f>
        <v/>
      </c>
      <c r="AN94" s="1796">
        <f>$I$94</f>
        <v>0</v>
      </c>
      <c r="AO94" s="1291" t="str">
        <f>$I$94&amp;"."&amp;$M$94</f>
        <v>.</v>
      </c>
      <c r="AP94" s="1283" t="str">
        <f>$I$94&amp;"."&amp;$M$94&amp;"."&amp;$Q$94</f>
        <v>..</v>
      </c>
      <c r="AQ94" s="1283" t="str">
        <f>$I$94&amp;"."&amp;$M$94&amp;"."&amp;$Q$94&amp;"."&amp;$U$94</f>
        <v>...</v>
      </c>
      <c r="AR94" s="1374">
        <v>0</v>
      </c>
    </row>
    <row s="1877" customFormat="1" customHeight="1" ht="17.25" hidden="1">
      <c r="A95" s="345"/>
      <c r="C95" s="344"/>
      <c r="D95" s="2159"/>
      <c r="E95" s="2167"/>
      <c r="F95" s="2170"/>
      <c r="G95" s="2167"/>
      <c r="H95" s="2173"/>
      <c r="I95" s="2175"/>
      <c r="J95" s="2177"/>
      <c r="K95" s="2162"/>
      <c r="L95" s="2162"/>
      <c r="M95" s="2162"/>
      <c r="N95" s="2164"/>
      <c r="O95" s="2162"/>
      <c r="P95" s="2162"/>
      <c r="Q95" s="2162"/>
      <c r="R95" s="2165"/>
      <c r="S95" s="2162"/>
      <c r="T95" s="1321"/>
      <c r="U95" s="1321"/>
      <c r="V95" s="1321"/>
      <c r="W95" s="1322"/>
      <c r="X95" s="1283"/>
      <c r="Y95" s="1283"/>
      <c r="Z95" s="1283"/>
      <c r="AA95" s="1283"/>
      <c r="AB95" s="1283"/>
      <c r="AC95" s="1283"/>
      <c r="AD95" s="1283"/>
      <c r="AE95" s="1283"/>
      <c r="AF95" s="1283"/>
      <c r="AG95" s="1283"/>
      <c r="AH95" s="1283"/>
      <c r="AI95" s="1283"/>
      <c r="AJ95" s="1283"/>
      <c r="AK95" s="1283"/>
      <c r="AL95" s="1283"/>
      <c r="AM95" s="1283"/>
      <c r="AN95" s="1283"/>
      <c r="AO95" s="1283"/>
      <c r="AP95" s="1283"/>
      <c r="AQ95" s="1283"/>
      <c r="AR95" s="1374">
        <v>0</v>
      </c>
    </row>
    <row s="1877" customFormat="1" customHeight="1" ht="17.25" hidden="1">
      <c r="A96" s="345"/>
      <c r="C96" s="344"/>
      <c r="D96" s="2160"/>
      <c r="E96" s="2168"/>
      <c r="F96" s="2170"/>
      <c r="G96" s="2168"/>
      <c r="H96" s="2173"/>
      <c r="I96" s="2175"/>
      <c r="J96" s="2178"/>
      <c r="K96" s="2162"/>
      <c r="L96" s="2162"/>
      <c r="M96" s="2162"/>
      <c r="N96" s="2165"/>
      <c r="O96" s="2162"/>
      <c r="P96" s="1468"/>
      <c r="Q96" s="1321"/>
      <c r="R96" s="1321"/>
      <c r="S96" s="353"/>
      <c r="T96" s="353"/>
      <c r="U96" s="353"/>
      <c r="V96" s="353"/>
      <c r="W96" s="1322"/>
      <c r="X96" s="1283"/>
      <c r="Y96" s="1283"/>
      <c r="Z96" s="1283"/>
      <c r="AA96" s="1283"/>
      <c r="AB96" s="1283"/>
      <c r="AC96" s="1283"/>
      <c r="AD96" s="1283"/>
      <c r="AE96" s="1283"/>
      <c r="AF96" s="1283"/>
      <c r="AG96" s="1283"/>
      <c r="AH96" s="1283"/>
      <c r="AI96" s="1283"/>
      <c r="AJ96" s="1283"/>
      <c r="AK96" s="1283"/>
      <c r="AL96" s="1283"/>
      <c r="AM96" s="1283"/>
      <c r="AN96" s="1283"/>
      <c r="AO96" s="1283"/>
      <c r="AP96" s="1283"/>
      <c r="AQ96" s="1283"/>
      <c r="AR96" s="1374">
        <v>0</v>
      </c>
    </row>
    <row s="1877" customFormat="1" customHeight="1" ht="17.25" hidden="1">
      <c r="A97" s="345"/>
      <c r="C97" s="344"/>
      <c r="D97" s="2160"/>
      <c r="E97" s="2168"/>
      <c r="F97" s="2170"/>
      <c r="G97" s="2168"/>
      <c r="H97" s="2173"/>
      <c r="I97" s="2175"/>
      <c r="J97" s="2178"/>
      <c r="K97" s="2162"/>
      <c r="L97" s="1321"/>
      <c r="M97" s="1321"/>
      <c r="N97" s="1321"/>
      <c r="O97" s="1321"/>
      <c r="P97" s="1321"/>
      <c r="Q97" s="1321"/>
      <c r="R97" s="1321"/>
      <c r="S97" s="353"/>
      <c r="T97" s="353"/>
      <c r="U97" s="353"/>
      <c r="V97" s="353"/>
      <c r="W97" s="1322"/>
      <c r="X97" s="1283"/>
      <c r="Y97" s="1283"/>
      <c r="Z97" s="1283"/>
      <c r="AA97" s="1283"/>
      <c r="AB97" s="1283"/>
      <c r="AC97" s="1283"/>
      <c r="AD97" s="1283"/>
      <c r="AE97" s="1283"/>
      <c r="AF97" s="1283"/>
      <c r="AG97" s="1283"/>
      <c r="AH97" s="1283"/>
      <c r="AI97" s="1283"/>
      <c r="AJ97" s="1283"/>
      <c r="AK97" s="1283"/>
      <c r="AL97" s="1283"/>
      <c r="AM97" s="1283"/>
      <c r="AN97" s="1283"/>
      <c r="AO97" s="1283"/>
      <c r="AP97" s="1283"/>
      <c r="AQ97" s="1283"/>
      <c r="AR97" s="1374">
        <v>0</v>
      </c>
    </row>
    <row s="1877" customFormat="1" customHeight="1" ht="17.25" hidden="1">
      <c r="A98" s="345"/>
      <c r="C98" s="344"/>
      <c r="D98" s="2160"/>
      <c r="E98" s="2168"/>
      <c r="F98" s="2171"/>
      <c r="G98" s="2168"/>
      <c r="H98" s="1323"/>
      <c r="I98" s="1324"/>
      <c r="J98" s="1324"/>
      <c r="K98" s="1324"/>
      <c r="L98" s="1324"/>
      <c r="M98" s="1324"/>
      <c r="N98" s="1324"/>
      <c r="O98" s="1324"/>
      <c r="P98" s="1324"/>
      <c r="Q98" s="1324"/>
      <c r="R98" s="1324"/>
      <c r="S98" s="1325"/>
      <c r="T98" s="1325"/>
      <c r="U98" s="1325"/>
      <c r="V98" s="1325"/>
      <c r="W98" s="1326"/>
      <c r="X98" s="1283"/>
      <c r="Y98" s="1283"/>
      <c r="Z98" s="1283"/>
      <c r="AA98" s="1283"/>
      <c r="AB98" s="1283"/>
      <c r="AC98" s="1283"/>
      <c r="AD98" s="1283"/>
      <c r="AE98" s="1283"/>
      <c r="AF98" s="1283"/>
      <c r="AG98" s="1283"/>
      <c r="AH98" s="1283"/>
      <c r="AI98" s="1283"/>
      <c r="AJ98" s="1283"/>
      <c r="AK98" s="1283"/>
      <c r="AL98" s="1283"/>
      <c r="AM98" s="1283"/>
      <c r="AN98" s="1283"/>
      <c r="AO98" s="1283"/>
      <c r="AP98" s="1283"/>
      <c r="AQ98" s="1283"/>
      <c r="AR98" s="1374">
        <v>0</v>
      </c>
    </row>
    <row s="1877" customFormat="1" customHeight="1" ht="17.25" hidden="1">
      <c r="A99" s="345"/>
      <c r="C99" s="233"/>
      <c r="D99" s="2159">
        <v>5</v>
      </c>
      <c r="E99" s="2167" t="s">
        <v>328</v>
      </c>
      <c r="F99" s="2169" t="s">
        <v>19</v>
      </c>
      <c r="G99" s="2167"/>
      <c r="H99" s="2172"/>
      <c r="I99" s="2174"/>
      <c r="J99" s="2176"/>
      <c r="K99" s="2161"/>
      <c r="L99" s="2161"/>
      <c r="M99" s="2161"/>
      <c r="N99" s="2163"/>
      <c r="O99" s="2161"/>
      <c r="P99" s="2161"/>
      <c r="Q99" s="2161"/>
      <c r="R99" s="2166"/>
      <c r="S99" s="2161"/>
      <c r="T99" s="1967"/>
      <c r="U99" s="1967"/>
      <c r="V99" s="1969"/>
      <c r="W99" s="1320"/>
      <c r="X99" s="1291"/>
      <c r="Y99" s="1291"/>
      <c r="Z99" s="1291"/>
      <c r="AA99" s="1291"/>
      <c r="AB99" s="1291"/>
      <c r="AC99" s="1291" t="s">
        <v>329</v>
      </c>
      <c r="AD99" s="1291" t="s">
        <v>330</v>
      </c>
      <c r="AE99" s="1291" t="s">
        <v>331</v>
      </c>
      <c r="AF99" s="1291" t="s">
        <v>332</v>
      </c>
      <c r="AG99" s="1291"/>
      <c r="AH99" s="1291" t="str">
        <f>IF($E$99=0,"",$E$99)</f>
        <v>Тариф на подключение (технологическое присоединение) к централизованной системе холодного водоснабжения</v>
      </c>
      <c r="AI99" s="1291" t="str">
        <f>IF($G$99=0,"",$G$99)</f>
        <v/>
      </c>
      <c r="AJ99" s="1291" t="str">
        <f>IF($J$99=0,"",$J$99)</f>
        <v/>
      </c>
      <c r="AK99" s="1291" t="str">
        <f>IF($K$99="нет","без дифференциации",IF($N$99=0,"",$N$99))</f>
        <v/>
      </c>
      <c r="AL99" s="1291" t="str">
        <f>IF($O$99="нет","без дифференциации",IF($R$99=0,"",$R$99))</f>
        <v/>
      </c>
      <c r="AM99" s="1291" t="str">
        <f>IF($S$99="нет","без дифференциации",IF($V$99=0,"",$V$99))</f>
        <v/>
      </c>
      <c r="AN99" s="1796">
        <f>$I$99</f>
        <v>0</v>
      </c>
      <c r="AO99" s="1291" t="str">
        <f>$I$99&amp;"."&amp;$M$99</f>
        <v>.</v>
      </c>
      <c r="AP99" s="1290" t="str">
        <f>$I$99&amp;"."&amp;$M$99&amp;"."&amp;$Q$99</f>
        <v>..</v>
      </c>
      <c r="AQ99" s="1290" t="str">
        <f>$I$99&amp;"."&amp;$M$99&amp;"."&amp;$Q$99&amp;"."&amp;$U$99</f>
        <v>...</v>
      </c>
      <c r="AR99" s="1491">
        <v>0</v>
      </c>
    </row>
    <row s="1877" customFormat="1" customHeight="1" ht="17.25" hidden="1">
      <c r="A100" s="345"/>
      <c r="C100" s="344"/>
      <c r="D100" s="2159"/>
      <c r="E100" s="2167"/>
      <c r="F100" s="2170"/>
      <c r="G100" s="2167"/>
      <c r="H100" s="2173"/>
      <c r="I100" s="2175"/>
      <c r="J100" s="2177"/>
      <c r="K100" s="2162"/>
      <c r="L100" s="2162"/>
      <c r="M100" s="2162"/>
      <c r="N100" s="2164"/>
      <c r="O100" s="2162"/>
      <c r="P100" s="2162"/>
      <c r="Q100" s="2162"/>
      <c r="R100" s="2165"/>
      <c r="S100" s="2162"/>
      <c r="T100" s="1972"/>
      <c r="U100" s="1972"/>
      <c r="V100" s="1972"/>
      <c r="W100" s="1973"/>
      <c r="X100" s="1290"/>
      <c r="Y100" s="1290"/>
      <c r="Z100" s="1290"/>
      <c r="AA100" s="1290"/>
      <c r="AB100" s="1290"/>
      <c r="AC100" s="1290"/>
      <c r="AD100" s="1290"/>
      <c r="AE100" s="1290"/>
      <c r="AF100" s="1290"/>
      <c r="AG100" s="1290"/>
      <c r="AH100" s="1290"/>
      <c r="AI100" s="1290"/>
      <c r="AJ100" s="1290"/>
      <c r="AK100" s="1290"/>
      <c r="AL100" s="1290"/>
      <c r="AM100" s="1290"/>
      <c r="AN100" s="1290"/>
      <c r="AO100" s="1290"/>
      <c r="AP100" s="1290"/>
      <c r="AQ100" s="1290"/>
      <c r="AR100" s="1491">
        <v>0</v>
      </c>
    </row>
    <row s="1877" customFormat="1" customHeight="1" ht="17.25" hidden="1">
      <c r="A101" s="345"/>
      <c r="C101" s="344"/>
      <c r="D101" s="2160"/>
      <c r="E101" s="2168"/>
      <c r="F101" s="2170"/>
      <c r="G101" s="2168"/>
      <c r="H101" s="2173"/>
      <c r="I101" s="2175"/>
      <c r="J101" s="2178"/>
      <c r="K101" s="2162"/>
      <c r="L101" s="2162"/>
      <c r="M101" s="2162"/>
      <c r="N101" s="2165"/>
      <c r="O101" s="2162"/>
      <c r="P101" s="1968"/>
      <c r="Q101" s="1972"/>
      <c r="R101" s="1972"/>
      <c r="S101" s="353"/>
      <c r="T101" s="353"/>
      <c r="U101" s="353"/>
      <c r="V101" s="353"/>
      <c r="W101" s="1973"/>
      <c r="X101" s="1290"/>
      <c r="Y101" s="1290"/>
      <c r="Z101" s="1290"/>
      <c r="AA101" s="1290"/>
      <c r="AB101" s="1290"/>
      <c r="AC101" s="1290"/>
      <c r="AD101" s="1290"/>
      <c r="AE101" s="1290"/>
      <c r="AF101" s="1290"/>
      <c r="AG101" s="1290"/>
      <c r="AH101" s="1290"/>
      <c r="AI101" s="1290"/>
      <c r="AJ101" s="1290"/>
      <c r="AK101" s="1290"/>
      <c r="AL101" s="1290"/>
      <c r="AM101" s="1290"/>
      <c r="AN101" s="1290"/>
      <c r="AO101" s="1290"/>
      <c r="AP101" s="1290"/>
      <c r="AQ101" s="1290"/>
      <c r="AR101" s="1491">
        <v>0</v>
      </c>
    </row>
    <row s="1877" customFormat="1" customHeight="1" ht="17.25" hidden="1">
      <c r="A102" s="345"/>
      <c r="C102" s="344"/>
      <c r="D102" s="2160"/>
      <c r="E102" s="2168"/>
      <c r="F102" s="2170"/>
      <c r="G102" s="2168"/>
      <c r="H102" s="2173"/>
      <c r="I102" s="2175"/>
      <c r="J102" s="2178"/>
      <c r="K102" s="2162"/>
      <c r="L102" s="1972"/>
      <c r="M102" s="1972"/>
      <c r="N102" s="1972"/>
      <c r="O102" s="1972"/>
      <c r="P102" s="1972"/>
      <c r="Q102" s="1972"/>
      <c r="R102" s="1972"/>
      <c r="S102" s="353"/>
      <c r="T102" s="353"/>
      <c r="U102" s="353"/>
      <c r="V102" s="353"/>
      <c r="W102" s="1973"/>
      <c r="X102" s="1290"/>
      <c r="Y102" s="1290"/>
      <c r="Z102" s="1290"/>
      <c r="AA102" s="1290"/>
      <c r="AB102" s="1290"/>
      <c r="AC102" s="1290"/>
      <c r="AD102" s="1290"/>
      <c r="AE102" s="1290"/>
      <c r="AF102" s="1290"/>
      <c r="AG102" s="1290"/>
      <c r="AH102" s="1290"/>
      <c r="AI102" s="1290"/>
      <c r="AJ102" s="1290"/>
      <c r="AK102" s="1290"/>
      <c r="AL102" s="1290"/>
      <c r="AM102" s="1290"/>
      <c r="AN102" s="1290"/>
      <c r="AO102" s="1290"/>
      <c r="AP102" s="1290"/>
      <c r="AQ102" s="1290"/>
      <c r="AR102" s="1491">
        <v>0</v>
      </c>
    </row>
    <row s="1877" customFormat="1" customHeight="1" ht="17.25" hidden="1">
      <c r="A103" s="345"/>
      <c r="C103" s="344"/>
      <c r="D103" s="2160"/>
      <c r="E103" s="2168"/>
      <c r="F103" s="2171"/>
      <c r="G103" s="2168"/>
      <c r="H103" s="1323"/>
      <c r="I103" s="1970"/>
      <c r="J103" s="1970"/>
      <c r="K103" s="1970"/>
      <c r="L103" s="1970"/>
      <c r="M103" s="1970"/>
      <c r="N103" s="1970"/>
      <c r="O103" s="1970"/>
      <c r="P103" s="1970"/>
      <c r="Q103" s="1970"/>
      <c r="R103" s="1970"/>
      <c r="S103" s="1325"/>
      <c r="T103" s="1325"/>
      <c r="U103" s="1325"/>
      <c r="V103" s="1325"/>
      <c r="W103" s="1971"/>
      <c r="X103" s="1290"/>
      <c r="Y103" s="1290"/>
      <c r="Z103" s="1290"/>
      <c r="AA103" s="1290"/>
      <c r="AB103" s="1290"/>
      <c r="AC103" s="1290"/>
      <c r="AD103" s="1290"/>
      <c r="AE103" s="1290"/>
      <c r="AF103" s="1290"/>
      <c r="AG103" s="1290"/>
      <c r="AH103" s="1290"/>
      <c r="AI103" s="1290"/>
      <c r="AJ103" s="1290"/>
      <c r="AK103" s="1290"/>
      <c r="AL103" s="1290"/>
      <c r="AM103" s="1290"/>
      <c r="AN103" s="1290"/>
      <c r="AO103" s="1290"/>
      <c r="AP103" s="1290"/>
      <c r="AQ103" s="1290"/>
      <c r="AR103" s="1491">
        <v>0</v>
      </c>
    </row>
    <row s="1877" customFormat="1" customHeight="1" ht="11.25" hidden="1">
      <c r="A104" s="301"/>
      <c r="B104" s="301"/>
      <c r="Y104" s="1283"/>
      <c r="Z104" s="1283"/>
      <c r="AA104" s="1283"/>
      <c r="AB104" s="1283"/>
      <c r="AC104" s="1283"/>
      <c r="AD104" s="1283"/>
      <c r="AE104" s="1283"/>
      <c r="AF104" s="1283"/>
      <c r="AG104" s="1283"/>
      <c r="AH104" s="1283"/>
      <c r="AI104" s="1283"/>
      <c r="AJ104" s="1283"/>
      <c r="AK104" s="1283"/>
      <c r="AL104" s="1283"/>
      <c r="AM104" s="1283"/>
      <c r="AN104" s="1283"/>
      <c r="AO104" s="1283"/>
      <c r="AP104" s="1283"/>
      <c r="AQ104" s="1283"/>
      <c r="AR104" s="1491">
        <v>0</v>
      </c>
    </row>
    <row s="1877" customFormat="1" customHeight="1" ht="17.25" hidden="1">
      <c r="A105" s="345"/>
      <c r="C105" s="233"/>
      <c r="D105" s="2159">
        <v>1</v>
      </c>
      <c r="E105" s="2167" t="s">
        <v>333</v>
      </c>
      <c r="F105" s="2169" t="s">
        <v>19</v>
      </c>
      <c r="G105" s="2167"/>
      <c r="H105" s="2172"/>
      <c r="I105" s="2174"/>
      <c r="J105" s="2176"/>
      <c r="K105" s="2161"/>
      <c r="L105" s="2161"/>
      <c r="M105" s="2161"/>
      <c r="N105" s="2163"/>
      <c r="O105" s="2161"/>
      <c r="P105" s="2161"/>
      <c r="Q105" s="2161"/>
      <c r="R105" s="2166"/>
      <c r="S105" s="2161"/>
      <c r="T105" s="1494"/>
      <c r="U105" s="1494"/>
      <c r="V105" s="1496"/>
      <c r="W105" s="1320"/>
      <c r="Y105" s="1291"/>
      <c r="Z105" s="1291"/>
      <c r="AA105" s="1291"/>
      <c r="AB105" s="1291"/>
      <c r="AC105" s="1291" t="s">
        <v>334</v>
      </c>
      <c r="AD105" s="1291" t="s">
        <v>335</v>
      </c>
      <c r="AE105" s="1291" t="s">
        <v>336</v>
      </c>
      <c r="AF105" s="1291" t="s">
        <v>337</v>
      </c>
      <c r="AG105" s="1291"/>
      <c r="AH105" s="1291" t="str">
        <f>IF($E$105=0,"",$E$105)</f>
        <v>Тариф на горячую воду (горячее водоснабжение)</v>
      </c>
      <c r="AI105" s="1291" t="str">
        <f>IF($G$105=0,"",$G$105)</f>
        <v/>
      </c>
      <c r="AJ105" s="1291" t="str">
        <f>IF($J$105=0,"",$J$105)</f>
        <v/>
      </c>
      <c r="AK105" s="1291" t="str">
        <f>IF($K$105="нет","без дифференциации",IF($N$105=0,"",$N$105))</f>
        <v/>
      </c>
      <c r="AL105" s="1291" t="str">
        <f>IF($O$105="нет","без дифференциации",IF($R$105=0,"",$R$105))</f>
        <v/>
      </c>
      <c r="AM105" s="1291" t="str">
        <f>IF($S$105="нет","без дифференциации",IF($V$105=0,"",$V$105))</f>
        <v/>
      </c>
      <c r="AN105" s="1291">
        <f>$I$105</f>
        <v>0</v>
      </c>
      <c r="AO105" s="1291" t="str">
        <f>$I$105&amp;"."&amp;$M$105</f>
        <v>.</v>
      </c>
      <c r="AP105" s="1291" t="str">
        <f>$I$105&amp;"."&amp;$M$105&amp;"."&amp;$Q$105</f>
        <v>..</v>
      </c>
      <c r="AQ105" s="1291" t="str">
        <f>$I$105&amp;"."&amp;$M$105&amp;"."&amp;$Q$105&amp;"."&amp;$U$105</f>
        <v>...</v>
      </c>
      <c r="AR105" s="1491">
        <v>0</v>
      </c>
    </row>
    <row s="1877" customFormat="1" customHeight="1" ht="17.25" hidden="1">
      <c r="A106" s="345"/>
      <c r="C106" s="344"/>
      <c r="D106" s="2159"/>
      <c r="E106" s="2167"/>
      <c r="F106" s="2170"/>
      <c r="G106" s="2167"/>
      <c r="H106" s="2173"/>
      <c r="I106" s="2175"/>
      <c r="J106" s="2177"/>
      <c r="K106" s="2162"/>
      <c r="L106" s="2162"/>
      <c r="M106" s="2162"/>
      <c r="N106" s="2164"/>
      <c r="O106" s="2162"/>
      <c r="P106" s="2162"/>
      <c r="Q106" s="2162"/>
      <c r="R106" s="2165"/>
      <c r="S106" s="2162"/>
      <c r="T106" s="1321"/>
      <c r="U106" s="1321"/>
      <c r="V106" s="1321"/>
      <c r="W106" s="1322"/>
      <c r="Y106" s="1283"/>
      <c r="Z106" s="1283"/>
      <c r="AA106" s="1283"/>
      <c r="AB106" s="1283"/>
      <c r="AC106" s="1283"/>
      <c r="AD106" s="1283"/>
      <c r="AE106" s="1283"/>
      <c r="AF106" s="1283"/>
      <c r="AG106" s="1283"/>
      <c r="AH106" s="1283"/>
      <c r="AI106" s="1283"/>
      <c r="AJ106" s="1283"/>
      <c r="AK106" s="1283"/>
      <c r="AL106" s="1283"/>
      <c r="AM106" s="1283"/>
      <c r="AN106" s="1283"/>
      <c r="AO106" s="1283"/>
      <c r="AP106" s="1283"/>
      <c r="AQ106" s="1283"/>
      <c r="AR106" s="1491">
        <v>0</v>
      </c>
    </row>
    <row s="1877" customFormat="1" customHeight="1" ht="17.25" hidden="1">
      <c r="A107" s="345"/>
      <c r="C107" s="233"/>
      <c r="D107" s="2159"/>
      <c r="E107" s="2167"/>
      <c r="F107" s="2170"/>
      <c r="G107" s="2167"/>
      <c r="H107" s="2173"/>
      <c r="I107" s="2175"/>
      <c r="J107" s="2178"/>
      <c r="K107" s="2162"/>
      <c r="L107" s="2162"/>
      <c r="M107" s="2162"/>
      <c r="N107" s="2165"/>
      <c r="O107" s="2162"/>
      <c r="P107" s="1495"/>
      <c r="Q107" s="1321"/>
      <c r="R107" s="1321"/>
      <c r="S107" s="353"/>
      <c r="T107" s="353"/>
      <c r="U107" s="353"/>
      <c r="V107" s="353"/>
      <c r="W107" s="1322"/>
      <c r="Y107" s="1291"/>
      <c r="Z107" s="1291"/>
      <c r="AA107" s="1291"/>
      <c r="AB107" s="1291"/>
      <c r="AC107" s="1291"/>
      <c r="AD107" s="1291"/>
      <c r="AE107" s="1291"/>
      <c r="AF107" s="1291"/>
      <c r="AG107" s="1291"/>
      <c r="AH107" s="1291"/>
      <c r="AI107" s="1291"/>
      <c r="AJ107" s="1291"/>
      <c r="AK107" s="1291"/>
      <c r="AL107" s="1291"/>
      <c r="AM107" s="1291"/>
      <c r="AN107" s="1291"/>
      <c r="AO107" s="1291"/>
      <c r="AP107" s="1291"/>
      <c r="AQ107" s="1291"/>
      <c r="AR107" s="1491">
        <v>0</v>
      </c>
    </row>
    <row s="1877" customFormat="1" customHeight="1" ht="17.25" hidden="1">
      <c r="A108" s="345"/>
      <c r="C108" s="344"/>
      <c r="D108" s="2159"/>
      <c r="E108" s="2167"/>
      <c r="F108" s="2170"/>
      <c r="G108" s="2167"/>
      <c r="H108" s="2173"/>
      <c r="I108" s="2175"/>
      <c r="J108" s="2178"/>
      <c r="K108" s="2162"/>
      <c r="L108" s="1321"/>
      <c r="M108" s="1321"/>
      <c r="N108" s="1321"/>
      <c r="O108" s="1321"/>
      <c r="P108" s="1321"/>
      <c r="Q108" s="1321"/>
      <c r="R108" s="1321"/>
      <c r="S108" s="353"/>
      <c r="T108" s="353"/>
      <c r="U108" s="353"/>
      <c r="V108" s="353"/>
      <c r="W108" s="1322"/>
      <c r="Y108" s="1283"/>
      <c r="Z108" s="1283"/>
      <c r="AA108" s="1283"/>
      <c r="AB108" s="1283"/>
      <c r="AC108" s="1283"/>
      <c r="AD108" s="1283"/>
      <c r="AE108" s="1283"/>
      <c r="AF108" s="1283"/>
      <c r="AG108" s="1283"/>
      <c r="AH108" s="1283"/>
      <c r="AI108" s="1283"/>
      <c r="AJ108" s="1283"/>
      <c r="AK108" s="1283"/>
      <c r="AL108" s="1283"/>
      <c r="AM108" s="1283"/>
      <c r="AN108" s="1283"/>
      <c r="AO108" s="1283"/>
      <c r="AP108" s="1283"/>
      <c r="AQ108" s="1283"/>
      <c r="AR108" s="1491">
        <v>0</v>
      </c>
    </row>
    <row s="1877" customFormat="1" customHeight="1" ht="17.25" hidden="1">
      <c r="A109" s="345"/>
      <c r="C109" s="344"/>
      <c r="D109" s="2160"/>
      <c r="E109" s="2168"/>
      <c r="F109" s="2171"/>
      <c r="G109" s="2168"/>
      <c r="H109" s="1323"/>
      <c r="I109" s="1324"/>
      <c r="J109" s="1324"/>
      <c r="K109" s="1324"/>
      <c r="L109" s="1324"/>
      <c r="M109" s="1324"/>
      <c r="N109" s="1324"/>
      <c r="O109" s="1324"/>
      <c r="P109" s="1324"/>
      <c r="Q109" s="1324"/>
      <c r="R109" s="1324"/>
      <c r="S109" s="1325"/>
      <c r="T109" s="1325"/>
      <c r="U109" s="1325"/>
      <c r="V109" s="1325"/>
      <c r="W109" s="1326"/>
      <c r="Y109" s="1283"/>
      <c r="Z109" s="1283"/>
      <c r="AA109" s="1283"/>
      <c r="AB109" s="1283"/>
      <c r="AC109" s="1283"/>
      <c r="AD109" s="1283"/>
      <c r="AE109" s="1283"/>
      <c r="AF109" s="1283"/>
      <c r="AG109" s="1283"/>
      <c r="AH109" s="1283"/>
      <c r="AI109" s="1283"/>
      <c r="AJ109" s="1283"/>
      <c r="AK109" s="1283"/>
      <c r="AL109" s="1283"/>
      <c r="AM109" s="1283"/>
      <c r="AN109" s="1283"/>
      <c r="AO109" s="1283"/>
      <c r="AP109" s="1283"/>
      <c r="AQ109" s="1283"/>
      <c r="AR109" s="1491">
        <v>0</v>
      </c>
    </row>
    <row s="1877" customFormat="1" customHeight="1" ht="17.25" hidden="1">
      <c r="A110" s="345"/>
      <c r="C110" s="233"/>
      <c r="D110" s="2159">
        <v>2</v>
      </c>
      <c r="E110" s="2167" t="s">
        <v>338</v>
      </c>
      <c r="F110" s="2169" t="s">
        <v>19</v>
      </c>
      <c r="G110" s="2167"/>
      <c r="H110" s="2172"/>
      <c r="I110" s="2174"/>
      <c r="J110" s="2176"/>
      <c r="K110" s="2161"/>
      <c r="L110" s="2161"/>
      <c r="M110" s="2161"/>
      <c r="N110" s="2163"/>
      <c r="O110" s="2161"/>
      <c r="P110" s="2161"/>
      <c r="Q110" s="2161"/>
      <c r="R110" s="2166"/>
      <c r="S110" s="2161"/>
      <c r="T110" s="1494"/>
      <c r="U110" s="1494"/>
      <c r="V110" s="1496"/>
      <c r="W110" s="1320"/>
      <c r="X110" s="1291"/>
      <c r="Y110" s="1291"/>
      <c r="Z110" s="1291"/>
      <c r="AA110" s="1291"/>
      <c r="AB110" s="1291"/>
      <c r="AC110" s="1291" t="s">
        <v>339</v>
      </c>
      <c r="AD110" s="1291" t="s">
        <v>340</v>
      </c>
      <c r="AE110" s="1291" t="s">
        <v>341</v>
      </c>
      <c r="AF110" s="1291" t="s">
        <v>342</v>
      </c>
      <c r="AG110" s="1291"/>
      <c r="AH110" s="1291" t="str">
        <f>IF($E$110=0,"",$E$110)</f>
        <v>Тариф на транспортировку горячей воды</v>
      </c>
      <c r="AI110" s="1291" t="str">
        <f>IF($G$110=0,"",$G$110)</f>
        <v/>
      </c>
      <c r="AJ110" s="1291" t="str">
        <f>IF($J$110=0,"",$J$110)</f>
        <v/>
      </c>
      <c r="AK110" s="1291" t="str">
        <f>IF($K$110="нет","без дифференциации",IF($N$110=0,"",$N$110))</f>
        <v/>
      </c>
      <c r="AL110" s="1291" t="str">
        <f>IF($O$110="нет","без дифференциации",IF($R$110=0,"",$R$110))</f>
        <v/>
      </c>
      <c r="AM110" s="1291" t="str">
        <f>IF($S$110="нет","без дифференциации",IF($V$110=0,"",$V$110))</f>
        <v/>
      </c>
      <c r="AN110" s="1796">
        <f>$I$110</f>
        <v>0</v>
      </c>
      <c r="AO110" s="1291" t="str">
        <f>$I$110&amp;"."&amp;$M$110</f>
        <v>.</v>
      </c>
      <c r="AP110" s="1283" t="str">
        <f>$I$110&amp;"."&amp;$M$110&amp;"."&amp;$Q$110</f>
        <v>..</v>
      </c>
      <c r="AQ110" s="1283" t="str">
        <f>$I$110&amp;"."&amp;$M$110&amp;"."&amp;$Q$110&amp;"."&amp;$U$110</f>
        <v>...</v>
      </c>
      <c r="AR110" s="1491">
        <v>0</v>
      </c>
    </row>
    <row s="1877" customFormat="1" customHeight="1" ht="17.25" hidden="1">
      <c r="A111" s="345"/>
      <c r="C111" s="344"/>
      <c r="D111" s="2159"/>
      <c r="E111" s="2167"/>
      <c r="F111" s="2170"/>
      <c r="G111" s="2167"/>
      <c r="H111" s="2173"/>
      <c r="I111" s="2175"/>
      <c r="J111" s="2177"/>
      <c r="K111" s="2162"/>
      <c r="L111" s="2162"/>
      <c r="M111" s="2162"/>
      <c r="N111" s="2164"/>
      <c r="O111" s="2162"/>
      <c r="P111" s="2162"/>
      <c r="Q111" s="2162"/>
      <c r="R111" s="2165"/>
      <c r="S111" s="2162"/>
      <c r="T111" s="1321"/>
      <c r="U111" s="1321"/>
      <c r="V111" s="1321"/>
      <c r="W111" s="1322"/>
      <c r="X111" s="1283"/>
      <c r="Y111" s="1283"/>
      <c r="Z111" s="1283"/>
      <c r="AA111" s="1283"/>
      <c r="AB111" s="1283"/>
      <c r="AC111" s="1283"/>
      <c r="AD111" s="1283"/>
      <c r="AE111" s="1283"/>
      <c r="AF111" s="1283"/>
      <c r="AG111" s="1283"/>
      <c r="AH111" s="1283"/>
      <c r="AI111" s="1283"/>
      <c r="AJ111" s="1283"/>
      <c r="AK111" s="1283"/>
      <c r="AL111" s="1283"/>
      <c r="AM111" s="1283"/>
      <c r="AN111" s="1283"/>
      <c r="AO111" s="1283"/>
      <c r="AP111" s="1283"/>
      <c r="AQ111" s="1283"/>
      <c r="AR111" s="1491">
        <v>0</v>
      </c>
    </row>
    <row s="1877" customFormat="1" customHeight="1" ht="17.25" hidden="1">
      <c r="A112" s="345"/>
      <c r="C112" s="344"/>
      <c r="D112" s="2160"/>
      <c r="E112" s="2168"/>
      <c r="F112" s="2170"/>
      <c r="G112" s="2168"/>
      <c r="H112" s="2173"/>
      <c r="I112" s="2175"/>
      <c r="J112" s="2178"/>
      <c r="K112" s="2162"/>
      <c r="L112" s="2162"/>
      <c r="M112" s="2162"/>
      <c r="N112" s="2165"/>
      <c r="O112" s="2162"/>
      <c r="P112" s="1495"/>
      <c r="Q112" s="1321"/>
      <c r="R112" s="1321"/>
      <c r="S112" s="353"/>
      <c r="T112" s="353"/>
      <c r="U112" s="353"/>
      <c r="V112" s="353"/>
      <c r="W112" s="1322"/>
      <c r="X112" s="1283"/>
      <c r="Y112" s="1283"/>
      <c r="Z112" s="1283"/>
      <c r="AA112" s="1283"/>
      <c r="AB112" s="1283"/>
      <c r="AC112" s="1283"/>
      <c r="AD112" s="1283"/>
      <c r="AE112" s="1283"/>
      <c r="AF112" s="1283"/>
      <c r="AG112" s="1283"/>
      <c r="AH112" s="1283"/>
      <c r="AI112" s="1283"/>
      <c r="AJ112" s="1283"/>
      <c r="AK112" s="1283"/>
      <c r="AL112" s="1283"/>
      <c r="AM112" s="1283"/>
      <c r="AN112" s="1283"/>
      <c r="AO112" s="1283"/>
      <c r="AP112" s="1283"/>
      <c r="AQ112" s="1283"/>
      <c r="AR112" s="1491">
        <v>0</v>
      </c>
    </row>
    <row s="1877" customFormat="1" customHeight="1" ht="17.25" hidden="1">
      <c r="A113" s="345"/>
      <c r="C113" s="344"/>
      <c r="D113" s="2160"/>
      <c r="E113" s="2168"/>
      <c r="F113" s="2170"/>
      <c r="G113" s="2168"/>
      <c r="H113" s="2173"/>
      <c r="I113" s="2175"/>
      <c r="J113" s="2178"/>
      <c r="K113" s="2162"/>
      <c r="L113" s="1321"/>
      <c r="M113" s="1321"/>
      <c r="N113" s="1321"/>
      <c r="O113" s="1321"/>
      <c r="P113" s="1321"/>
      <c r="Q113" s="1321"/>
      <c r="R113" s="1321"/>
      <c r="S113" s="353"/>
      <c r="T113" s="353"/>
      <c r="U113" s="353"/>
      <c r="V113" s="353"/>
      <c r="W113" s="1322"/>
      <c r="X113" s="1283"/>
      <c r="Y113" s="1283"/>
      <c r="Z113" s="1283"/>
      <c r="AA113" s="1283"/>
      <c r="AB113" s="1283"/>
      <c r="AC113" s="1283"/>
      <c r="AD113" s="1283"/>
      <c r="AE113" s="1283"/>
      <c r="AF113" s="1283"/>
      <c r="AG113" s="1283"/>
      <c r="AH113" s="1283"/>
      <c r="AI113" s="1283"/>
      <c r="AJ113" s="1283"/>
      <c r="AK113" s="1283"/>
      <c r="AL113" s="1283"/>
      <c r="AM113" s="1283"/>
      <c r="AN113" s="1283"/>
      <c r="AO113" s="1283"/>
      <c r="AP113" s="1283"/>
      <c r="AQ113" s="1283"/>
      <c r="AR113" s="1491">
        <v>0</v>
      </c>
    </row>
    <row s="1877" customFormat="1" customHeight="1" ht="17.25" hidden="1">
      <c r="A114" s="345"/>
      <c r="C114" s="344"/>
      <c r="D114" s="2160"/>
      <c r="E114" s="2168"/>
      <c r="F114" s="2171"/>
      <c r="G114" s="2168"/>
      <c r="H114" s="1323"/>
      <c r="I114" s="1324"/>
      <c r="J114" s="1324"/>
      <c r="K114" s="1324"/>
      <c r="L114" s="1324"/>
      <c r="M114" s="1324"/>
      <c r="N114" s="1324"/>
      <c r="O114" s="1324"/>
      <c r="P114" s="1324"/>
      <c r="Q114" s="1324"/>
      <c r="R114" s="1324"/>
      <c r="S114" s="1325"/>
      <c r="T114" s="1325"/>
      <c r="U114" s="1325"/>
      <c r="V114" s="1325"/>
      <c r="W114" s="1326"/>
      <c r="X114" s="1283"/>
      <c r="Y114" s="1283"/>
      <c r="Z114" s="1283"/>
      <c r="AA114" s="1283"/>
      <c r="AB114" s="1283"/>
      <c r="AC114" s="1283"/>
      <c r="AD114" s="1283"/>
      <c r="AE114" s="1283"/>
      <c r="AF114" s="1283"/>
      <c r="AG114" s="1283"/>
      <c r="AH114" s="1283"/>
      <c r="AI114" s="1283"/>
      <c r="AJ114" s="1283"/>
      <c r="AK114" s="1283"/>
      <c r="AL114" s="1283"/>
      <c r="AM114" s="1283"/>
      <c r="AN114" s="1283"/>
      <c r="AO114" s="1283"/>
      <c r="AP114" s="1283"/>
      <c r="AQ114" s="1283"/>
      <c r="AR114" s="1491">
        <v>0</v>
      </c>
    </row>
    <row s="1877" customFormat="1" customHeight="1" ht="17.25" hidden="1">
      <c r="A115" s="345"/>
      <c r="C115" s="233"/>
      <c r="D115" s="2159">
        <v>3</v>
      </c>
      <c r="E115" s="2167" t="s">
        <v>343</v>
      </c>
      <c r="F115" s="2169" t="s">
        <v>19</v>
      </c>
      <c r="G115" s="2167"/>
      <c r="H115" s="2172"/>
      <c r="I115" s="2174"/>
      <c r="J115" s="2176"/>
      <c r="K115" s="2161"/>
      <c r="L115" s="2161"/>
      <c r="M115" s="2161"/>
      <c r="N115" s="2163"/>
      <c r="O115" s="2161"/>
      <c r="P115" s="2161"/>
      <c r="Q115" s="2161"/>
      <c r="R115" s="2166"/>
      <c r="S115" s="2161"/>
      <c r="T115" s="1967"/>
      <c r="U115" s="1967"/>
      <c r="V115" s="1969"/>
      <c r="W115" s="1320"/>
      <c r="X115" s="1291"/>
      <c r="Y115" s="1291"/>
      <c r="Z115" s="1291"/>
      <c r="AA115" s="1291"/>
      <c r="AB115" s="1291"/>
      <c r="AC115" s="1291" t="s">
        <v>344</v>
      </c>
      <c r="AD115" s="1291" t="s">
        <v>345</v>
      </c>
      <c r="AE115" s="1291" t="s">
        <v>346</v>
      </c>
      <c r="AF115" s="1291" t="s">
        <v>347</v>
      </c>
      <c r="AG115" s="1291"/>
      <c r="AH115" s="1291" t="str">
        <f>IF($E$115=0,"",$E$115)</f>
        <v>Тариф на подключение (технологическое присоединение) к централизованной системе горячего водоснабжения</v>
      </c>
      <c r="AI115" s="1291" t="str">
        <f>IF($G$115=0,"",$G$115)</f>
        <v/>
      </c>
      <c r="AJ115" s="1291" t="str">
        <f>IF($J$115=0,"",$J$115)</f>
        <v/>
      </c>
      <c r="AK115" s="1291" t="str">
        <f>IF($K$115="нет","без дифференциации",IF($N$115=0,"",$N$115))</f>
        <v/>
      </c>
      <c r="AL115" s="1291" t="str">
        <f>IF($O$115="нет","без дифференциации",IF($R$115=0,"",$R$115))</f>
        <v/>
      </c>
      <c r="AM115" s="1291" t="str">
        <f>IF($S$115="нет","без дифференциации",IF($V$115=0,"",$V$115))</f>
        <v/>
      </c>
      <c r="AN115" s="1796">
        <f>$I$115</f>
        <v>0</v>
      </c>
      <c r="AO115" s="1291" t="str">
        <f>$I$115&amp;"."&amp;$M$115</f>
        <v>.</v>
      </c>
      <c r="AP115" s="1290" t="str">
        <f>$I$115&amp;"."&amp;$M$115&amp;"."&amp;$Q$115</f>
        <v>..</v>
      </c>
      <c r="AQ115" s="1290" t="str">
        <f>$I$115&amp;"."&amp;$M$115&amp;"."&amp;$Q$115&amp;"."&amp;$U$115</f>
        <v>...</v>
      </c>
      <c r="AR115" s="1491">
        <v>0</v>
      </c>
    </row>
    <row s="1877" customFormat="1" customHeight="1" ht="17.25" hidden="1">
      <c r="A116" s="345"/>
      <c r="C116" s="344"/>
      <c r="D116" s="2159"/>
      <c r="E116" s="2167"/>
      <c r="F116" s="2170"/>
      <c r="G116" s="2167"/>
      <c r="H116" s="2173"/>
      <c r="I116" s="2175"/>
      <c r="J116" s="2177"/>
      <c r="K116" s="2162"/>
      <c r="L116" s="2162"/>
      <c r="M116" s="2162"/>
      <c r="N116" s="2164"/>
      <c r="O116" s="2162"/>
      <c r="P116" s="2162"/>
      <c r="Q116" s="2162"/>
      <c r="R116" s="2165"/>
      <c r="S116" s="2162"/>
      <c r="T116" s="1972"/>
      <c r="U116" s="1972"/>
      <c r="V116" s="1972"/>
      <c r="W116" s="1973"/>
      <c r="X116" s="1290"/>
      <c r="Y116" s="1290"/>
      <c r="Z116" s="1290"/>
      <c r="AA116" s="1290"/>
      <c r="AB116" s="1290"/>
      <c r="AC116" s="1290"/>
      <c r="AD116" s="1290"/>
      <c r="AE116" s="1290"/>
      <c r="AF116" s="1290"/>
      <c r="AG116" s="1290"/>
      <c r="AH116" s="1290"/>
      <c r="AI116" s="1290"/>
      <c r="AJ116" s="1290"/>
      <c r="AK116" s="1290"/>
      <c r="AL116" s="1290"/>
      <c r="AM116" s="1290"/>
      <c r="AN116" s="1290"/>
      <c r="AO116" s="1290"/>
      <c r="AP116" s="1290"/>
      <c r="AQ116" s="1290"/>
      <c r="AR116" s="1491">
        <v>0</v>
      </c>
    </row>
    <row s="1877" customFormat="1" customHeight="1" ht="17.25" hidden="1">
      <c r="A117" s="345"/>
      <c r="C117" s="344"/>
      <c r="D117" s="2160"/>
      <c r="E117" s="2168"/>
      <c r="F117" s="2170"/>
      <c r="G117" s="2168"/>
      <c r="H117" s="2173"/>
      <c r="I117" s="2175"/>
      <c r="J117" s="2178"/>
      <c r="K117" s="2162"/>
      <c r="L117" s="2162"/>
      <c r="M117" s="2162"/>
      <c r="N117" s="2165"/>
      <c r="O117" s="2162"/>
      <c r="P117" s="1968"/>
      <c r="Q117" s="1972"/>
      <c r="R117" s="1972"/>
      <c r="S117" s="353"/>
      <c r="T117" s="353"/>
      <c r="U117" s="353"/>
      <c r="V117" s="353"/>
      <c r="W117" s="1973"/>
      <c r="X117" s="1290"/>
      <c r="Y117" s="1290"/>
      <c r="Z117" s="1290"/>
      <c r="AA117" s="1290"/>
      <c r="AB117" s="1290"/>
      <c r="AC117" s="1290"/>
      <c r="AD117" s="1290"/>
      <c r="AE117" s="1290"/>
      <c r="AF117" s="1290"/>
      <c r="AG117" s="1290"/>
      <c r="AH117" s="1290"/>
      <c r="AI117" s="1290"/>
      <c r="AJ117" s="1290"/>
      <c r="AK117" s="1290"/>
      <c r="AL117" s="1290"/>
      <c r="AM117" s="1290"/>
      <c r="AN117" s="1290"/>
      <c r="AO117" s="1290"/>
      <c r="AP117" s="1290"/>
      <c r="AQ117" s="1290"/>
      <c r="AR117" s="1491">
        <v>0</v>
      </c>
    </row>
    <row s="1877" customFormat="1" customHeight="1" ht="17.25" hidden="1">
      <c r="A118" s="345"/>
      <c r="C118" s="344"/>
      <c r="D118" s="2160"/>
      <c r="E118" s="2168"/>
      <c r="F118" s="2170"/>
      <c r="G118" s="2168"/>
      <c r="H118" s="2173"/>
      <c r="I118" s="2175"/>
      <c r="J118" s="2178"/>
      <c r="K118" s="2162"/>
      <c r="L118" s="1972"/>
      <c r="M118" s="1972"/>
      <c r="N118" s="1972"/>
      <c r="O118" s="1972"/>
      <c r="P118" s="1972"/>
      <c r="Q118" s="1972"/>
      <c r="R118" s="1972"/>
      <c r="S118" s="353"/>
      <c r="T118" s="353"/>
      <c r="U118" s="353"/>
      <c r="V118" s="353"/>
      <c r="W118" s="1973"/>
      <c r="X118" s="1290"/>
      <c r="Y118" s="1290"/>
      <c r="Z118" s="1290"/>
      <c r="AA118" s="1290"/>
      <c r="AB118" s="1290"/>
      <c r="AC118" s="1290"/>
      <c r="AD118" s="1290"/>
      <c r="AE118" s="1290"/>
      <c r="AF118" s="1290"/>
      <c r="AG118" s="1290"/>
      <c r="AH118" s="1290"/>
      <c r="AI118" s="1290"/>
      <c r="AJ118" s="1290"/>
      <c r="AK118" s="1290"/>
      <c r="AL118" s="1290"/>
      <c r="AM118" s="1290"/>
      <c r="AN118" s="1290"/>
      <c r="AO118" s="1290"/>
      <c r="AP118" s="1290"/>
      <c r="AQ118" s="1290"/>
      <c r="AR118" s="1491">
        <v>0</v>
      </c>
    </row>
    <row s="1877" customFormat="1" customHeight="1" ht="17.25" hidden="1">
      <c r="A119" s="345"/>
      <c r="C119" s="344"/>
      <c r="D119" s="2160"/>
      <c r="E119" s="2168"/>
      <c r="F119" s="2171"/>
      <c r="G119" s="2168"/>
      <c r="H119" s="1323"/>
      <c r="I119" s="1970"/>
      <c r="J119" s="1970"/>
      <c r="K119" s="1970"/>
      <c r="L119" s="1970"/>
      <c r="M119" s="1970"/>
      <c r="N119" s="1970"/>
      <c r="O119" s="1970"/>
      <c r="P119" s="1970"/>
      <c r="Q119" s="1970"/>
      <c r="R119" s="1970"/>
      <c r="S119" s="1325"/>
      <c r="T119" s="1325"/>
      <c r="U119" s="1325"/>
      <c r="V119" s="1325"/>
      <c r="W119" s="1971"/>
      <c r="X119" s="1290"/>
      <c r="Y119" s="1290"/>
      <c r="Z119" s="1290"/>
      <c r="AA119" s="1290"/>
      <c r="AB119" s="1290"/>
      <c r="AC119" s="1290"/>
      <c r="AD119" s="1290"/>
      <c r="AE119" s="1290"/>
      <c r="AF119" s="1290"/>
      <c r="AG119" s="1290"/>
      <c r="AH119" s="1290"/>
      <c r="AI119" s="1290"/>
      <c r="AJ119" s="1290"/>
      <c r="AK119" s="1290"/>
      <c r="AL119" s="1290"/>
      <c r="AM119" s="1290"/>
      <c r="AN119" s="1290"/>
      <c r="AO119" s="1290"/>
      <c r="AP119" s="1290"/>
      <c r="AQ119" s="1290"/>
      <c r="AR119" s="1491">
        <v>0</v>
      </c>
    </row>
    <row s="1877" customFormat="1" customHeight="1" ht="11.25" hidden="1">
      <c r="A120" s="301"/>
      <c r="B120" s="301"/>
      <c r="Y120" s="1283"/>
      <c r="Z120" s="1283"/>
      <c r="AA120" s="1283"/>
      <c r="AB120" s="1283"/>
      <c r="AC120" s="1283"/>
      <c r="AD120" s="1283"/>
      <c r="AE120" s="1283"/>
      <c r="AF120" s="1283"/>
      <c r="AG120" s="1283"/>
      <c r="AH120" s="1283"/>
      <c r="AI120" s="1283"/>
      <c r="AJ120" s="1283"/>
      <c r="AK120" s="1283"/>
      <c r="AL120" s="1283"/>
      <c r="AM120" s="1283"/>
      <c r="AN120" s="1283"/>
      <c r="AO120" s="1283"/>
      <c r="AP120" s="1283"/>
      <c r="AQ120" s="1283"/>
      <c r="AR120" s="1491">
        <v>0</v>
      </c>
    </row>
    <row s="1877" customFormat="1" customHeight="1" ht="17.25" hidden="1">
      <c r="A121" s="345"/>
      <c r="C121" s="233"/>
      <c r="D121" s="2159">
        <v>1</v>
      </c>
      <c r="E121" s="2167" t="s">
        <v>348</v>
      </c>
      <c r="F121" s="2169" t="s">
        <v>19</v>
      </c>
      <c r="G121" s="2167"/>
      <c r="H121" s="2172"/>
      <c r="I121" s="2174"/>
      <c r="J121" s="2176"/>
      <c r="K121" s="2161"/>
      <c r="L121" s="2161"/>
      <c r="M121" s="2161"/>
      <c r="N121" s="2163"/>
      <c r="O121" s="2161"/>
      <c r="P121" s="2161"/>
      <c r="Q121" s="2161"/>
      <c r="R121" s="2166"/>
      <c r="S121" s="2161"/>
      <c r="T121" s="1494"/>
      <c r="U121" s="1494"/>
      <c r="V121" s="1496"/>
      <c r="W121" s="1320"/>
      <c r="Y121" s="1291"/>
      <c r="Z121" s="1291"/>
      <c r="AA121" s="1291"/>
      <c r="AB121" s="1291"/>
      <c r="AC121" s="1291" t="s">
        <v>349</v>
      </c>
      <c r="AD121" s="1291" t="s">
        <v>350</v>
      </c>
      <c r="AE121" s="1291" t="s">
        <v>351</v>
      </c>
      <c r="AF121" s="1291" t="s">
        <v>352</v>
      </c>
      <c r="AG121" s="1291"/>
      <c r="AH121" s="1291" t="str">
        <f>IF($E$121=0,"",$E$121)</f>
        <v>Тариф на водоотведение</v>
      </c>
      <c r="AI121" s="1291" t="str">
        <f>IF($G$121=0,"",$G$121)</f>
        <v/>
      </c>
      <c r="AJ121" s="1291" t="str">
        <f>IF($J$121=0,"",$J$121)</f>
        <v/>
      </c>
      <c r="AK121" s="1291" t="str">
        <f>IF($K$121="нет","без дифференциации",IF($N$121=0,"",$N$121))</f>
        <v/>
      </c>
      <c r="AL121" s="1291" t="str">
        <f>IF($O$121="нет","без дифференциации",IF($R$121=0,"",$R$121))</f>
        <v/>
      </c>
      <c r="AM121" s="1291" t="str">
        <f>IF($S$121="нет","без дифференциации",IF($V$121=0,"",$V$121))</f>
        <v/>
      </c>
      <c r="AN121" s="1291">
        <f>$I$121</f>
        <v>0</v>
      </c>
      <c r="AO121" s="1291" t="str">
        <f>$I$121&amp;"."&amp;$M$121</f>
        <v>.</v>
      </c>
      <c r="AP121" s="1291" t="str">
        <f>$I$121&amp;"."&amp;$M$121&amp;"."&amp;$Q$121</f>
        <v>..</v>
      </c>
      <c r="AQ121" s="1291" t="str">
        <f>$I$121&amp;"."&amp;$M$121&amp;"."&amp;$Q$121&amp;"."&amp;$U$121</f>
        <v>...</v>
      </c>
      <c r="AR121" s="1491">
        <v>0</v>
      </c>
    </row>
    <row s="1877" customFormat="1" customHeight="1" ht="17.25" hidden="1">
      <c r="A122" s="345"/>
      <c r="C122" s="344"/>
      <c r="D122" s="2159"/>
      <c r="E122" s="2167"/>
      <c r="F122" s="2170"/>
      <c r="G122" s="2167"/>
      <c r="H122" s="2173"/>
      <c r="I122" s="2175"/>
      <c r="J122" s="2177"/>
      <c r="K122" s="2162"/>
      <c r="L122" s="2162"/>
      <c r="M122" s="2162"/>
      <c r="N122" s="2164"/>
      <c r="O122" s="2162"/>
      <c r="P122" s="2162"/>
      <c r="Q122" s="2162"/>
      <c r="R122" s="2165"/>
      <c r="S122" s="2162"/>
      <c r="T122" s="1321"/>
      <c r="U122" s="1321"/>
      <c r="V122" s="1321"/>
      <c r="W122" s="1322"/>
      <c r="Y122" s="1283"/>
      <c r="Z122" s="1283"/>
      <c r="AA122" s="1283"/>
      <c r="AB122" s="1283"/>
      <c r="AC122" s="1283"/>
      <c r="AD122" s="1283"/>
      <c r="AE122" s="1283"/>
      <c r="AF122" s="1283"/>
      <c r="AG122" s="1283"/>
      <c r="AH122" s="1283"/>
      <c r="AI122" s="1283"/>
      <c r="AJ122" s="1283"/>
      <c r="AK122" s="1283"/>
      <c r="AL122" s="1283"/>
      <c r="AM122" s="1283"/>
      <c r="AN122" s="1283"/>
      <c r="AO122" s="1283"/>
      <c r="AP122" s="1283"/>
      <c r="AQ122" s="1283"/>
      <c r="AR122" s="1491">
        <v>0</v>
      </c>
    </row>
    <row s="1877" customFormat="1" customHeight="1" ht="17.25" hidden="1">
      <c r="A123" s="345"/>
      <c r="C123" s="233"/>
      <c r="D123" s="2159"/>
      <c r="E123" s="2167"/>
      <c r="F123" s="2170"/>
      <c r="G123" s="2167"/>
      <c r="H123" s="2173"/>
      <c r="I123" s="2175"/>
      <c r="J123" s="2178"/>
      <c r="K123" s="2162"/>
      <c r="L123" s="2162"/>
      <c r="M123" s="2162"/>
      <c r="N123" s="2165"/>
      <c r="O123" s="2162"/>
      <c r="P123" s="1495"/>
      <c r="Q123" s="1321"/>
      <c r="R123" s="1321"/>
      <c r="S123" s="353"/>
      <c r="T123" s="353"/>
      <c r="U123" s="353"/>
      <c r="V123" s="353"/>
      <c r="W123" s="1322"/>
      <c r="Y123" s="1291"/>
      <c r="Z123" s="1291"/>
      <c r="AA123" s="1291"/>
      <c r="AB123" s="1291"/>
      <c r="AC123" s="1291"/>
      <c r="AD123" s="1291"/>
      <c r="AE123" s="1291"/>
      <c r="AF123" s="1291"/>
      <c r="AG123" s="1291"/>
      <c r="AH123" s="1291"/>
      <c r="AI123" s="1291"/>
      <c r="AJ123" s="1291"/>
      <c r="AK123" s="1291"/>
      <c r="AL123" s="1291"/>
      <c r="AM123" s="1291"/>
      <c r="AN123" s="1291"/>
      <c r="AO123" s="1291"/>
      <c r="AP123" s="1291"/>
      <c r="AQ123" s="1291"/>
      <c r="AR123" s="1491">
        <v>0</v>
      </c>
    </row>
    <row s="1877" customFormat="1" customHeight="1" ht="17.25" hidden="1">
      <c r="A124" s="345"/>
      <c r="C124" s="344"/>
      <c r="D124" s="2159"/>
      <c r="E124" s="2167"/>
      <c r="F124" s="2170"/>
      <c r="G124" s="2167"/>
      <c r="H124" s="2173"/>
      <c r="I124" s="2175"/>
      <c r="J124" s="2178"/>
      <c r="K124" s="2162"/>
      <c r="L124" s="1321"/>
      <c r="M124" s="1321"/>
      <c r="N124" s="1321"/>
      <c r="O124" s="1321"/>
      <c r="P124" s="1321"/>
      <c r="Q124" s="1321"/>
      <c r="R124" s="1321"/>
      <c r="S124" s="353"/>
      <c r="T124" s="353"/>
      <c r="U124" s="353"/>
      <c r="V124" s="353"/>
      <c r="W124" s="1322"/>
      <c r="Y124" s="1283"/>
      <c r="Z124" s="1283"/>
      <c r="AA124" s="1283"/>
      <c r="AB124" s="1283"/>
      <c r="AC124" s="1283"/>
      <c r="AD124" s="1283"/>
      <c r="AE124" s="1283"/>
      <c r="AF124" s="1283"/>
      <c r="AG124" s="1283"/>
      <c r="AH124" s="1283"/>
      <c r="AI124" s="1283"/>
      <c r="AJ124" s="1283"/>
      <c r="AK124" s="1283"/>
      <c r="AL124" s="1283"/>
      <c r="AM124" s="1283"/>
      <c r="AN124" s="1283"/>
      <c r="AO124" s="1283"/>
      <c r="AP124" s="1283"/>
      <c r="AQ124" s="1283"/>
      <c r="AR124" s="1491">
        <v>0</v>
      </c>
    </row>
    <row s="1877" customFormat="1" customHeight="1" ht="17.25" hidden="1">
      <c r="A125" s="345"/>
      <c r="C125" s="344"/>
      <c r="D125" s="2160"/>
      <c r="E125" s="2168"/>
      <c r="F125" s="2171"/>
      <c r="G125" s="2168"/>
      <c r="H125" s="1323"/>
      <c r="I125" s="1324"/>
      <c r="J125" s="1324"/>
      <c r="K125" s="1324"/>
      <c r="L125" s="1324"/>
      <c r="M125" s="1324"/>
      <c r="N125" s="1324"/>
      <c r="O125" s="1324"/>
      <c r="P125" s="1324"/>
      <c r="Q125" s="1324"/>
      <c r="R125" s="1324"/>
      <c r="S125" s="1325"/>
      <c r="T125" s="1325"/>
      <c r="U125" s="1325"/>
      <c r="V125" s="1325"/>
      <c r="W125" s="1326"/>
      <c r="Y125" s="1283"/>
      <c r="Z125" s="1283"/>
      <c r="AA125" s="1283"/>
      <c r="AB125" s="1283"/>
      <c r="AC125" s="1283"/>
      <c r="AD125" s="1283"/>
      <c r="AE125" s="1283"/>
      <c r="AF125" s="1283"/>
      <c r="AG125" s="1283"/>
      <c r="AH125" s="1283"/>
      <c r="AI125" s="1283"/>
      <c r="AJ125" s="1283"/>
      <c r="AK125" s="1283"/>
      <c r="AL125" s="1283"/>
      <c r="AM125" s="1283"/>
      <c r="AN125" s="1283"/>
      <c r="AO125" s="1283"/>
      <c r="AP125" s="1283"/>
      <c r="AQ125" s="1283"/>
      <c r="AR125" s="1491">
        <v>0</v>
      </c>
    </row>
    <row s="1877" customFormat="1" customHeight="1" ht="17.25" hidden="1">
      <c r="A126" s="345"/>
      <c r="C126" s="233"/>
      <c r="D126" s="2159">
        <v>2</v>
      </c>
      <c r="E126" s="2167" t="s">
        <v>353</v>
      </c>
      <c r="F126" s="2169" t="s">
        <v>19</v>
      </c>
      <c r="G126" s="2167"/>
      <c r="H126" s="2172"/>
      <c r="I126" s="2174"/>
      <c r="J126" s="2176"/>
      <c r="K126" s="2161"/>
      <c r="L126" s="2161"/>
      <c r="M126" s="2161"/>
      <c r="N126" s="2163"/>
      <c r="O126" s="2161"/>
      <c r="P126" s="2161"/>
      <c r="Q126" s="2161"/>
      <c r="R126" s="2166"/>
      <c r="S126" s="2161"/>
      <c r="T126" s="1494"/>
      <c r="U126" s="1494"/>
      <c r="V126" s="1496"/>
      <c r="W126" s="1320"/>
      <c r="X126" s="1291"/>
      <c r="Y126" s="1291"/>
      <c r="Z126" s="1291"/>
      <c r="AA126" s="1291"/>
      <c r="AB126" s="1291"/>
      <c r="AC126" s="1291" t="s">
        <v>354</v>
      </c>
      <c r="AD126" s="1291" t="s">
        <v>355</v>
      </c>
      <c r="AE126" s="1291" t="s">
        <v>356</v>
      </c>
      <c r="AF126" s="1291" t="s">
        <v>357</v>
      </c>
      <c r="AG126" s="1291"/>
      <c r="AH126" s="1291" t="str">
        <f>IF($E$126=0,"",$E$126)</f>
        <v>Тариф на транспортировку сточных вод</v>
      </c>
      <c r="AI126" s="1291" t="str">
        <f>IF($G$126=0,"",$G$126)</f>
        <v/>
      </c>
      <c r="AJ126" s="1291" t="str">
        <f>IF($J$126=0,"",$J$126)</f>
        <v/>
      </c>
      <c r="AK126" s="1291" t="str">
        <f>IF($K$126="нет","без дифференциации",IF($N$126=0,"",$N$126))</f>
        <v/>
      </c>
      <c r="AL126" s="1291" t="str">
        <f>IF($O$126="нет","без дифференциации",IF($R$126=0,"",$R$126))</f>
        <v/>
      </c>
      <c r="AM126" s="1291" t="str">
        <f>IF($S$126="нет","без дифференциации",IF($V$126=0,"",$V$126))</f>
        <v/>
      </c>
      <c r="AN126" s="1796">
        <f>$I$126</f>
        <v>0</v>
      </c>
      <c r="AO126" s="1291" t="str">
        <f>$I$126&amp;"."&amp;$M$126</f>
        <v>.</v>
      </c>
      <c r="AP126" s="1283" t="str">
        <f>$I$126&amp;"."&amp;$M$126&amp;"."&amp;$Q$126</f>
        <v>..</v>
      </c>
      <c r="AQ126" s="1283" t="str">
        <f>$I$126&amp;"."&amp;$M$126&amp;"."&amp;$Q$126&amp;"."&amp;$U$126</f>
        <v>...</v>
      </c>
      <c r="AR126" s="1491">
        <v>0</v>
      </c>
    </row>
    <row s="1877" customFormat="1" customHeight="1" ht="17.25" hidden="1">
      <c r="A127" s="345"/>
      <c r="C127" s="344"/>
      <c r="D127" s="2159"/>
      <c r="E127" s="2167"/>
      <c r="F127" s="2170"/>
      <c r="G127" s="2167"/>
      <c r="H127" s="2173"/>
      <c r="I127" s="2175"/>
      <c r="J127" s="2177"/>
      <c r="K127" s="2162"/>
      <c r="L127" s="2162"/>
      <c r="M127" s="2162"/>
      <c r="N127" s="2164"/>
      <c r="O127" s="2162"/>
      <c r="P127" s="2162"/>
      <c r="Q127" s="2162"/>
      <c r="R127" s="2165"/>
      <c r="S127" s="2162"/>
      <c r="T127" s="1321"/>
      <c r="U127" s="1321"/>
      <c r="V127" s="1321"/>
      <c r="W127" s="1322"/>
      <c r="X127" s="1283"/>
      <c r="Y127" s="1283"/>
      <c r="Z127" s="1283"/>
      <c r="AA127" s="1283"/>
      <c r="AB127" s="1283"/>
      <c r="AC127" s="1283"/>
      <c r="AD127" s="1283"/>
      <c r="AE127" s="1283"/>
      <c r="AF127" s="1283"/>
      <c r="AG127" s="1283"/>
      <c r="AH127" s="1283"/>
      <c r="AI127" s="1283"/>
      <c r="AJ127" s="1283"/>
      <c r="AK127" s="1283"/>
      <c r="AL127" s="1283"/>
      <c r="AM127" s="1283"/>
      <c r="AN127" s="1283"/>
      <c r="AO127" s="1283"/>
      <c r="AP127" s="1283"/>
      <c r="AQ127" s="1283"/>
      <c r="AR127" s="1491">
        <v>0</v>
      </c>
    </row>
    <row s="1877" customFormat="1" customHeight="1" ht="17.25" hidden="1">
      <c r="A128" s="345"/>
      <c r="C128" s="344"/>
      <c r="D128" s="2160"/>
      <c r="E128" s="2168"/>
      <c r="F128" s="2170"/>
      <c r="G128" s="2168"/>
      <c r="H128" s="2173"/>
      <c r="I128" s="2175"/>
      <c r="J128" s="2178"/>
      <c r="K128" s="2162"/>
      <c r="L128" s="2162"/>
      <c r="M128" s="2162"/>
      <c r="N128" s="2165"/>
      <c r="O128" s="2162"/>
      <c r="P128" s="1495"/>
      <c r="Q128" s="1321"/>
      <c r="R128" s="1321"/>
      <c r="S128" s="353"/>
      <c r="T128" s="353"/>
      <c r="U128" s="353"/>
      <c r="V128" s="353"/>
      <c r="W128" s="1322"/>
      <c r="X128" s="1283"/>
      <c r="Y128" s="1283"/>
      <c r="Z128" s="1283"/>
      <c r="AA128" s="1283"/>
      <c r="AB128" s="1283"/>
      <c r="AC128" s="1283"/>
      <c r="AD128" s="1283"/>
      <c r="AE128" s="1283"/>
      <c r="AF128" s="1283"/>
      <c r="AG128" s="1283"/>
      <c r="AH128" s="1283"/>
      <c r="AI128" s="1283"/>
      <c r="AJ128" s="1283"/>
      <c r="AK128" s="1283"/>
      <c r="AL128" s="1283"/>
      <c r="AM128" s="1283"/>
      <c r="AN128" s="1283"/>
      <c r="AO128" s="1283"/>
      <c r="AP128" s="1283"/>
      <c r="AQ128" s="1283"/>
      <c r="AR128" s="1491">
        <v>0</v>
      </c>
    </row>
    <row s="1877" customFormat="1" customHeight="1" ht="17.25" hidden="1">
      <c r="A129" s="345"/>
      <c r="C129" s="344"/>
      <c r="D129" s="2160"/>
      <c r="E129" s="2168"/>
      <c r="F129" s="2170"/>
      <c r="G129" s="2168"/>
      <c r="H129" s="2173"/>
      <c r="I129" s="2175"/>
      <c r="J129" s="2178"/>
      <c r="K129" s="2162"/>
      <c r="L129" s="1321"/>
      <c r="M129" s="1321"/>
      <c r="N129" s="1321"/>
      <c r="O129" s="1321"/>
      <c r="P129" s="1321"/>
      <c r="Q129" s="1321"/>
      <c r="R129" s="1321"/>
      <c r="S129" s="353"/>
      <c r="T129" s="353"/>
      <c r="U129" s="353"/>
      <c r="V129" s="353"/>
      <c r="W129" s="1322"/>
      <c r="X129" s="1283"/>
      <c r="Y129" s="1283"/>
      <c r="Z129" s="1283"/>
      <c r="AA129" s="1283"/>
      <c r="AB129" s="1283"/>
      <c r="AC129" s="1283"/>
      <c r="AD129" s="1283"/>
      <c r="AE129" s="1283"/>
      <c r="AF129" s="1283"/>
      <c r="AG129" s="1283"/>
      <c r="AH129" s="1283"/>
      <c r="AI129" s="1283"/>
      <c r="AJ129" s="1283"/>
      <c r="AK129" s="1283"/>
      <c r="AL129" s="1283"/>
      <c r="AM129" s="1283"/>
      <c r="AN129" s="1283"/>
      <c r="AO129" s="1283"/>
      <c r="AP129" s="1283"/>
      <c r="AQ129" s="1283"/>
      <c r="AR129" s="1491">
        <v>0</v>
      </c>
    </row>
    <row s="1877" customFormat="1" customHeight="1" ht="17.25" hidden="1">
      <c r="A130" s="345"/>
      <c r="C130" s="344"/>
      <c r="D130" s="2160"/>
      <c r="E130" s="2168"/>
      <c r="F130" s="2171"/>
      <c r="G130" s="2168"/>
      <c r="H130" s="1323"/>
      <c r="I130" s="1324"/>
      <c r="J130" s="1324"/>
      <c r="K130" s="1324"/>
      <c r="L130" s="1324"/>
      <c r="M130" s="1324"/>
      <c r="N130" s="1324"/>
      <c r="O130" s="1324"/>
      <c r="P130" s="1324"/>
      <c r="Q130" s="1324"/>
      <c r="R130" s="1324"/>
      <c r="S130" s="1325"/>
      <c r="T130" s="1325"/>
      <c r="U130" s="1325"/>
      <c r="V130" s="1325"/>
      <c r="W130" s="1326"/>
      <c r="X130" s="1283"/>
      <c r="Y130" s="1283"/>
      <c r="Z130" s="1283"/>
      <c r="AA130" s="1283"/>
      <c r="AB130" s="1283"/>
      <c r="AC130" s="1283"/>
      <c r="AD130" s="1283"/>
      <c r="AE130" s="1283"/>
      <c r="AF130" s="1283"/>
      <c r="AG130" s="1283"/>
      <c r="AH130" s="1283"/>
      <c r="AI130" s="1283"/>
      <c r="AJ130" s="1283"/>
      <c r="AK130" s="1283"/>
      <c r="AL130" s="1283"/>
      <c r="AM130" s="1283"/>
      <c r="AN130" s="1283"/>
      <c r="AO130" s="1283"/>
      <c r="AP130" s="1283"/>
      <c r="AQ130" s="1283"/>
      <c r="AR130" s="1491">
        <v>0</v>
      </c>
    </row>
    <row s="1877" customFormat="1" customHeight="1" ht="17.25" hidden="1">
      <c r="A131" s="345"/>
      <c r="C131" s="233"/>
      <c r="D131" s="2159">
        <v>3</v>
      </c>
      <c r="E131" s="2167" t="s">
        <v>358</v>
      </c>
      <c r="F131" s="2169" t="s">
        <v>19</v>
      </c>
      <c r="G131" s="2167"/>
      <c r="H131" s="2172"/>
      <c r="I131" s="2174"/>
      <c r="J131" s="2176"/>
      <c r="K131" s="2161"/>
      <c r="L131" s="2161"/>
      <c r="M131" s="2161"/>
      <c r="N131" s="2163"/>
      <c r="O131" s="2161"/>
      <c r="P131" s="2161"/>
      <c r="Q131" s="2161"/>
      <c r="R131" s="2166"/>
      <c r="S131" s="2161"/>
      <c r="T131" s="1967"/>
      <c r="U131" s="1967"/>
      <c r="V131" s="1969"/>
      <c r="W131" s="1320"/>
      <c r="X131" s="1291"/>
      <c r="Y131" s="1291"/>
      <c r="Z131" s="1291"/>
      <c r="AA131" s="1291"/>
      <c r="AB131" s="1291"/>
      <c r="AC131" s="1291" t="s">
        <v>359</v>
      </c>
      <c r="AD131" s="1291" t="s">
        <v>360</v>
      </c>
      <c r="AE131" s="1291" t="s">
        <v>361</v>
      </c>
      <c r="AF131" s="1291" t="s">
        <v>362</v>
      </c>
      <c r="AG131" s="1291"/>
      <c r="AH131" s="1291" t="str">
        <f>IF($E$131=0,"",$E$131)</f>
        <v>Тариф на подключение (технологическое присоединение) к централизованной системе водоотведения</v>
      </c>
      <c r="AI131" s="1291" t="str">
        <f>IF($G$131=0,"",$G$131)</f>
        <v/>
      </c>
      <c r="AJ131" s="1291" t="str">
        <f>IF($J$131=0,"",$J$131)</f>
        <v/>
      </c>
      <c r="AK131" s="1291" t="str">
        <f>IF($K$131="нет","без дифференциации",IF($N$131=0,"",$N$131))</f>
        <v/>
      </c>
      <c r="AL131" s="1291" t="str">
        <f>IF($O$131="нет","без дифференциации",IF($R$131=0,"",$R$131))</f>
        <v/>
      </c>
      <c r="AM131" s="1291" t="str">
        <f>IF($S$131="нет","без дифференциации",IF($V$131=0,"",$V$131))</f>
        <v/>
      </c>
      <c r="AN131" s="1796">
        <f>$I$131</f>
        <v>0</v>
      </c>
      <c r="AO131" s="1291" t="str">
        <f>$I$131&amp;"."&amp;$M$131</f>
        <v>.</v>
      </c>
      <c r="AP131" s="1290" t="str">
        <f>$I$131&amp;"."&amp;$M$131&amp;"."&amp;$Q$131</f>
        <v>..</v>
      </c>
      <c r="AQ131" s="1290" t="str">
        <f>$I$131&amp;"."&amp;$M$131&amp;"."&amp;$Q$131&amp;"."&amp;$U$131</f>
        <v>...</v>
      </c>
      <c r="AR131" s="1491">
        <v>0</v>
      </c>
    </row>
    <row s="1877" customFormat="1" customHeight="1" ht="17.25" hidden="1">
      <c r="A132" s="345"/>
      <c r="C132" s="344"/>
      <c r="D132" s="2159"/>
      <c r="E132" s="2167"/>
      <c r="F132" s="2170"/>
      <c r="G132" s="2167"/>
      <c r="H132" s="2173"/>
      <c r="I132" s="2175"/>
      <c r="J132" s="2177"/>
      <c r="K132" s="2162"/>
      <c r="L132" s="2162"/>
      <c r="M132" s="2162"/>
      <c r="N132" s="2164"/>
      <c r="O132" s="2162"/>
      <c r="P132" s="2162"/>
      <c r="Q132" s="2162"/>
      <c r="R132" s="2165"/>
      <c r="S132" s="2162"/>
      <c r="T132" s="1972"/>
      <c r="U132" s="1972"/>
      <c r="V132" s="1972"/>
      <c r="W132" s="1973"/>
      <c r="X132" s="1290"/>
      <c r="Y132" s="1290"/>
      <c r="Z132" s="1290"/>
      <c r="AA132" s="1290"/>
      <c r="AB132" s="1290"/>
      <c r="AC132" s="1290"/>
      <c r="AD132" s="1290"/>
      <c r="AE132" s="1290"/>
      <c r="AF132" s="1290"/>
      <c r="AG132" s="1290"/>
      <c r="AH132" s="1290"/>
      <c r="AI132" s="1290"/>
      <c r="AJ132" s="1290"/>
      <c r="AK132" s="1290"/>
      <c r="AL132" s="1290"/>
      <c r="AM132" s="1290"/>
      <c r="AN132" s="1290"/>
      <c r="AO132" s="1290"/>
      <c r="AP132" s="1290"/>
      <c r="AQ132" s="1290"/>
      <c r="AR132" s="1491">
        <v>0</v>
      </c>
    </row>
    <row s="1877" customFormat="1" customHeight="1" ht="17.25" hidden="1">
      <c r="A133" s="345"/>
      <c r="C133" s="344"/>
      <c r="D133" s="2160"/>
      <c r="E133" s="2168"/>
      <c r="F133" s="2170"/>
      <c r="G133" s="2168"/>
      <c r="H133" s="2173"/>
      <c r="I133" s="2175"/>
      <c r="J133" s="2178"/>
      <c r="K133" s="2162"/>
      <c r="L133" s="2162"/>
      <c r="M133" s="2162"/>
      <c r="N133" s="2165"/>
      <c r="O133" s="2162"/>
      <c r="P133" s="1968"/>
      <c r="Q133" s="1972"/>
      <c r="R133" s="1972"/>
      <c r="S133" s="353"/>
      <c r="T133" s="353"/>
      <c r="U133" s="353"/>
      <c r="V133" s="353"/>
      <c r="W133" s="1973"/>
      <c r="X133" s="1290"/>
      <c r="Y133" s="1290"/>
      <c r="Z133" s="1290"/>
      <c r="AA133" s="1290"/>
      <c r="AB133" s="1290"/>
      <c r="AC133" s="1290"/>
      <c r="AD133" s="1290"/>
      <c r="AE133" s="1290"/>
      <c r="AF133" s="1290"/>
      <c r="AG133" s="1290"/>
      <c r="AH133" s="1290"/>
      <c r="AI133" s="1290"/>
      <c r="AJ133" s="1290"/>
      <c r="AK133" s="1290"/>
      <c r="AL133" s="1290"/>
      <c r="AM133" s="1290"/>
      <c r="AN133" s="1290"/>
      <c r="AO133" s="1290"/>
      <c r="AP133" s="1290"/>
      <c r="AQ133" s="1290"/>
      <c r="AR133" s="1491">
        <v>0</v>
      </c>
    </row>
    <row s="1877" customFormat="1" customHeight="1" ht="17.25" hidden="1">
      <c r="A134" s="345"/>
      <c r="C134" s="344"/>
      <c r="D134" s="2160"/>
      <c r="E134" s="2168"/>
      <c r="F134" s="2170"/>
      <c r="G134" s="2168"/>
      <c r="H134" s="2173"/>
      <c r="I134" s="2175"/>
      <c r="J134" s="2178"/>
      <c r="K134" s="2162"/>
      <c r="L134" s="1972"/>
      <c r="M134" s="1972"/>
      <c r="N134" s="1972"/>
      <c r="O134" s="1972"/>
      <c r="P134" s="1972"/>
      <c r="Q134" s="1972"/>
      <c r="R134" s="1972"/>
      <c r="S134" s="353"/>
      <c r="T134" s="353"/>
      <c r="U134" s="353"/>
      <c r="V134" s="353"/>
      <c r="W134" s="1973"/>
      <c r="X134" s="1290"/>
      <c r="Y134" s="1290"/>
      <c r="Z134" s="1290"/>
      <c r="AA134" s="1290"/>
      <c r="AB134" s="1290"/>
      <c r="AC134" s="1290"/>
      <c r="AD134" s="1290"/>
      <c r="AE134" s="1290"/>
      <c r="AF134" s="1290"/>
      <c r="AG134" s="1290"/>
      <c r="AH134" s="1290"/>
      <c r="AI134" s="1290"/>
      <c r="AJ134" s="1290"/>
      <c r="AK134" s="1290"/>
      <c r="AL134" s="1290"/>
      <c r="AM134" s="1290"/>
      <c r="AN134" s="1290"/>
      <c r="AO134" s="1290"/>
      <c r="AP134" s="1290"/>
      <c r="AQ134" s="1290"/>
      <c r="AR134" s="1491">
        <v>0</v>
      </c>
    </row>
    <row s="1877" customFormat="1" customHeight="1" ht="17.25" hidden="1">
      <c r="A135" s="345"/>
      <c r="C135" s="344"/>
      <c r="D135" s="2160"/>
      <c r="E135" s="2168"/>
      <c r="F135" s="2171"/>
      <c r="G135" s="2168"/>
      <c r="H135" s="1323"/>
      <c r="I135" s="1970"/>
      <c r="J135" s="1970"/>
      <c r="K135" s="1970"/>
      <c r="L135" s="1970"/>
      <c r="M135" s="1970"/>
      <c r="N135" s="1970"/>
      <c r="O135" s="1970"/>
      <c r="P135" s="1970"/>
      <c r="Q135" s="1970"/>
      <c r="R135" s="1970"/>
      <c r="S135" s="1325"/>
      <c r="T135" s="1325"/>
      <c r="U135" s="1325"/>
      <c r="V135" s="1325"/>
      <c r="W135" s="1971"/>
      <c r="X135" s="1290"/>
      <c r="Y135" s="1290"/>
      <c r="Z135" s="1290"/>
      <c r="AA135" s="1290"/>
      <c r="AB135" s="1290"/>
      <c r="AC135" s="1290"/>
      <c r="AD135" s="1290"/>
      <c r="AE135" s="1290"/>
      <c r="AF135" s="1290"/>
      <c r="AG135" s="1290"/>
      <c r="AH135" s="1290"/>
      <c r="AI135" s="1290"/>
      <c r="AJ135" s="1290"/>
      <c r="AK135" s="1290"/>
      <c r="AL135" s="1290"/>
      <c r="AM135" s="1290"/>
      <c r="AN135" s="1290"/>
      <c r="AO135" s="1290"/>
      <c r="AP135" s="1290"/>
      <c r="AQ135" s="1290"/>
      <c r="AR135" s="1491">
        <v>0</v>
      </c>
    </row>
    <row customHeight="1" ht="11.549999999999999">
      <c r="AR136" s="128">
        <v>11</v>
      </c>
    </row>
    <row customHeight="1" ht="11.549999999999999">
      <c r="AR137" s="128">
        <v>11</v>
      </c>
    </row>
    <row customHeight="1" ht="11.549999999999999">
      <c r="AR138" s="128">
        <v>11</v>
      </c>
    </row>
    <row customHeight="1" ht="11.549999999999999">
      <c r="E139" s="1374"/>
      <c r="AR139" s="128">
        <v>11</v>
      </c>
    </row>
    <row customHeight="1" ht="11.549999999999999">
      <c r="E140" s="1374"/>
      <c r="AR140" s="128">
        <v>11</v>
      </c>
    </row>
    <row customHeight="1" ht="11.549999999999999">
      <c r="E141" s="1374"/>
      <c r="AR141" s="128">
        <v>11</v>
      </c>
    </row>
    <row customHeight="1" ht="11.549999999999999">
      <c r="E142" s="1374"/>
      <c r="AR142" s="128">
        <v>11</v>
      </c>
    </row>
    <row customHeight="1" ht="11.549999999999999">
      <c r="E143" s="1374"/>
      <c r="AR143" s="128">
        <v>11</v>
      </c>
    </row>
    <row customHeight="1" ht="11.549999999999999">
      <c r="E144" s="1374"/>
      <c r="AR144" s="128">
        <v>11</v>
      </c>
    </row>
    <row customHeight="1" ht="11.549999999999999">
      <c r="E145" s="1374"/>
      <c r="AR145" s="128">
        <v>11</v>
      </c>
    </row>
    <row customHeight="1" ht="11.25" hidden="1">
      <c r="A146" s="177" t="s">
        <v>82</v>
      </c>
      <c r="B146" s="177">
        <v>0</v>
      </c>
      <c r="C146" s="128">
        <v>3</v>
      </c>
      <c r="D146" s="128">
        <v>6</v>
      </c>
      <c r="E146" s="128">
        <v>42</v>
      </c>
      <c r="F146" s="1307">
        <v>14</v>
      </c>
      <c r="G146" s="128">
        <v>42</v>
      </c>
      <c r="H146" s="128">
        <v>3</v>
      </c>
      <c r="I146" s="128">
        <v>5</v>
      </c>
      <c r="J146" s="128">
        <v>47</v>
      </c>
      <c r="K146" s="128">
        <v>3</v>
      </c>
      <c r="L146" s="128">
        <v>3</v>
      </c>
      <c r="M146" s="128">
        <v>5</v>
      </c>
      <c r="N146" s="128">
        <v>28</v>
      </c>
      <c r="O146" s="128">
        <v>3</v>
      </c>
      <c r="P146" s="128">
        <v>3</v>
      </c>
      <c r="Q146" s="128">
        <v>5</v>
      </c>
      <c r="R146" s="128">
        <v>34</v>
      </c>
      <c r="S146" s="306">
        <v>0</v>
      </c>
      <c r="T146" s="306">
        <v>0</v>
      </c>
      <c r="U146" s="306">
        <v>0</v>
      </c>
      <c r="V146" s="306">
        <v>0</v>
      </c>
      <c r="W146" s="128">
        <v>30</v>
      </c>
      <c r="X146" s="128">
        <v>3</v>
      </c>
      <c r="Y146" s="1283">
        <v>0</v>
      </c>
      <c r="Z146" s="1283">
        <v>0</v>
      </c>
      <c r="AA146" s="1283">
        <v>0</v>
      </c>
      <c r="AB146" s="1283">
        <v>0</v>
      </c>
      <c r="AC146" s="1283">
        <v>0</v>
      </c>
      <c r="AD146" s="1283">
        <v>0</v>
      </c>
      <c r="AE146" s="1283">
        <v>0</v>
      </c>
      <c r="AF146" s="1283">
        <v>0</v>
      </c>
      <c r="AG146" s="1283">
        <v>0</v>
      </c>
      <c r="AH146" s="1283">
        <v>0</v>
      </c>
      <c r="AI146" s="1283">
        <v>0</v>
      </c>
      <c r="AJ146" s="1283">
        <v>0</v>
      </c>
      <c r="AK146" s="1283">
        <v>0</v>
      </c>
      <c r="AL146" s="1283">
        <v>0</v>
      </c>
      <c r="AM146" s="1283">
        <v>0</v>
      </c>
      <c r="AN146" s="1283">
        <v>0</v>
      </c>
      <c r="AO146" s="1283">
        <v>0</v>
      </c>
      <c r="AP146" s="1283">
        <v>0</v>
      </c>
      <c r="AQ146" s="1283">
        <v>0</v>
      </c>
      <c r="AR146" s="128">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8A1AD6-4863-18C3-88F7-0.EA1A16CE}" mc:Ignorable="x14ac xr xr2 xr3">
  <sheetPr>
    <tabColor theme="2" tint="-0.1"/>
  </sheetPr>
  <dimension ref="A1:AX30"/>
  <sheetViews>
    <sheetView showGridLines="0" zoomScale="90" workbookViewId="0">
      <pane xSplit="8" ySplit="18" topLeftCell="AK19" activePane="bottomRight" state="frozen"/>
      <selection pane="bottomLeft" activeCell="A19" sqref="A19"/>
      <selection pane="topRight" activeCell="I1" sqref="I1"/>
      <selection pane="bottomRight" activeCell="AK8" sqref="AK8"/>
    </sheetView>
  </sheetViews>
  <sheetFormatPr defaultColWidth="10.57421875" customHeight="1" defaultRowHeight="15"/>
  <cols>
    <col min="1" max="1" style="1656" width="9.140625" hidden="1" customWidth="1"/>
    <col min="2" max="2" style="1659" width="9.140625" hidden="1" customWidth="1"/>
    <col min="3" max="3" style="707" width="4.00390625" customWidth="1"/>
    <col min="4" max="4" style="1659" width="6.00390625" customWidth="1"/>
    <col min="5" max="5" style="1659" width="47.00390625" customWidth="1"/>
    <col min="6" max="6" style="1659" width="9.00390625" customWidth="1"/>
    <col min="7" max="7" style="1659" width="25.7109375" hidden="1" customWidth="1"/>
    <col min="8" max="8" style="1659" width="34.00390625" hidden="1" customWidth="1"/>
    <col min="9" max="9" style="1659" width="25.7109375" customWidth="1"/>
    <col min="10" max="10" style="1659" width="33.00390625" customWidth="1"/>
    <col min="11" max="11" style="1659" width="25.7109375" customWidth="1"/>
    <col min="12" max="12" style="1659" width="34.00390625" customWidth="1"/>
    <col min="13" max="13" style="1659" width="25.7109375" customWidth="1"/>
    <col min="14" max="14" style="1659" width="34.00390625" customWidth="1"/>
    <col min="15" max="15" style="1659" width="25.7109375" customWidth="1"/>
    <col min="16" max="16" style="1659" width="34.00390625" customWidth="1"/>
    <col min="17" max="17" style="1659" width="25.7109375" customWidth="1"/>
    <col min="18" max="18" style="1659" width="34.00390625" customWidth="1"/>
    <col min="19" max="19" style="1659" width="25.7109375" customWidth="1"/>
    <col min="20" max="20" style="1659" width="34.00390625" customWidth="1"/>
    <col min="21" max="21" style="1659" width="25.7109375" customWidth="1"/>
    <col min="22" max="22" style="1659" width="34.00390625" customWidth="1"/>
    <col min="23" max="23" style="1659" width="25.7109375" customWidth="1"/>
    <col min="24" max="24" style="1659" width="34.00390625" customWidth="1"/>
    <col min="25" max="25" style="1659" width="25.7109375" customWidth="1"/>
    <col min="26" max="26" style="1659" width="34.00390625" customWidth="1"/>
    <col min="27" max="27" style="1659" width="25.7109375" customWidth="1"/>
    <col min="28" max="28" style="1659" width="34.00390625" customWidth="1"/>
    <col min="29" max="29" style="1659" width="25.7109375" customWidth="1"/>
    <col min="30" max="30" style="1659" width="34.00390625" customWidth="1"/>
    <col min="31" max="31" style="1659" width="25.7109375" customWidth="1"/>
    <col min="32" max="32" style="1659" width="34.00390625" customWidth="1"/>
    <col min="33" max="33" style="1659" width="25.7109375" customWidth="1"/>
    <col min="34" max="34" style="1659" width="34.00390625" customWidth="1"/>
    <col min="35" max="35" style="1659" width="25.7109375" customWidth="1"/>
    <col min="36" max="36" style="1659" width="34.00390625" customWidth="1"/>
    <col min="37" max="37" style="1659" width="25.7109375" customWidth="1"/>
    <col min="38" max="38" style="1659" width="34.00390625" customWidth="1"/>
    <col min="39" max="39" style="1390" width="50.00390625" customWidth="1"/>
    <col min="40" max="48" style="1659" width="10.00390625" customWidth="1"/>
    <col min="49" max="49" style="699" width="10.00390625" customWidth="1"/>
    <col min="50" max="50" style="1659" width="10.57421875" hidden="1"/>
  </cols>
  <sheetData>
    <row s="1390" customFormat="1" customHeight="1" ht="22.5" hidden="1">
      <c r="C1" s="696"/>
      <c r="G1" s="441">
        <v>4</v>
      </c>
      <c r="I1" s="441">
        <v>4</v>
      </c>
      <c r="K1" s="1390">
        <v>4</v>
      </c>
      <c r="L1" s="1390"/>
      <c r="M1" s="1390">
        <v>4</v>
      </c>
      <c r="N1" s="1390"/>
      <c r="O1" s="1390">
        <v>4</v>
      </c>
      <c r="P1" s="1390"/>
      <c r="Q1" s="1390">
        <v>4</v>
      </c>
      <c r="R1" s="1390"/>
      <c r="S1" s="1390">
        <v>4</v>
      </c>
      <c r="T1" s="1390"/>
      <c r="U1" s="1390">
        <v>4</v>
      </c>
      <c r="V1" s="1390"/>
      <c r="W1" s="1390">
        <v>4</v>
      </c>
      <c r="X1" s="1390"/>
      <c r="Y1" s="1390">
        <v>4</v>
      </c>
      <c r="Z1" s="1390"/>
      <c r="AA1" s="1390">
        <v>4</v>
      </c>
      <c r="AB1" s="1390"/>
      <c r="AC1" s="1390">
        <v>4</v>
      </c>
      <c r="AD1" s="1390"/>
      <c r="AE1" s="1390">
        <v>4</v>
      </c>
      <c r="AF1" s="1390"/>
      <c r="AG1" s="1390">
        <v>4</v>
      </c>
      <c r="AH1" s="1390"/>
      <c r="AI1" s="1390">
        <v>4</v>
      </c>
      <c r="AJ1" s="1390"/>
      <c r="AK1" s="1390">
        <v>4</v>
      </c>
      <c r="AL1" s="1390"/>
      <c r="AW1" s="444"/>
      <c r="AX1" s="441" t="s">
        <v>14</v>
      </c>
    </row>
    <row s="1659" customFormat="1" customHeight="1" ht="15" hidden="1">
      <c r="A2" s="386"/>
      <c r="C2" s="200"/>
      <c r="D2" s="370"/>
      <c r="E2" s="697"/>
      <c r="F2" s="546"/>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c r="AW2" s="698"/>
      <c r="AX2" s="533">
        <v>0</v>
      </c>
    </row>
    <row s="1390" customFormat="1" customHeight="1" ht="15" hidden="1">
      <c r="C3" s="696"/>
      <c r="K3" s="1390"/>
      <c r="L3" s="1390"/>
      <c r="M3" s="1390"/>
      <c r="N3" s="1390"/>
      <c r="O3" s="1390"/>
      <c r="P3" s="1390"/>
      <c r="Q3" s="1390"/>
      <c r="R3" s="1390"/>
      <c r="S3" s="1390"/>
      <c r="T3" s="1390"/>
      <c r="U3" s="1390"/>
      <c r="V3" s="1390"/>
      <c r="W3" s="1390"/>
      <c r="X3" s="1390"/>
      <c r="Y3" s="1390"/>
      <c r="Z3" s="1390"/>
      <c r="AA3" s="1390"/>
      <c r="AB3" s="1390"/>
      <c r="AC3" s="1390"/>
      <c r="AD3" s="1390"/>
      <c r="AE3" s="1390"/>
      <c r="AF3" s="1390"/>
      <c r="AG3" s="1390"/>
      <c r="AH3" s="1390"/>
      <c r="AI3" s="1390"/>
      <c r="AJ3" s="1390"/>
      <c r="AK3" s="1390"/>
      <c r="AL3" s="1390"/>
      <c r="AW3" s="444"/>
      <c r="AX3" s="441">
        <v>0</v>
      </c>
    </row>
    <row customHeight="1" ht="15.75">
      <c r="C4" s="200"/>
      <c r="D4" s="533"/>
      <c r="E4" s="533"/>
      <c r="F4" s="533"/>
      <c r="G4" s="533"/>
      <c r="H4" s="533"/>
      <c r="I4" s="533"/>
      <c r="J4" s="533"/>
      <c r="K4" s="1659"/>
      <c r="L4" s="1659"/>
      <c r="M4" s="1659"/>
      <c r="N4" s="1659"/>
      <c r="O4" s="1659"/>
      <c r="P4" s="1659"/>
      <c r="Q4" s="1659"/>
      <c r="R4" s="1659"/>
      <c r="S4" s="1659"/>
      <c r="T4" s="1659"/>
      <c r="U4" s="1659"/>
      <c r="V4" s="1659"/>
      <c r="W4" s="1659"/>
      <c r="X4" s="1659"/>
      <c r="Y4" s="1659"/>
      <c r="Z4" s="1659"/>
      <c r="AA4" s="1659"/>
      <c r="AB4" s="1659"/>
      <c r="AC4" s="1659"/>
      <c r="AD4" s="1659"/>
      <c r="AE4" s="1659"/>
      <c r="AF4" s="1659"/>
      <c r="AG4" s="1659"/>
      <c r="AH4" s="1659"/>
      <c r="AI4" s="1659"/>
      <c r="AJ4" s="1659"/>
      <c r="AK4" s="1659"/>
      <c r="AL4" s="1659"/>
      <c r="AX4" s="529">
        <v>15</v>
      </c>
    </row>
    <row customHeight="1" ht="66">
      <c r="C5" s="200"/>
      <c r="D5" s="2261" t="s">
        <v>1492</v>
      </c>
      <c r="E5" s="2261"/>
      <c r="F5" s="2261"/>
      <c r="G5" s="2261"/>
      <c r="H5" s="2261"/>
      <c r="I5" s="2261"/>
      <c r="J5" s="2261"/>
      <c r="K5" s="2272"/>
      <c r="L5" s="2272"/>
      <c r="M5" s="2272"/>
      <c r="N5" s="2272"/>
      <c r="O5" s="2272"/>
      <c r="P5" s="2272"/>
      <c r="Q5" s="2272"/>
      <c r="R5" s="2272"/>
      <c r="S5" s="2272"/>
      <c r="T5" s="2272"/>
      <c r="U5" s="2272"/>
      <c r="V5" s="2272"/>
      <c r="W5" s="2272"/>
      <c r="X5" s="2272"/>
      <c r="Y5" s="2272"/>
      <c r="Z5" s="2272"/>
      <c r="AA5" s="2272"/>
      <c r="AB5" s="2272"/>
      <c r="AC5" s="2272"/>
      <c r="AD5" s="2272"/>
      <c r="AE5" s="2272"/>
      <c r="AF5" s="2272"/>
      <c r="AG5" s="2272"/>
      <c r="AH5" s="2272"/>
      <c r="AI5" s="2272"/>
      <c r="AJ5" s="2272"/>
      <c r="AK5" s="2272"/>
      <c r="AL5" s="2272"/>
      <c r="AX5" s="529">
        <v>63</v>
      </c>
    </row>
    <row customHeight="1" ht="15.75">
      <c r="C6" s="200"/>
      <c r="D6" s="2200" t="str">
        <f>IF(org=0,"Не определено",org)</f>
        <v>АО "ДГК"</v>
      </c>
      <c r="E6" s="2200"/>
      <c r="F6" s="2200"/>
      <c r="G6" s="2200"/>
      <c r="H6" s="2200"/>
      <c r="I6" s="2200"/>
      <c r="J6" s="2200"/>
      <c r="K6" s="2273"/>
      <c r="L6" s="2273"/>
      <c r="M6" s="2273"/>
      <c r="N6" s="2273"/>
      <c r="O6" s="2273"/>
      <c r="P6" s="2273"/>
      <c r="Q6" s="2273"/>
      <c r="R6" s="2273"/>
      <c r="S6" s="2273"/>
      <c r="T6" s="2273"/>
      <c r="U6" s="2273"/>
      <c r="V6" s="2273"/>
      <c r="W6" s="2273"/>
      <c r="X6" s="2273"/>
      <c r="Y6" s="2273"/>
      <c r="Z6" s="2273"/>
      <c r="AA6" s="2273"/>
      <c r="AB6" s="2273"/>
      <c r="AC6" s="2273"/>
      <c r="AD6" s="2273"/>
      <c r="AE6" s="2273"/>
      <c r="AF6" s="2273"/>
      <c r="AG6" s="2273"/>
      <c r="AH6" s="2273"/>
      <c r="AI6" s="2273"/>
      <c r="AJ6" s="2273"/>
      <c r="AK6" s="2273"/>
      <c r="AL6" s="2273"/>
      <c r="AM6" s="561"/>
      <c r="AX6" s="529">
        <v>15</v>
      </c>
    </row>
    <row customHeight="1" ht="15.75">
      <c r="C7" s="200"/>
      <c r="D7" s="776"/>
      <c r="E7" s="533"/>
      <c r="F7" s="533"/>
      <c r="G7" s="561">
        <v>22</v>
      </c>
      <c r="I7" s="561">
        <v>1</v>
      </c>
      <c r="J7" s="776"/>
      <c r="K7" s="1390" t="s">
        <v>22</v>
      </c>
      <c r="L7" s="1659"/>
      <c r="M7" s="1390" t="s">
        <v>22</v>
      </c>
      <c r="N7" s="1659"/>
      <c r="O7" s="1390" t="s">
        <v>22</v>
      </c>
      <c r="P7" s="1659"/>
      <c r="Q7" s="1390" t="s">
        <v>22</v>
      </c>
      <c r="R7" s="1659"/>
      <c r="S7" s="1390" t="s">
        <v>22</v>
      </c>
      <c r="T7" s="1659"/>
      <c r="U7" s="1390" t="s">
        <v>22</v>
      </c>
      <c r="V7" s="1659"/>
      <c r="W7" s="1390" t="s">
        <v>22</v>
      </c>
      <c r="X7" s="1659"/>
      <c r="Y7" s="1390" t="s">
        <v>22</v>
      </c>
      <c r="Z7" s="1659"/>
      <c r="AA7" s="1390" t="s">
        <v>22</v>
      </c>
      <c r="AB7" s="1659"/>
      <c r="AC7" s="1390" t="s">
        <v>22</v>
      </c>
      <c r="AD7" s="1659"/>
      <c r="AE7" s="1390" t="s">
        <v>22</v>
      </c>
      <c r="AF7" s="1659"/>
      <c r="AG7" s="1390" t="s">
        <v>22</v>
      </c>
      <c r="AH7" s="1659"/>
      <c r="AI7" s="1390" t="s">
        <v>22</v>
      </c>
      <c r="AJ7" s="1659"/>
      <c r="AK7" s="1390" t="s">
        <v>22</v>
      </c>
      <c r="AL7" s="1659"/>
      <c r="AX7" s="529">
        <v>15</v>
      </c>
    </row>
    <row s="1659" customFormat="1" customHeight="1" ht="1.05">
      <c r="A8" s="783"/>
      <c r="C8" s="200"/>
      <c r="D8" s="533"/>
      <c r="E8" s="533"/>
      <c r="F8" s="533"/>
      <c r="G8" s="561"/>
      <c r="H8" s="776"/>
      <c r="I8" s="561" t="s">
        <v>176</v>
      </c>
      <c r="J8" s="776"/>
      <c r="K8" s="1390" t="s">
        <v>181</v>
      </c>
      <c r="L8" s="776"/>
      <c r="M8" s="1390" t="s">
        <v>183</v>
      </c>
      <c r="N8" s="776"/>
      <c r="O8" s="1390" t="s">
        <v>185</v>
      </c>
      <c r="P8" s="776"/>
      <c r="Q8" s="1390" t="s">
        <v>187</v>
      </c>
      <c r="R8" s="776"/>
      <c r="S8" s="1390" t="s">
        <v>189</v>
      </c>
      <c r="T8" s="776"/>
      <c r="U8" s="1390" t="s">
        <v>191</v>
      </c>
      <c r="V8" s="776"/>
      <c r="W8" s="1390" t="s">
        <v>193</v>
      </c>
      <c r="X8" s="776"/>
      <c r="Y8" s="1390" t="s">
        <v>195</v>
      </c>
      <c r="Z8" s="776"/>
      <c r="AA8" s="1390" t="s">
        <v>197</v>
      </c>
      <c r="AB8" s="776"/>
      <c r="AC8" s="1390" t="s">
        <v>199</v>
      </c>
      <c r="AD8" s="776"/>
      <c r="AE8" s="1390" t="s">
        <v>201</v>
      </c>
      <c r="AF8" s="776"/>
      <c r="AG8" s="1390" t="s">
        <v>203</v>
      </c>
      <c r="AH8" s="776"/>
      <c r="AI8" s="1390" t="s">
        <v>205</v>
      </c>
      <c r="AJ8" s="776"/>
      <c r="AK8" s="1390" t="s">
        <v>207</v>
      </c>
      <c r="AL8" s="776"/>
      <c r="AM8" s="441"/>
      <c r="AW8" s="699"/>
      <c r="AX8" s="782">
        <v>1</v>
      </c>
    </row>
    <row customHeight="1" ht="15.75">
      <c r="C9" s="200"/>
      <c r="D9" s="735"/>
      <c r="E9" s="2391" t="s">
        <v>166</v>
      </c>
      <c r="F9" s="2392"/>
      <c r="G9" s="2419" t="str">
        <f>IF(G8="","",INDEX(DIFFERENTIATION_UNMERGE_VD,MATCH(G8,DIFFERENTIATION_ID_DIFF,0)))</f>
        <v/>
      </c>
      <c r="H9" s="2420"/>
      <c r="I9" s="2419" t="str">
        <f>IF(I8="","",INDEX(DIFFERENTIATION_UNMERGE_VD,MATCH(I8,DIFFERENTIATION_ID_DIFF,0)))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9" s="2420"/>
      <c r="K9" s="2419" t="str">
        <f>IF(K8="","",INDEX(DIFFERENTIATION_UNMERGE_VD,MATCH(K8,DIFFERENTIATION_ID_DIFF,0)))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L9" s="2420"/>
      <c r="M9" s="2419" t="str">
        <f>IF(M8="","",INDEX(DIFFERENTIATION_UNMERGE_VD,MATCH(M8,DIFFERENTIATION_ID_DIFF,0)))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N9" s="2420"/>
      <c r="O9" s="2419" t="str">
        <f>IF(O8="","",INDEX(DIFFERENTIATION_UNMERGE_VD,MATCH(O8,DIFFERENTIATION_ID_DIFF,0)))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9" s="2420"/>
      <c r="Q9" s="2419" t="str">
        <f>IF(Q8="","",INDEX(DIFFERENTIATION_UNMERGE_VD,MATCH(Q8,DIFFERENTIATION_ID_DIFF,0)))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R9" s="2420"/>
      <c r="S9" s="2419" t="str">
        <f>IF(S8="","",INDEX(DIFFERENTIATION_UNMERGE_VD,MATCH(S8,DIFFERENTIATION_ID_DIFF,0)))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T9" s="2420"/>
      <c r="U9" s="2419" t="str">
        <f>IF(U8="","",INDEX(DIFFERENTIATION_UNMERGE_VD,MATCH(U8,DIFFERENTIATION_ID_DIFF,0)))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V9" s="2420"/>
      <c r="W9" s="2419" t="str">
        <f>IF(W8="","",INDEX(DIFFERENTIATION_UNMERGE_VD,MATCH(W8,DIFFERENTIATION_ID_DIFF,0)))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X9" s="2420"/>
      <c r="Y9" s="2419" t="str">
        <f>IF(Y8="","",INDEX(DIFFERENTIATION_UNMERGE_VD,MATCH(Y8,DIFFERENTIATION_ID_DIFF,0)))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Z9" s="2420"/>
      <c r="AA9" s="2419" t="str">
        <f>IF(AA8="","",INDEX(DIFFERENTIATION_UNMERGE_VD,MATCH(AA8,DIFFERENTIATION_ID_DIFF,0)))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B9" s="2420"/>
      <c r="AC9" s="2419" t="str">
        <f>IF(AC8="","",INDEX(DIFFERENTIATION_UNMERGE_VD,MATCH(AC8,DIFFERENTIATION_ID_DIFF,0)))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D9" s="2420"/>
      <c r="AE9" s="2419" t="str">
        <f>IF(AE8="","",INDEX(DIFFERENTIATION_UNMERGE_VD,MATCH(AE8,DIFFERENTIATION_ID_DIFF,0)))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F9" s="2420"/>
      <c r="AG9" s="2419" t="str">
        <f>IF(AG8="","",INDEX(DIFFERENTIATION_UNMERGE_VD,MATCH(AG8,DIFFERENTIATION_ID_DIFF,0)))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H9" s="2420"/>
      <c r="AI9" s="2419" t="str">
        <f>IF(AI8="","",INDEX(DIFFERENTIATION_UNMERGE_VD,MATCH(AI8,DIFFERENTIATION_ID_DIFF,0)))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J9" s="2420"/>
      <c r="AK9" s="2419" t="str">
        <f>IF(AK8="","",INDEX(DIFFERENTIATION_UNMERGE_VD,MATCH(AK8,DIFFERENTIATION_ID_DIFF,0)))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L9" s="2420"/>
      <c r="AM9" s="2199" t="s">
        <v>385</v>
      </c>
      <c r="AX9" s="529">
        <v>15</v>
      </c>
    </row>
    <row s="1659" customFormat="1" customHeight="1" ht="15.75">
      <c r="A10" s="783"/>
      <c r="C10" s="200"/>
      <c r="D10" s="735"/>
      <c r="E10" s="2391" t="s">
        <v>648</v>
      </c>
      <c r="F10" s="2392"/>
      <c r="G10" s="2419" t="str">
        <f>IF(G8="","",INDEX(DIFFERENTIATION_UNMERGE_AREA,MATCH(G8,DIFFERENTIATION_ID_DIFF,0)))</f>
        <v/>
      </c>
      <c r="H10" s="2420"/>
      <c r="I10" s="2419" t="str">
        <f>IF(I8="","",INDEX(DIFFERENTIATION_UNMERGE_AREA,MATCH(I8,DIFFERENTIATION_ID_DIFF,0)))</f>
        <v>Территория 1</v>
      </c>
      <c r="J10" s="2420"/>
      <c r="K10" s="2419" t="str">
        <f>IF(K8="","",INDEX(DIFFERENTIATION_UNMERGE_AREA,MATCH(K8,DIFFERENTIATION_ID_DIFF,0)))</f>
        <v>Территория 2</v>
      </c>
      <c r="L10" s="2420"/>
      <c r="M10" s="2419" t="str">
        <f>IF(M8="","",INDEX(DIFFERENTIATION_UNMERGE_AREA,MATCH(M8,DIFFERENTIATION_ID_DIFF,0)))</f>
        <v>Территория 2</v>
      </c>
      <c r="N10" s="2420"/>
      <c r="O10" s="2419" t="str">
        <f>IF(O8="","",INDEX(DIFFERENTIATION_UNMERGE_AREA,MATCH(O8,DIFFERENTIATION_ID_DIFF,0)))</f>
        <v>Территория 3</v>
      </c>
      <c r="P10" s="2420"/>
      <c r="Q10" s="2419" t="str">
        <f>IF(Q8="","",INDEX(DIFFERENTIATION_UNMERGE_AREA,MATCH(Q8,DIFFERENTIATION_ID_DIFF,0)))</f>
        <v>Территория 3</v>
      </c>
      <c r="R10" s="2420"/>
      <c r="S10" s="2419" t="str">
        <f>IF(S8="","",INDEX(DIFFERENTIATION_UNMERGE_AREA,MATCH(S8,DIFFERENTIATION_ID_DIFF,0)))</f>
        <v>Территория 3</v>
      </c>
      <c r="T10" s="2420"/>
      <c r="U10" s="2419" t="str">
        <f>IF(U8="","",INDEX(DIFFERENTIATION_UNMERGE_AREA,MATCH(U8,DIFFERENTIATION_ID_DIFF,0)))</f>
        <v>Территория 3</v>
      </c>
      <c r="V10" s="2420"/>
      <c r="W10" s="2419" t="str">
        <f>IF(W8="","",INDEX(DIFFERENTIATION_UNMERGE_AREA,MATCH(W8,DIFFERENTIATION_ID_DIFF,0)))</f>
        <v>Территория 4</v>
      </c>
      <c r="X10" s="2420"/>
      <c r="Y10" s="2419" t="str">
        <f>IF(Y8="","",INDEX(DIFFERENTIATION_UNMERGE_AREA,MATCH(Y8,DIFFERENTIATION_ID_DIFF,0)))</f>
        <v>Территория 5</v>
      </c>
      <c r="Z10" s="2420"/>
      <c r="AA10" s="2419" t="str">
        <f>IF(AA8="","",INDEX(DIFFERENTIATION_UNMERGE_AREA,MATCH(AA8,DIFFERENTIATION_ID_DIFF,0)))</f>
        <v>Территория 6</v>
      </c>
      <c r="AB10" s="2420"/>
      <c r="AC10" s="2419" t="str">
        <f>IF(AC8="","",INDEX(DIFFERENTIATION_UNMERGE_AREA,MATCH(AC8,DIFFERENTIATION_ID_DIFF,0)))</f>
        <v>Территория 7</v>
      </c>
      <c r="AD10" s="2420"/>
      <c r="AE10" s="2419" t="str">
        <f>IF(AE8="","",INDEX(DIFFERENTIATION_UNMERGE_AREA,MATCH(AE8,DIFFERENTIATION_ID_DIFF,0)))</f>
        <v>Территория 8</v>
      </c>
      <c r="AF10" s="2420"/>
      <c r="AG10" s="2419" t="str">
        <f>IF(AG8="","",INDEX(DIFFERENTIATION_UNMERGE_AREA,MATCH(AG8,DIFFERENTIATION_ID_DIFF,0)))</f>
        <v>Территория 8</v>
      </c>
      <c r="AH10" s="2420"/>
      <c r="AI10" s="2419" t="str">
        <f>IF(AI8="","",INDEX(DIFFERENTIATION_UNMERGE_AREA,MATCH(AI8,DIFFERENTIATION_ID_DIFF,0)))</f>
        <v>Территория 9</v>
      </c>
      <c r="AJ10" s="2420"/>
      <c r="AK10" s="2419" t="str">
        <f>IF(AK8="","",INDEX(DIFFERENTIATION_UNMERGE_AREA,MATCH(AK8,DIFFERENTIATION_ID_DIFF,0)))</f>
        <v>Территория 10</v>
      </c>
      <c r="AL10" s="2420"/>
      <c r="AM10" s="2223"/>
      <c r="AW10" s="699"/>
      <c r="AX10" s="782">
        <v>15</v>
      </c>
    </row>
    <row s="1659" customFormat="1" customHeight="1" ht="15.75">
      <c r="A11" s="783"/>
      <c r="C11" s="200"/>
      <c r="D11" s="735"/>
      <c r="E11" s="2391" t="s">
        <v>649</v>
      </c>
      <c r="F11" s="2392"/>
      <c r="G11" s="2419" t="str">
        <f>IF(G8="","",INDEX(DIFFERENTIATION_UNMERGE_SYSTEM,MATCH(G8,DIFFERENTIATION_ID_DIFF,0)))</f>
        <v/>
      </c>
      <c r="H11" s="2420"/>
      <c r="I11" s="2419" t="str">
        <f>IF(I8="","",INDEX(DIFFERENTIATION_UNMERGE_SYSTEM,MATCH(I8,DIFFERENTIATION_ID_DIFF,0)))</f>
        <v>Амурская ТЭЦ-1 (г. Амурск)</v>
      </c>
      <c r="J11" s="2420"/>
      <c r="K11" s="2419" t="str">
        <f>IF(K8="","",INDEX(DIFFERENTIATION_UNMERGE_SYSTEM,MATCH(K8,DIFFERENTIATION_ID_DIFF,0)))</f>
        <v>Николаевская ТЭЦ (г. Николаевск)</v>
      </c>
      <c r="L11" s="2420"/>
      <c r="M11" s="2419" t="str">
        <f>IF(M8="","",INDEX(DIFFERENTIATION_UNMERGE_SYSTEM,MATCH(M8,DIFFERENTIATION_ID_DIFF,0)))</f>
        <v>котельная "Аэропорт"</v>
      </c>
      <c r="N11" s="2420"/>
      <c r="O11" s="2419" t="str">
        <f>IF(O8="","",INDEX(DIFFERENTIATION_UNMERGE_SYSTEM,MATCH(O8,DIFFERENTIATION_ID_DIFF,0)))</f>
        <v>Комсомольская ТЭЦ-1 (г. Комсомольск)</v>
      </c>
      <c r="P11" s="2420"/>
      <c r="Q11" s="2419" t="str">
        <f>IF(Q8="","",INDEX(DIFFERENTIATION_UNMERGE_SYSTEM,MATCH(Q8,DIFFERENTIATION_ID_DIFF,0)))</f>
        <v>Комсомольская ТЭЦ-2 (г. Комсомольск)</v>
      </c>
      <c r="R11" s="2420"/>
      <c r="S11" s="2419" t="str">
        <f>IF(S8="","",INDEX(DIFFERENTIATION_UNMERGE_SYSTEM,MATCH(S8,DIFFERENTIATION_ID_DIFF,0)))</f>
        <v>Комсомольская ТЭЦ-3 (г. Комсомольск)</v>
      </c>
      <c r="T11" s="2420"/>
      <c r="U11" s="2419" t="str">
        <f>IF(U8="","",INDEX(DIFFERENTIATION_UNMERGE_SYSTEM,MATCH(U8,DIFFERENTIATION_ID_DIFF,0)))</f>
        <v>ВК "Дземги" (г. Комсомольск)</v>
      </c>
      <c r="V11" s="2420"/>
      <c r="W11" s="2419" t="str">
        <f>IF(W8="","",INDEX(DIFFERENTIATION_UNMERGE_SYSTEM,MATCH(W8,DIFFERENTIATION_ID_DIFF,0)))</f>
        <v>ТЭЦ в г. Советская Гавань</v>
      </c>
      <c r="X11" s="2420"/>
      <c r="Y11" s="2419" t="str">
        <f>IF(Y8="","",INDEX(DIFFERENTIATION_UNMERGE_SYSTEM,MATCH(Y8,DIFFERENTIATION_ID_DIFF,0)))</f>
        <v>Майская котельная </v>
      </c>
      <c r="Z11" s="2420"/>
      <c r="AA11" s="2419" t="str">
        <f>IF(AA8="","",INDEX(DIFFERENTIATION_UNMERGE_SYSTEM,MATCH(AA8,DIFFERENTIATION_ID_DIFF,0)))</f>
        <v>Ургальская котельная (п. Чегдомын)</v>
      </c>
      <c r="AB11" s="2420"/>
      <c r="AC11" s="2419" t="str">
        <f>IF(AC8="","",INDEX(DIFFERENTIATION_UNMERGE_SYSTEM,MATCH(AC8,DIFFERENTIATION_ID_DIFF,0)))</f>
        <v>Хабаровская ТЭЦ-1 (г. Хабаровск, с. Ильинское, п. Корфовский, с. Ракитненское)</v>
      </c>
      <c r="AD11" s="2420"/>
      <c r="AE11" s="2419" t="str">
        <f>IF(AE8="","",INDEX(DIFFERENTIATION_UNMERGE_SYSTEM,MATCH(AE8,DIFFERENTIATION_ID_DIFF,0)))</f>
        <v>Хабаровская ТЭЦ-2 (г. Хабаровск)</v>
      </c>
      <c r="AF11" s="2420"/>
      <c r="AG11" s="2419" t="str">
        <f>IF(AG8="","",INDEX(DIFFERENTIATION_UNMERGE_SYSTEM,MATCH(AG8,DIFFERENTIATION_ID_DIFF,0)))</f>
        <v>Котельная в Волочаевском городке</v>
      </c>
      <c r="AH11" s="2420"/>
      <c r="AI11" s="2419" t="str">
        <f>IF(AI8="","",INDEX(DIFFERENTIATION_UNMERGE_SYSTEM,MATCH(AI8,DIFFERENTIATION_ID_DIFF,0)))</f>
        <v>Хабаровская ТЭЦ-3 (г. Хабаровск, с. Восточное, с. Мирненское, с. Тополевское)</v>
      </c>
      <c r="AJ11" s="2420"/>
      <c r="AK11" s="2419" t="str">
        <f>IF(AK8="","",INDEX(DIFFERENTIATION_UNMERGE_SYSTEM,MATCH(AK8,DIFFERENTIATION_ID_DIFF,0)))</f>
        <v>Котельная в с. Некрасовка (с. Дружбинское, с. Некрасовское) </v>
      </c>
      <c r="AL11" s="2420"/>
      <c r="AM11" s="2223"/>
      <c r="AW11" s="699"/>
      <c r="AX11" s="782">
        <v>15</v>
      </c>
    </row>
    <row s="1659" customFormat="1" customHeight="1" ht="15.75">
      <c r="A12" s="783"/>
      <c r="C12" s="200"/>
      <c r="D12" s="2393" t="s">
        <v>384</v>
      </c>
      <c r="E12" s="2394"/>
      <c r="F12" s="2394"/>
      <c r="G12" s="911"/>
      <c r="H12" s="911"/>
      <c r="I12" s="911"/>
      <c r="J12" s="911"/>
      <c r="K12" s="2391"/>
      <c r="L12" s="2391"/>
      <c r="M12" s="2391"/>
      <c r="N12" s="2391"/>
      <c r="O12" s="2391"/>
      <c r="P12" s="2391"/>
      <c r="Q12" s="2391"/>
      <c r="R12" s="2391"/>
      <c r="S12" s="2391"/>
      <c r="T12" s="2391"/>
      <c r="U12" s="2391"/>
      <c r="V12" s="2391"/>
      <c r="W12" s="2391"/>
      <c r="X12" s="2391"/>
      <c r="Y12" s="2391"/>
      <c r="Z12" s="2391"/>
      <c r="AA12" s="2391"/>
      <c r="AB12" s="2391"/>
      <c r="AC12" s="2391"/>
      <c r="AD12" s="2391"/>
      <c r="AE12" s="2391"/>
      <c r="AF12" s="2391"/>
      <c r="AG12" s="2391"/>
      <c r="AH12" s="2391"/>
      <c r="AI12" s="2391"/>
      <c r="AJ12" s="2391"/>
      <c r="AK12" s="2391"/>
      <c r="AL12" s="2391"/>
      <c r="AM12" s="2223"/>
      <c r="AW12" s="699"/>
      <c r="AX12" s="782">
        <v>15</v>
      </c>
    </row>
    <row customHeight="1" ht="35.699999999999996">
      <c r="C13" s="200"/>
      <c r="D13" s="829" t="s">
        <v>88</v>
      </c>
      <c r="E13" s="831" t="s">
        <v>386</v>
      </c>
      <c r="F13" s="831" t="s">
        <v>650</v>
      </c>
      <c r="G13" s="832" t="s">
        <v>387</v>
      </c>
      <c r="H13" s="831" t="s">
        <v>474</v>
      </c>
      <c r="I13" s="832" t="s">
        <v>387</v>
      </c>
      <c r="J13" s="831" t="s">
        <v>474</v>
      </c>
      <c r="K13" s="2286" t="s">
        <v>387</v>
      </c>
      <c r="L13" s="2336" t="s">
        <v>474</v>
      </c>
      <c r="M13" s="2286" t="s">
        <v>387</v>
      </c>
      <c r="N13" s="2336" t="s">
        <v>474</v>
      </c>
      <c r="O13" s="2286" t="s">
        <v>387</v>
      </c>
      <c r="P13" s="2336" t="s">
        <v>474</v>
      </c>
      <c r="Q13" s="2286" t="s">
        <v>387</v>
      </c>
      <c r="R13" s="2336" t="s">
        <v>474</v>
      </c>
      <c r="S13" s="2286" t="s">
        <v>387</v>
      </c>
      <c r="T13" s="2336" t="s">
        <v>474</v>
      </c>
      <c r="U13" s="2286" t="s">
        <v>387</v>
      </c>
      <c r="V13" s="2336" t="s">
        <v>474</v>
      </c>
      <c r="W13" s="2286" t="s">
        <v>387</v>
      </c>
      <c r="X13" s="2336" t="s">
        <v>474</v>
      </c>
      <c r="Y13" s="2286" t="s">
        <v>387</v>
      </c>
      <c r="Z13" s="2336" t="s">
        <v>474</v>
      </c>
      <c r="AA13" s="2286" t="s">
        <v>387</v>
      </c>
      <c r="AB13" s="2336" t="s">
        <v>474</v>
      </c>
      <c r="AC13" s="2286" t="s">
        <v>387</v>
      </c>
      <c r="AD13" s="2336" t="s">
        <v>474</v>
      </c>
      <c r="AE13" s="2286" t="s">
        <v>387</v>
      </c>
      <c r="AF13" s="2336" t="s">
        <v>474</v>
      </c>
      <c r="AG13" s="2286" t="s">
        <v>387</v>
      </c>
      <c r="AH13" s="2336" t="s">
        <v>474</v>
      </c>
      <c r="AI13" s="2286" t="s">
        <v>387</v>
      </c>
      <c r="AJ13" s="2336" t="s">
        <v>474</v>
      </c>
      <c r="AK13" s="2286" t="s">
        <v>387</v>
      </c>
      <c r="AL13" s="2336" t="s">
        <v>474</v>
      </c>
      <c r="AM13" s="2256"/>
      <c r="AX13" s="529">
        <v>34</v>
      </c>
    </row>
    <row customHeight="1" ht="15" hidden="1">
      <c r="C14" s="200"/>
      <c r="D14" s="617" t="s">
        <v>170</v>
      </c>
      <c r="E14" s="617" t="s">
        <v>103</v>
      </c>
      <c r="F14" s="617" t="s">
        <v>90</v>
      </c>
      <c r="G14" s="683" t="str">
        <f>G1&amp;".1"</f>
        <v>4.1</v>
      </c>
      <c r="H14" s="683"/>
      <c r="I14" s="683" t="str">
        <f>I1&amp;".1"</f>
        <v>4.1</v>
      </c>
      <c r="J14" s="683"/>
      <c r="K14" s="707" t="str">
        <f>K1&amp;".1"</f>
        <v>4.1</v>
      </c>
      <c r="L14" s="707"/>
      <c r="M14" s="707" t="str">
        <f>M1&amp;".1"</f>
        <v>4.1</v>
      </c>
      <c r="N14" s="707"/>
      <c r="O14" s="707" t="str">
        <f>O1&amp;".1"</f>
        <v>4.1</v>
      </c>
      <c r="P14" s="707"/>
      <c r="Q14" s="707" t="str">
        <f>Q1&amp;".1"</f>
        <v>4.1</v>
      </c>
      <c r="R14" s="707"/>
      <c r="S14" s="707" t="str">
        <f>S1&amp;".1"</f>
        <v>4.1</v>
      </c>
      <c r="T14" s="707"/>
      <c r="U14" s="707" t="str">
        <f>U1&amp;".1"</f>
        <v>4.1</v>
      </c>
      <c r="V14" s="707"/>
      <c r="W14" s="707" t="str">
        <f>W1&amp;".1"</f>
        <v>4.1</v>
      </c>
      <c r="X14" s="707"/>
      <c r="Y14" s="707" t="str">
        <f>Y1&amp;".1"</f>
        <v>4.1</v>
      </c>
      <c r="Z14" s="707"/>
      <c r="AA14" s="707" t="str">
        <f>AA1&amp;".1"</f>
        <v>4.1</v>
      </c>
      <c r="AB14" s="707"/>
      <c r="AC14" s="707" t="str">
        <f>AC1&amp;".1"</f>
        <v>4.1</v>
      </c>
      <c r="AD14" s="707"/>
      <c r="AE14" s="707" t="str">
        <f>AE1&amp;".1"</f>
        <v>4.1</v>
      </c>
      <c r="AF14" s="707"/>
      <c r="AG14" s="707" t="str">
        <f>AG1&amp;".1"</f>
        <v>4.1</v>
      </c>
      <c r="AH14" s="707"/>
      <c r="AI14" s="707" t="str">
        <f>AI1&amp;".1"</f>
        <v>4.1</v>
      </c>
      <c r="AJ14" s="707"/>
      <c r="AK14" s="707" t="str">
        <f>AK1&amp;".1"</f>
        <v>4.1</v>
      </c>
      <c r="AL14" s="707"/>
      <c r="AM14" s="313"/>
      <c r="AX14" s="529">
        <v>0</v>
      </c>
    </row>
    <row customHeight="1" ht="22.5" hidden="1">
      <c r="A15" s="529"/>
      <c r="C15" s="550"/>
      <c r="D15" s="545">
        <v>1</v>
      </c>
      <c r="E15" s="701" t="s">
        <v>906</v>
      </c>
      <c r="F15" s="545" t="s">
        <v>907</v>
      </c>
      <c r="G15" s="702"/>
      <c r="H15" s="702"/>
      <c r="I15" s="702"/>
      <c r="J15" s="702"/>
      <c r="K15" s="702"/>
      <c r="L15" s="702"/>
      <c r="M15" s="702"/>
      <c r="N15" s="702"/>
      <c r="O15" s="702"/>
      <c r="P15" s="702"/>
      <c r="Q15" s="702"/>
      <c r="R15" s="702"/>
      <c r="S15" s="702"/>
      <c r="T15" s="702"/>
      <c r="U15" s="702"/>
      <c r="V15" s="702"/>
      <c r="W15" s="702"/>
      <c r="X15" s="702"/>
      <c r="Y15" s="702"/>
      <c r="Z15" s="702"/>
      <c r="AA15" s="702"/>
      <c r="AB15" s="702"/>
      <c r="AC15" s="702"/>
      <c r="AD15" s="702"/>
      <c r="AE15" s="702"/>
      <c r="AF15" s="702"/>
      <c r="AG15" s="702"/>
      <c r="AH15" s="702"/>
      <c r="AI15" s="702"/>
      <c r="AJ15" s="702"/>
      <c r="AK15" s="702"/>
      <c r="AL15" s="702"/>
      <c r="AM15" s="313" t="s">
        <v>908</v>
      </c>
      <c r="AX15" s="529">
        <v>0</v>
      </c>
    </row>
    <row customHeight="1" ht="22.5" hidden="1">
      <c r="A16" s="529"/>
      <c r="C16" s="550"/>
      <c r="D16" s="545">
        <v>2</v>
      </c>
      <c r="E16" s="303" t="s">
        <v>909</v>
      </c>
      <c r="F16" s="545" t="s">
        <v>910</v>
      </c>
      <c r="G16" s="702"/>
      <c r="H16" s="702"/>
      <c r="I16" s="702"/>
      <c r="J16" s="702"/>
      <c r="K16" s="702"/>
      <c r="L16" s="702"/>
      <c r="M16" s="702"/>
      <c r="N16" s="702"/>
      <c r="O16" s="702"/>
      <c r="P16" s="702"/>
      <c r="Q16" s="702"/>
      <c r="R16" s="702"/>
      <c r="S16" s="702"/>
      <c r="T16" s="702"/>
      <c r="U16" s="702"/>
      <c r="V16" s="702"/>
      <c r="W16" s="702"/>
      <c r="X16" s="702"/>
      <c r="Y16" s="702"/>
      <c r="Z16" s="702"/>
      <c r="AA16" s="702"/>
      <c r="AB16" s="702"/>
      <c r="AC16" s="702"/>
      <c r="AD16" s="702"/>
      <c r="AE16" s="702"/>
      <c r="AF16" s="702"/>
      <c r="AG16" s="702"/>
      <c r="AH16" s="702"/>
      <c r="AI16" s="702"/>
      <c r="AJ16" s="702"/>
      <c r="AK16" s="702"/>
      <c r="AL16" s="702"/>
      <c r="AM16" s="313" t="s">
        <v>911</v>
      </c>
      <c r="AX16" s="529">
        <v>0</v>
      </c>
    </row>
    <row customHeight="1" ht="123.75" hidden="1">
      <c r="A17" s="529"/>
      <c r="C17" s="550"/>
      <c r="D17" s="545">
        <v>3</v>
      </c>
      <c r="E17" s="303" t="s">
        <v>1493</v>
      </c>
      <c r="F17" s="545" t="s">
        <v>390</v>
      </c>
      <c r="G17" s="702"/>
      <c r="H17" s="702"/>
      <c r="I17" s="702"/>
      <c r="J17" s="702"/>
      <c r="K17" s="702"/>
      <c r="L17" s="702"/>
      <c r="M17" s="702"/>
      <c r="N17" s="702"/>
      <c r="O17" s="702"/>
      <c r="P17" s="702"/>
      <c r="Q17" s="702"/>
      <c r="R17" s="702"/>
      <c r="S17" s="702"/>
      <c r="T17" s="702"/>
      <c r="U17" s="702"/>
      <c r="V17" s="702"/>
      <c r="W17" s="702"/>
      <c r="X17" s="702"/>
      <c r="Y17" s="702"/>
      <c r="Z17" s="702"/>
      <c r="AA17" s="702"/>
      <c r="AB17" s="702"/>
      <c r="AC17" s="702"/>
      <c r="AD17" s="702"/>
      <c r="AE17" s="702"/>
      <c r="AF17" s="702"/>
      <c r="AG17" s="702"/>
      <c r="AH17" s="702"/>
      <c r="AI17" s="702"/>
      <c r="AJ17" s="702"/>
      <c r="AK17" s="702"/>
      <c r="AL17" s="702"/>
      <c r="AM17" s="313" t="s">
        <v>1494</v>
      </c>
      <c r="AX17" s="529">
        <v>0</v>
      </c>
    </row>
    <row customHeight="1" ht="48.29999999999999">
      <c r="A18" s="529"/>
      <c r="C18" s="550"/>
      <c r="D18" s="545">
        <v>3</v>
      </c>
      <c r="E18" s="303" t="s">
        <v>912</v>
      </c>
      <c r="F18" s="545" t="s">
        <v>390</v>
      </c>
      <c r="G18" s="833" t="s">
        <v>390</v>
      </c>
      <c r="H18" s="834" t="s">
        <v>390</v>
      </c>
      <c r="I18" s="545" t="s">
        <v>390</v>
      </c>
      <c r="J18" s="602" t="s">
        <v>390</v>
      </c>
      <c r="K18" s="2336" t="s">
        <v>390</v>
      </c>
      <c r="L18" s="2284" t="s">
        <v>390</v>
      </c>
      <c r="M18" s="2336" t="s">
        <v>390</v>
      </c>
      <c r="N18" s="2284" t="s">
        <v>390</v>
      </c>
      <c r="O18" s="2336" t="s">
        <v>390</v>
      </c>
      <c r="P18" s="2284" t="s">
        <v>390</v>
      </c>
      <c r="Q18" s="2336" t="s">
        <v>390</v>
      </c>
      <c r="R18" s="2284" t="s">
        <v>390</v>
      </c>
      <c r="S18" s="2336" t="s">
        <v>390</v>
      </c>
      <c r="T18" s="2284" t="s">
        <v>390</v>
      </c>
      <c r="U18" s="2336" t="s">
        <v>390</v>
      </c>
      <c r="V18" s="2284" t="s">
        <v>390</v>
      </c>
      <c r="W18" s="2336" t="s">
        <v>390</v>
      </c>
      <c r="X18" s="2284" t="s">
        <v>390</v>
      </c>
      <c r="Y18" s="2336" t="s">
        <v>390</v>
      </c>
      <c r="Z18" s="2284" t="s">
        <v>390</v>
      </c>
      <c r="AA18" s="2336" t="s">
        <v>390</v>
      </c>
      <c r="AB18" s="2284" t="s">
        <v>390</v>
      </c>
      <c r="AC18" s="2336" t="s">
        <v>390</v>
      </c>
      <c r="AD18" s="2284" t="s">
        <v>390</v>
      </c>
      <c r="AE18" s="2336" t="s">
        <v>390</v>
      </c>
      <c r="AF18" s="2284" t="s">
        <v>390</v>
      </c>
      <c r="AG18" s="2336" t="s">
        <v>390</v>
      </c>
      <c r="AH18" s="2284" t="s">
        <v>390</v>
      </c>
      <c r="AI18" s="2336" t="s">
        <v>390</v>
      </c>
      <c r="AJ18" s="2284" t="s">
        <v>390</v>
      </c>
      <c r="AK18" s="2336" t="s">
        <v>390</v>
      </c>
      <c r="AL18" s="2284" t="s">
        <v>390</v>
      </c>
      <c r="AM18" s="313" t="s">
        <v>1495</v>
      </c>
      <c r="AX18" s="529">
        <v>46</v>
      </c>
    </row>
    <row customHeight="1" ht="35.699999999999996">
      <c r="A19" s="529"/>
      <c r="C19" s="550"/>
      <c r="D19" s="563" t="s">
        <v>408</v>
      </c>
      <c r="E19" s="583" t="s">
        <v>914</v>
      </c>
      <c r="F19" s="545" t="s">
        <v>915</v>
      </c>
      <c r="G19" s="841"/>
      <c r="H19" s="130"/>
      <c r="I19" s="841"/>
      <c r="J19" s="842"/>
      <c r="K19" s="841"/>
      <c r="L19" s="2525"/>
      <c r="M19" s="841"/>
      <c r="N19" s="2525"/>
      <c r="O19" s="841"/>
      <c r="P19" s="2525"/>
      <c r="Q19" s="841"/>
      <c r="R19" s="2525"/>
      <c r="S19" s="841"/>
      <c r="T19" s="2525"/>
      <c r="U19" s="841"/>
      <c r="V19" s="2525"/>
      <c r="W19" s="841"/>
      <c r="X19" s="2525"/>
      <c r="Y19" s="841"/>
      <c r="Z19" s="2525"/>
      <c r="AA19" s="841"/>
      <c r="AB19" s="2525"/>
      <c r="AC19" s="841"/>
      <c r="AD19" s="2525"/>
      <c r="AE19" s="841"/>
      <c r="AF19" s="2525"/>
      <c r="AG19" s="841"/>
      <c r="AH19" s="2525"/>
      <c r="AI19" s="841"/>
      <c r="AJ19" s="2525"/>
      <c r="AK19" s="841"/>
      <c r="AL19" s="2525"/>
      <c r="AM19" s="703"/>
      <c r="AX19" s="529">
        <v>34</v>
      </c>
    </row>
    <row customHeight="1" ht="35.699999999999996">
      <c r="A20" s="529"/>
      <c r="C20" s="550"/>
      <c r="D20" s="1914" t="s">
        <v>416</v>
      </c>
      <c r="E20" s="583" t="s">
        <v>916</v>
      </c>
      <c r="F20" s="545" t="s">
        <v>917</v>
      </c>
      <c r="G20" s="841"/>
      <c r="H20" s="130"/>
      <c r="I20" s="841"/>
      <c r="J20" s="130"/>
      <c r="K20" s="841"/>
      <c r="L20" s="2525"/>
      <c r="M20" s="841"/>
      <c r="N20" s="2525"/>
      <c r="O20" s="841"/>
      <c r="P20" s="2525"/>
      <c r="Q20" s="841"/>
      <c r="R20" s="2525"/>
      <c r="S20" s="841"/>
      <c r="T20" s="2525"/>
      <c r="U20" s="841"/>
      <c r="V20" s="2525"/>
      <c r="W20" s="841"/>
      <c r="X20" s="2525"/>
      <c r="Y20" s="841"/>
      <c r="Z20" s="2525"/>
      <c r="AA20" s="841"/>
      <c r="AB20" s="2525"/>
      <c r="AC20" s="841"/>
      <c r="AD20" s="2525"/>
      <c r="AE20" s="841"/>
      <c r="AF20" s="2525"/>
      <c r="AG20" s="841"/>
      <c r="AH20" s="2525"/>
      <c r="AI20" s="841"/>
      <c r="AJ20" s="2525"/>
      <c r="AK20" s="841"/>
      <c r="AL20" s="2525"/>
      <c r="AM20" s="703"/>
      <c r="AX20" s="529">
        <v>34</v>
      </c>
    </row>
    <row customHeight="1" ht="48.29999999999999">
      <c r="A21" s="529"/>
      <c r="C21" s="550"/>
      <c r="D21" s="1914" t="s">
        <v>418</v>
      </c>
      <c r="E21" s="583" t="s">
        <v>918</v>
      </c>
      <c r="F21" s="545" t="s">
        <v>655</v>
      </c>
      <c r="G21" s="704"/>
      <c r="H21" s="130"/>
      <c r="I21" s="704"/>
      <c r="J21" s="130"/>
      <c r="K21" s="704"/>
      <c r="L21" s="2525"/>
      <c r="M21" s="704"/>
      <c r="N21" s="2525"/>
      <c r="O21" s="704"/>
      <c r="P21" s="2525"/>
      <c r="Q21" s="704"/>
      <c r="R21" s="2525"/>
      <c r="S21" s="704"/>
      <c r="T21" s="2525"/>
      <c r="U21" s="704"/>
      <c r="V21" s="2525"/>
      <c r="W21" s="704"/>
      <c r="X21" s="2525"/>
      <c r="Y21" s="704"/>
      <c r="Z21" s="2525"/>
      <c r="AA21" s="704"/>
      <c r="AB21" s="2525"/>
      <c r="AC21" s="704"/>
      <c r="AD21" s="2525"/>
      <c r="AE21" s="704"/>
      <c r="AF21" s="2525"/>
      <c r="AG21" s="704"/>
      <c r="AH21" s="2525"/>
      <c r="AI21" s="704"/>
      <c r="AJ21" s="2525"/>
      <c r="AK21" s="704"/>
      <c r="AL21" s="2525"/>
      <c r="AM21" s="703"/>
      <c r="AX21" s="529">
        <v>46</v>
      </c>
    </row>
    <row customHeight="1" ht="67.5" hidden="1">
      <c r="A22" s="529"/>
      <c r="C22" s="550"/>
      <c r="D22" s="545">
        <v>5</v>
      </c>
      <c r="E22" s="303" t="s">
        <v>1496</v>
      </c>
      <c r="F22" s="545" t="s">
        <v>642</v>
      </c>
      <c r="G22" s="705"/>
      <c r="H22" s="706"/>
      <c r="I22" s="705"/>
      <c r="J22" s="706"/>
      <c r="K22" s="705"/>
      <c r="L22" s="1463"/>
      <c r="M22" s="705"/>
      <c r="N22" s="1463"/>
      <c r="O22" s="705"/>
      <c r="P22" s="1463"/>
      <c r="Q22" s="705"/>
      <c r="R22" s="1463"/>
      <c r="S22" s="705"/>
      <c r="T22" s="1463"/>
      <c r="U22" s="705"/>
      <c r="V22" s="1463"/>
      <c r="W22" s="705"/>
      <c r="X22" s="1463"/>
      <c r="Y22" s="705"/>
      <c r="Z22" s="1463"/>
      <c r="AA22" s="705"/>
      <c r="AB22" s="1463"/>
      <c r="AC22" s="705"/>
      <c r="AD22" s="1463"/>
      <c r="AE22" s="705"/>
      <c r="AF22" s="1463"/>
      <c r="AG22" s="705"/>
      <c r="AH22" s="1463"/>
      <c r="AI22" s="705"/>
      <c r="AJ22" s="1463"/>
      <c r="AK22" s="705"/>
      <c r="AL22" s="1463"/>
      <c r="AM22" s="313" t="s">
        <v>1497</v>
      </c>
      <c r="AX22" s="529">
        <v>0</v>
      </c>
    </row>
    <row customHeight="1" ht="33.75" hidden="1">
      <c r="C23" s="475"/>
      <c r="D23" s="545">
        <v>6</v>
      </c>
      <c r="E23" s="303" t="s">
        <v>1498</v>
      </c>
      <c r="F23" s="545" t="s">
        <v>1499</v>
      </c>
      <c r="G23" s="705"/>
      <c r="H23" s="705"/>
      <c r="I23" s="705"/>
      <c r="J23" s="705"/>
      <c r="K23" s="705"/>
      <c r="L23" s="705"/>
      <c r="M23" s="705"/>
      <c r="N23" s="705"/>
      <c r="O23" s="705"/>
      <c r="P23" s="705"/>
      <c r="Q23" s="705"/>
      <c r="R23" s="705"/>
      <c r="S23" s="705"/>
      <c r="T23" s="705"/>
      <c r="U23" s="705"/>
      <c r="V23" s="705"/>
      <c r="W23" s="705"/>
      <c r="X23" s="705"/>
      <c r="Y23" s="705"/>
      <c r="Z23" s="705"/>
      <c r="AA23" s="705"/>
      <c r="AB23" s="705"/>
      <c r="AC23" s="705"/>
      <c r="AD23" s="705"/>
      <c r="AE23" s="705"/>
      <c r="AF23" s="705"/>
      <c r="AG23" s="705"/>
      <c r="AH23" s="705"/>
      <c r="AI23" s="705"/>
      <c r="AJ23" s="705"/>
      <c r="AK23" s="705"/>
      <c r="AL23" s="705"/>
      <c r="AM23" s="313" t="s">
        <v>1500</v>
      </c>
      <c r="AX23" s="529">
        <v>0</v>
      </c>
    </row>
    <row customHeight="1" ht="15.75">
      <c r="K24" s="1659"/>
      <c r="L24" s="1659"/>
      <c r="M24" s="1659"/>
      <c r="N24" s="1659"/>
      <c r="O24" s="1659"/>
      <c r="P24" s="1659"/>
      <c r="Q24" s="1659"/>
      <c r="R24" s="1659"/>
      <c r="S24" s="1659"/>
      <c r="T24" s="1659"/>
      <c r="U24" s="1659"/>
      <c r="V24" s="1659"/>
      <c r="W24" s="1659"/>
      <c r="X24" s="1659"/>
      <c r="Y24" s="1659"/>
      <c r="Z24" s="1659"/>
      <c r="AA24" s="1659"/>
      <c r="AB24" s="1659"/>
      <c r="AC24" s="1659"/>
      <c r="AD24" s="1659"/>
      <c r="AE24" s="1659"/>
      <c r="AF24" s="1659"/>
      <c r="AG24" s="1659"/>
      <c r="AH24" s="1659"/>
      <c r="AI24" s="1659"/>
      <c r="AJ24" s="1659"/>
      <c r="AK24" s="1659"/>
      <c r="AL24" s="1659"/>
      <c r="AX24" s="529">
        <v>15</v>
      </c>
    </row>
    <row customHeight="1" ht="15.75">
      <c r="K25" s="1659"/>
      <c r="L25" s="1659"/>
      <c r="M25" s="1659"/>
      <c r="N25" s="1659"/>
      <c r="O25" s="1659"/>
      <c r="P25" s="1659"/>
      <c r="Q25" s="1659"/>
      <c r="R25" s="1659"/>
      <c r="S25" s="1659"/>
      <c r="T25" s="1659"/>
      <c r="U25" s="1659"/>
      <c r="V25" s="1659"/>
      <c r="W25" s="1659"/>
      <c r="X25" s="1659"/>
      <c r="Y25" s="1659"/>
      <c r="Z25" s="1659"/>
      <c r="AA25" s="1659"/>
      <c r="AB25" s="1659"/>
      <c r="AC25" s="1659"/>
      <c r="AD25" s="1659"/>
      <c r="AE25" s="1659"/>
      <c r="AF25" s="1659"/>
      <c r="AG25" s="1659"/>
      <c r="AH25" s="1659"/>
      <c r="AI25" s="1659"/>
      <c r="AJ25" s="1659"/>
      <c r="AK25" s="1659"/>
      <c r="AL25" s="1659"/>
      <c r="AX25" s="529">
        <v>15</v>
      </c>
    </row>
    <row customHeight="1" ht="15.75">
      <c r="K26" s="1659"/>
      <c r="L26" s="1659"/>
      <c r="M26" s="1659"/>
      <c r="N26" s="1659"/>
      <c r="O26" s="1659"/>
      <c r="P26" s="1659"/>
      <c r="Q26" s="1659"/>
      <c r="R26" s="1659"/>
      <c r="S26" s="1659"/>
      <c r="T26" s="1659"/>
      <c r="U26" s="1659"/>
      <c r="V26" s="1659"/>
      <c r="W26" s="1659"/>
      <c r="X26" s="1659"/>
      <c r="Y26" s="1659"/>
      <c r="Z26" s="1659"/>
      <c r="AA26" s="1659"/>
      <c r="AB26" s="1659"/>
      <c r="AC26" s="1659"/>
      <c r="AD26" s="1659"/>
      <c r="AE26" s="1659"/>
      <c r="AF26" s="1659"/>
      <c r="AG26" s="1659"/>
      <c r="AH26" s="1659"/>
      <c r="AI26" s="1659"/>
      <c r="AJ26" s="1659"/>
      <c r="AK26" s="1659"/>
      <c r="AL26" s="1659"/>
      <c r="AX26" s="529">
        <v>15</v>
      </c>
    </row>
    <row customHeight="1" ht="15.75">
      <c r="K27" s="1659"/>
      <c r="L27" s="1659"/>
      <c r="M27" s="1659"/>
      <c r="N27" s="1659"/>
      <c r="O27" s="1659"/>
      <c r="P27" s="1659"/>
      <c r="Q27" s="1659"/>
      <c r="R27" s="1659"/>
      <c r="S27" s="1659"/>
      <c r="T27" s="1659"/>
      <c r="U27" s="1659"/>
      <c r="V27" s="1659"/>
      <c r="W27" s="1659"/>
      <c r="X27" s="1659"/>
      <c r="Y27" s="1659"/>
      <c r="Z27" s="1659"/>
      <c r="AA27" s="1659"/>
      <c r="AB27" s="1659"/>
      <c r="AC27" s="1659"/>
      <c r="AD27" s="1659"/>
      <c r="AE27" s="1659"/>
      <c r="AF27" s="1659"/>
      <c r="AG27" s="1659"/>
      <c r="AH27" s="1659"/>
      <c r="AI27" s="1659"/>
      <c r="AJ27" s="1659"/>
      <c r="AK27" s="1659"/>
      <c r="AL27" s="1659"/>
      <c r="AX27" s="529">
        <v>15</v>
      </c>
    </row>
    <row customHeight="1" ht="15.75">
      <c r="K28" s="1659"/>
      <c r="L28" s="1659"/>
      <c r="M28" s="1659"/>
      <c r="N28" s="1659"/>
      <c r="O28" s="1659"/>
      <c r="P28" s="1659"/>
      <c r="Q28" s="1659"/>
      <c r="R28" s="1659"/>
      <c r="S28" s="1659"/>
      <c r="T28" s="1659"/>
      <c r="U28" s="1659"/>
      <c r="V28" s="1659"/>
      <c r="W28" s="1659"/>
      <c r="X28" s="1659"/>
      <c r="Y28" s="1659"/>
      <c r="Z28" s="1659"/>
      <c r="AA28" s="1659"/>
      <c r="AB28" s="1659"/>
      <c r="AC28" s="1659"/>
      <c r="AD28" s="1659"/>
      <c r="AE28" s="1659"/>
      <c r="AF28" s="1659"/>
      <c r="AG28" s="1659"/>
      <c r="AH28" s="1659"/>
      <c r="AI28" s="1659"/>
      <c r="AJ28" s="1659"/>
      <c r="AK28" s="1659"/>
      <c r="AL28" s="1659"/>
      <c r="AX28" s="529">
        <v>15</v>
      </c>
    </row>
    <row customHeight="1" ht="15.75">
      <c r="J29" s="843"/>
      <c r="K29" s="1659"/>
      <c r="L29" s="1659"/>
      <c r="M29" s="1659"/>
      <c r="N29" s="1659"/>
      <c r="O29" s="1659"/>
      <c r="P29" s="1659"/>
      <c r="Q29" s="1659"/>
      <c r="R29" s="1659"/>
      <c r="S29" s="1659"/>
      <c r="T29" s="1659"/>
      <c r="U29" s="1659"/>
      <c r="V29" s="1659"/>
      <c r="W29" s="1659"/>
      <c r="X29" s="1659"/>
      <c r="Y29" s="1659"/>
      <c r="Z29" s="1659"/>
      <c r="AA29" s="1659"/>
      <c r="AB29" s="1659"/>
      <c r="AC29" s="1659"/>
      <c r="AD29" s="1659"/>
      <c r="AE29" s="1659"/>
      <c r="AF29" s="1659"/>
      <c r="AG29" s="1659"/>
      <c r="AH29" s="1659"/>
      <c r="AI29" s="1659"/>
      <c r="AJ29" s="1659"/>
      <c r="AK29" s="1659"/>
      <c r="AL29" s="1659"/>
      <c r="AX29" s="529">
        <v>15</v>
      </c>
    </row>
    <row customHeight="1" ht="22.5" hidden="1">
      <c r="A30" s="473" t="s">
        <v>82</v>
      </c>
      <c r="B30" s="529">
        <v>0</v>
      </c>
      <c r="C30" s="707">
        <v>4</v>
      </c>
      <c r="D30" s="529">
        <v>6</v>
      </c>
      <c r="E30" s="529">
        <v>47</v>
      </c>
      <c r="F30" s="529">
        <v>9</v>
      </c>
      <c r="G30" s="782">
        <v>0</v>
      </c>
      <c r="H30" s="782">
        <v>0</v>
      </c>
      <c r="I30" s="529">
        <v>25</v>
      </c>
      <c r="J30" s="529">
        <v>33</v>
      </c>
      <c r="K30" s="1659">
        <v>0</v>
      </c>
      <c r="L30" s="1659">
        <v>0</v>
      </c>
      <c r="M30" s="1659">
        <v>0</v>
      </c>
      <c r="N30" s="1659">
        <v>0</v>
      </c>
      <c r="O30" s="1659">
        <v>0</v>
      </c>
      <c r="P30" s="1659">
        <v>0</v>
      </c>
      <c r="Q30" s="1659">
        <v>0</v>
      </c>
      <c r="R30" s="1659">
        <v>0</v>
      </c>
      <c r="S30" s="1659">
        <v>0</v>
      </c>
      <c r="T30" s="1659">
        <v>0</v>
      </c>
      <c r="U30" s="1659">
        <v>0</v>
      </c>
      <c r="V30" s="1659">
        <v>0</v>
      </c>
      <c r="W30" s="1659">
        <v>0</v>
      </c>
      <c r="X30" s="1659">
        <v>0</v>
      </c>
      <c r="Y30" s="1659">
        <v>0</v>
      </c>
      <c r="Z30" s="1659">
        <v>0</v>
      </c>
      <c r="AA30" s="1659">
        <v>0</v>
      </c>
      <c r="AB30" s="1659">
        <v>0</v>
      </c>
      <c r="AC30" s="1659">
        <v>0</v>
      </c>
      <c r="AD30" s="1659">
        <v>0</v>
      </c>
      <c r="AE30" s="1659">
        <v>0</v>
      </c>
      <c r="AF30" s="1659">
        <v>0</v>
      </c>
      <c r="AG30" s="1659">
        <v>0</v>
      </c>
      <c r="AH30" s="1659">
        <v>0</v>
      </c>
      <c r="AI30" s="1659">
        <v>0</v>
      </c>
      <c r="AJ30" s="1659">
        <v>0</v>
      </c>
      <c r="AK30" s="1659">
        <v>0</v>
      </c>
      <c r="AL30" s="1659">
        <v>0</v>
      </c>
      <c r="AM30" s="441">
        <v>50</v>
      </c>
      <c r="AN30" s="529">
        <v>10</v>
      </c>
      <c r="AO30" s="529">
        <v>10</v>
      </c>
      <c r="AP30" s="529">
        <v>10</v>
      </c>
      <c r="AQ30" s="529">
        <v>10</v>
      </c>
      <c r="AR30" s="529">
        <v>10</v>
      </c>
      <c r="AS30" s="529">
        <v>10</v>
      </c>
      <c r="AT30" s="529">
        <v>10</v>
      </c>
      <c r="AU30" s="529">
        <v>10</v>
      </c>
      <c r="AV30" s="529">
        <v>10</v>
      </c>
      <c r="AW30" s="699">
        <v>10</v>
      </c>
      <c r="AX30" s="529">
        <v>23</v>
      </c>
    </row>
  </sheetData>
  <sheetProtection sheet="1" formatColumns="0" formatRows="0" autoFilter="0" sort="1" insertRows="1" insertColumns="1" deleteRows="1" deleteColumns="1"/>
  <mergeCells count="55">
    <mergeCell ref="D5:J5"/>
    <mergeCell ref="D6:J6"/>
    <mergeCell ref="AM9:AM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 ref="W9:X9"/>
    <mergeCell ref="W10:X10"/>
    <mergeCell ref="W11:X11"/>
    <mergeCell ref="Y9:Z9"/>
    <mergeCell ref="Y10:Z10"/>
    <mergeCell ref="Y11:Z11"/>
    <mergeCell ref="AA9:AB9"/>
    <mergeCell ref="AA10:AB10"/>
    <mergeCell ref="AA11:AB11"/>
    <mergeCell ref="AC9:AD9"/>
    <mergeCell ref="AC10:AD10"/>
    <mergeCell ref="AC11:AD11"/>
    <mergeCell ref="AE9:AF9"/>
    <mergeCell ref="AE10:AF10"/>
    <mergeCell ref="AE11:AF11"/>
    <mergeCell ref="AG9:AH9"/>
    <mergeCell ref="AG10:AH10"/>
    <mergeCell ref="AG11:AH11"/>
    <mergeCell ref="AI9:AJ9"/>
    <mergeCell ref="AI10:AJ10"/>
    <mergeCell ref="AI11:AJ11"/>
    <mergeCell ref="AK9:AL9"/>
    <mergeCell ref="AK10:AL10"/>
    <mergeCell ref="AK11:AL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V19:V21 X19:X21 Z19:Z21 AB19:AB21 AD19:AD21 AF19:AF21 AH19:AH21 AJ19:AJ21 AL19:AL21">
      <formula1>900</formula1>
    </dataValidation>
    <dataValidation type="whole" allowBlank="1" showErrorMessage="1" errorTitle="Ошибка" error="Допускается ввод только неотрицательных целых чисел!" sqref="G19:G20 I19:I20 K19 K20 M19 M20 O19 O20 Q19 Q20 S19 S20 U19 U20 W19 W20 Y19 Y20 AA19 AA20 AC19 AC20 AE19 AE20 AG19 AG20 AI19 AI20 AK19 AK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U21 W21 Y21 AA21 AC21 AE21 AG21 AI21 AK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10C714C-42E5-0232-E25F-0.B30D299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26" width="32.57421875" customWidth="1"/>
    <col min="2" max="2" style="1874" width="11.00390625" customWidth="1"/>
    <col min="3" max="3" style="1874" width="9.140625"/>
    <col min="4" max="4" style="1874" width="26.57421875" customWidth="1"/>
    <col min="5" max="5" style="1847" width="36.8515625" customWidth="1"/>
    <col min="6" max="6" style="1847" width="23.57421875" customWidth="1"/>
    <col min="7" max="7" style="1847" width="31.421875" customWidth="1"/>
    <col min="8" max="8" style="1847" width="40.8515625" customWidth="1"/>
    <col min="9" max="9" style="1847" width="14.57421875" customWidth="1"/>
    <col min="10" max="10" style="1847" width="26.8515625" customWidth="1"/>
    <col min="11" max="11" style="1847" width="50.00390625" customWidth="1"/>
    <col min="12" max="12" style="1847" width="52.421875" customWidth="1"/>
    <col min="13" max="13" style="1847" width="10.7109375" customWidth="1"/>
    <col min="14" max="14" style="1847" width="55.140625" customWidth="1"/>
    <col min="15" max="15" style="1847" width="31.8515625" customWidth="1"/>
    <col min="16" max="16" style="1847" width="23.8515625" customWidth="1"/>
    <col min="17" max="17" style="1847" width="46.57421875" customWidth="1"/>
    <col min="18" max="18" style="1847" width="24.00390625" customWidth="1"/>
    <col min="19" max="19" style="1847" width="20.57421875" customWidth="1"/>
    <col min="20" max="20" style="1847" width="22.00390625" customWidth="1"/>
    <col min="21" max="22" style="1847" width="26.421875" customWidth="1"/>
    <col min="23" max="23" style="1847" width="8.28125" hidden="1" customWidth="1"/>
    <col min="24" max="24" style="1847" width="59.7109375" customWidth="1"/>
    <col min="25" max="25" style="1847" width="49.140625" customWidth="1"/>
    <col min="26" max="26" style="1847" width="11.140625" customWidth="1"/>
    <col min="27" max="30" style="1847" width="29.00390625" customWidth="1"/>
    <col min="31" max="31" style="1847" width="9.140625"/>
    <col min="32" max="32" style="1847" width="34.7109375" customWidth="1"/>
    <col min="33" max="33" style="1847" width="9.140625"/>
    <col min="34" max="35" style="1847" width="34.421875" customWidth="1"/>
    <col min="36" max="36" style="1847" width="9.140625"/>
    <col min="37" max="37" style="1847" width="24.57421875" customWidth="1"/>
    <col min="38" max="38" style="1847" width="9.140625"/>
    <col min="39" max="39" style="1847" width="26.140625" customWidth="1"/>
    <col min="40" max="40" style="1847" width="1.7109375" customWidth="1"/>
    <col min="41" max="41" style="1847" width="9.140625"/>
    <col min="42" max="43" style="1847" width="47.8515625" customWidth="1"/>
    <col min="44" max="44" style="1847" width="1.7109375" customWidth="1"/>
    <col min="45" max="45" style="1847" width="21.421875" customWidth="1"/>
    <col min="46" max="46" style="1847" width="1.7109375" customWidth="1"/>
    <col min="47" max="47" style="1847" width="31.28125" customWidth="1"/>
    <col min="48" max="48" style="1847" width="1.7109375" customWidth="1"/>
    <col min="49" max="50" style="1847" width="9.140625"/>
    <col min="51" max="51" style="1847" width="3.7109375" customWidth="1"/>
    <col min="52" max="52" style="1847" width="60.8515625" customWidth="1"/>
    <col min="53" max="53" style="1847" width="49.28125" customWidth="1"/>
    <col min="54" max="54" style="1847" width="35.140625" customWidth="1"/>
    <col min="55" max="55" style="1847" width="9.140625"/>
    <col min="56" max="56" style="1847" width="1.7109375" customWidth="1"/>
    <col min="57" max="57" style="1090" width="12.57421875" customWidth="1"/>
    <col min="58" max="58" style="1090" width="14.28125" customWidth="1"/>
    <col min="59" max="59" style="1847" width="30.7109375" customWidth="1"/>
    <col min="60" max="60" style="1864" width="40.7109375" customWidth="1"/>
    <col min="61" max="61" style="1864" width="15.00390625" customWidth="1"/>
    <col min="62" max="62" style="1864" width="40.7109375" customWidth="1"/>
    <col min="63" max="63" style="1864" width="2.7109375" customWidth="1"/>
    <col min="64" max="64" style="1864" width="44.7109375" customWidth="1"/>
    <col min="65" max="65" style="1864" width="2.7109375" customWidth="1"/>
    <col min="66" max="66" style="1864" width="40.7109375" customWidth="1"/>
    <col min="67" max="68" style="1847" width="9.140625"/>
    <col min="69" max="69" style="1847" width="18.140625" customWidth="1"/>
    <col min="70" max="70" style="1847" width="57.8515625" customWidth="1"/>
    <col min="71" max="71" style="1847" width="1.7109375" customWidth="1"/>
    <col min="72" max="72" style="1847" width="22.57421875" customWidth="1"/>
    <col min="73" max="73" style="1847" width="57.8515625" customWidth="1"/>
    <col min="74" max="74" style="1847" width="1.7109375" customWidth="1"/>
    <col min="75" max="75" style="1847" width="22.57421875" customWidth="1"/>
    <col min="76" max="76" style="1847" width="57.8515625" customWidth="1"/>
    <col min="77" max="77" style="1847" width="1.7109375" customWidth="1"/>
    <col min="78" max="78" style="1847" width="22.57421875" customWidth="1"/>
    <col min="79" max="79" style="1847" width="57.8515625" customWidth="1"/>
    <col min="80" max="81" style="1847" width="9.140625"/>
    <col min="82" max="82" style="1847" width="49.57421875" customWidth="1"/>
  </cols>
  <sheetData>
    <row s="1451" customFormat="1" customHeight="1" ht="11.25">
      <c r="A1" s="1091" t="s">
        <v>1501</v>
      </c>
      <c r="B1" s="1091" t="s">
        <v>1502</v>
      </c>
      <c r="C1" s="1091" t="s">
        <v>1503</v>
      </c>
      <c r="D1" s="1091" t="s">
        <v>1504</v>
      </c>
      <c r="E1" s="1091" t="s">
        <v>1505</v>
      </c>
      <c r="F1" s="1091" t="s">
        <v>1506</v>
      </c>
      <c r="G1" s="1091" t="s">
        <v>1507</v>
      </c>
      <c r="H1" s="1091" t="s">
        <v>1508</v>
      </c>
      <c r="I1" s="1091" t="s">
        <v>1509</v>
      </c>
      <c r="J1" s="1091" t="s">
        <v>1510</v>
      </c>
      <c r="K1" s="1091" t="s">
        <v>1511</v>
      </c>
      <c r="L1" s="1091" t="s">
        <v>1512</v>
      </c>
      <c r="M1" s="1091"/>
      <c r="N1" s="1091" t="s">
        <v>1513</v>
      </c>
      <c r="O1" s="1091" t="s">
        <v>1514</v>
      </c>
      <c r="P1" s="1091" t="s">
        <v>1515</v>
      </c>
      <c r="Q1" s="1091" t="s">
        <v>1516</v>
      </c>
      <c r="R1" s="1091" t="s">
        <v>1517</v>
      </c>
      <c r="S1" s="1091" t="s">
        <v>1518</v>
      </c>
      <c r="T1" s="1091" t="s">
        <v>1519</v>
      </c>
      <c r="U1" s="1091" t="s">
        <v>1520</v>
      </c>
      <c r="V1" s="1091"/>
      <c r="W1" s="821" t="s">
        <v>1521</v>
      </c>
      <c r="X1" s="1091" t="s">
        <v>1522</v>
      </c>
      <c r="Y1" s="1091" t="s">
        <v>1523</v>
      </c>
      <c r="Z1" s="1091"/>
      <c r="AA1" s="1091" t="s">
        <v>1524</v>
      </c>
      <c r="AB1" s="1091"/>
      <c r="AC1" s="1091" t="s">
        <v>1525</v>
      </c>
      <c r="AD1" s="1091"/>
      <c r="AF1" s="1091" t="s">
        <v>1526</v>
      </c>
      <c r="AH1" s="1091" t="s">
        <v>1527</v>
      </c>
      <c r="AI1" s="1091" t="s">
        <v>1528</v>
      </c>
      <c r="AK1" s="1091" t="s">
        <v>1529</v>
      </c>
      <c r="AM1" s="1091" t="s">
        <v>1530</v>
      </c>
      <c r="AP1" s="1091" t="s">
        <v>1531</v>
      </c>
      <c r="AQ1" s="1091" t="s">
        <v>1532</v>
      </c>
      <c r="AS1" s="1091" t="s">
        <v>1533</v>
      </c>
      <c r="AU1" s="1091" t="s">
        <v>1534</v>
      </c>
      <c r="AW1" s="1091" t="s">
        <v>1535</v>
      </c>
      <c r="AX1" s="1091" t="s">
        <v>1536</v>
      </c>
      <c r="AZ1" s="1176" t="s">
        <v>1537</v>
      </c>
      <c r="BB1" s="1091" t="s">
        <v>1538</v>
      </c>
      <c r="BC1" s="1091"/>
      <c r="BE1" s="1091" t="s">
        <v>1539</v>
      </c>
      <c r="BF1" s="1091" t="s">
        <v>1540</v>
      </c>
      <c r="BH1" s="1093" t="s">
        <v>905</v>
      </c>
      <c r="BI1" s="1094"/>
      <c r="BJ1" s="1095" t="s">
        <v>1541</v>
      </c>
      <c r="BK1" s="1094"/>
      <c r="BL1" s="1096" t="s">
        <v>1004</v>
      </c>
      <c r="BM1" s="1094"/>
      <c r="BN1" s="1097" t="s">
        <v>1542</v>
      </c>
      <c r="BS1" s="1451"/>
    </row>
    <row customHeight="1" ht="11.25">
      <c r="A2" s="1098" t="s">
        <v>1543</v>
      </c>
      <c r="B2" s="1099">
        <v>2000</v>
      </c>
      <c r="C2" s="1099">
        <v>2022</v>
      </c>
      <c r="D2" s="1099" t="s">
        <v>66</v>
      </c>
      <c r="E2" s="1100" t="s">
        <v>1544</v>
      </c>
      <c r="F2" s="1100" t="s">
        <v>1545</v>
      </c>
      <c r="G2" s="1100" t="s">
        <v>1546</v>
      </c>
      <c r="H2" s="1101" t="s">
        <v>55</v>
      </c>
      <c r="I2" s="1100" t="s">
        <v>170</v>
      </c>
      <c r="J2" s="1100" t="s">
        <v>1547</v>
      </c>
      <c r="K2" s="1102" t="s">
        <v>1548</v>
      </c>
      <c r="L2" s="1103"/>
      <c r="M2" s="1102">
        <v>1</v>
      </c>
      <c r="N2" s="1186" t="s">
        <v>1549</v>
      </c>
      <c r="O2" s="1101" t="s">
        <v>1550</v>
      </c>
      <c r="P2" s="1104" t="s">
        <v>38</v>
      </c>
      <c r="Q2" s="1105" t="s">
        <v>1551</v>
      </c>
      <c r="R2" s="167" t="s">
        <v>1552</v>
      </c>
      <c r="S2" s="167" t="s">
        <v>1553</v>
      </c>
      <c r="T2" s="1106" t="s">
        <v>1554</v>
      </c>
      <c r="U2" s="1103" t="s">
        <v>1555</v>
      </c>
      <c r="V2" s="1107">
        <v>1</v>
      </c>
      <c r="W2" s="1108"/>
      <c r="X2" s="1108" t="s">
        <v>1556</v>
      </c>
      <c r="Y2" s="1099" t="s">
        <v>1557</v>
      </c>
      <c r="Z2" s="1109"/>
      <c r="AA2" s="1099" t="s">
        <v>1558</v>
      </c>
      <c r="AB2" s="1110" t="s">
        <v>1558</v>
      </c>
      <c r="AC2" s="1099" t="s">
        <v>1559</v>
      </c>
      <c r="AD2" s="1110" t="s">
        <v>1559</v>
      </c>
      <c r="AF2" s="1101" t="s">
        <v>1555</v>
      </c>
      <c r="AH2" s="1100" t="s">
        <v>1560</v>
      </c>
      <c r="AI2" s="1100" t="s">
        <v>1560</v>
      </c>
      <c r="AK2" s="1100" t="s">
        <v>1561</v>
      </c>
      <c r="AM2" s="1100" t="s">
        <v>1562</v>
      </c>
      <c r="AP2" s="1111" t="s">
        <v>1556</v>
      </c>
      <c r="AQ2" s="1112" t="s">
        <v>1556</v>
      </c>
      <c r="AS2" s="1099" t="s">
        <v>1563</v>
      </c>
      <c r="AU2" s="1144" t="s">
        <v>1564</v>
      </c>
      <c r="AW2" s="1144" t="s">
        <v>1565</v>
      </c>
      <c r="AX2" s="1144" t="s">
        <v>1565</v>
      </c>
      <c r="AZ2" s="1144" t="s">
        <v>53</v>
      </c>
      <c r="BB2" s="1144" t="s">
        <v>1566</v>
      </c>
      <c r="BC2" s="1144" t="s">
        <v>1567</v>
      </c>
      <c r="BE2" s="1144">
        <v>2000</v>
      </c>
      <c r="BF2" s="1144" t="s">
        <v>1568</v>
      </c>
    </row>
    <row customHeight="1" ht="11.25">
      <c r="A3" s="1098" t="s">
        <v>1569</v>
      </c>
      <c r="B3" s="1099">
        <v>2001</v>
      </c>
      <c r="C3" s="1099">
        <v>2023</v>
      </c>
      <c r="D3" s="1099" t="s">
        <v>19</v>
      </c>
      <c r="E3" s="1100" t="s">
        <v>1570</v>
      </c>
      <c r="F3" s="1100" t="s">
        <v>35</v>
      </c>
      <c r="G3" s="1100" t="s">
        <v>1571</v>
      </c>
      <c r="H3" s="1101" t="s">
        <v>1572</v>
      </c>
      <c r="I3" s="1100" t="s">
        <v>103</v>
      </c>
      <c r="J3" s="1100" t="s">
        <v>640</v>
      </c>
      <c r="K3" s="1102" t="s">
        <v>1573</v>
      </c>
      <c r="L3" s="1103">
        <f>_xlfn.IFERROR(MATCH(K3,OFFER_METHOD,0),0)</f>
        <v>0</v>
      </c>
      <c r="M3" s="1102">
        <v>2</v>
      </c>
      <c r="N3" s="1186" t="s">
        <v>1574</v>
      </c>
      <c r="O3" s="1101" t="s">
        <v>1575</v>
      </c>
      <c r="P3" s="1104" t="s">
        <v>1576</v>
      </c>
      <c r="Q3" s="1105" t="s">
        <v>1577</v>
      </c>
      <c r="R3" s="167" t="s">
        <v>1578</v>
      </c>
      <c r="S3" s="167" t="s">
        <v>1579</v>
      </c>
      <c r="T3" s="1106" t="s">
        <v>1580</v>
      </c>
      <c r="U3" s="1103" t="s">
        <v>1581</v>
      </c>
      <c r="V3" s="1107">
        <v>2</v>
      </c>
      <c r="W3" s="1108"/>
      <c r="X3" s="1108" t="s">
        <v>1582</v>
      </c>
      <c r="Y3" s="1099" t="s">
        <v>1557</v>
      </c>
      <c r="Z3" s="1109"/>
      <c r="AA3" s="1099" t="s">
        <v>1583</v>
      </c>
      <c r="AB3" s="1110" t="s">
        <v>1583</v>
      </c>
      <c r="AC3" s="1099" t="s">
        <v>1584</v>
      </c>
      <c r="AD3" s="1110" t="s">
        <v>1584</v>
      </c>
      <c r="AF3" s="1101" t="s">
        <v>1581</v>
      </c>
      <c r="AH3" s="1100" t="s">
        <v>1585</v>
      </c>
      <c r="AI3" s="1100" t="s">
        <v>1586</v>
      </c>
      <c r="AK3" s="1100" t="s">
        <v>1587</v>
      </c>
      <c r="AM3" s="1100" t="s">
        <v>1588</v>
      </c>
      <c r="AP3" s="1111" t="s">
        <v>1589</v>
      </c>
      <c r="AQ3" s="1112" t="s">
        <v>1589</v>
      </c>
      <c r="AS3" s="1099" t="s">
        <v>1590</v>
      </c>
      <c r="AU3" s="1144" t="s">
        <v>1591</v>
      </c>
      <c r="AW3" s="1144" t="s">
        <v>1592</v>
      </c>
      <c r="AX3" s="1144" t="s">
        <v>1592</v>
      </c>
      <c r="AZ3" s="1144" t="s">
        <v>1593</v>
      </c>
      <c r="BB3" s="1144" t="s">
        <v>1594</v>
      </c>
      <c r="BC3" s="1144" t="s">
        <v>1567</v>
      </c>
      <c r="BE3" s="1144">
        <v>2001</v>
      </c>
      <c r="BF3" s="1144" t="s">
        <v>1595</v>
      </c>
      <c r="BH3" s="1091" t="s">
        <v>1596</v>
      </c>
      <c r="BJ3" s="1091" t="s">
        <v>1597</v>
      </c>
      <c r="BL3" s="1091" t="s">
        <v>1598</v>
      </c>
      <c r="BN3" s="1091" t="s">
        <v>1599</v>
      </c>
      <c r="BR3" s="1091" t="s">
        <v>1600</v>
      </c>
      <c r="BS3" s="1452"/>
      <c r="BT3" s="1094"/>
      <c r="BU3" s="1091" t="s">
        <v>1601</v>
      </c>
      <c r="BV3" s="1094"/>
      <c r="BW3" s="1714"/>
      <c r="BX3" s="1716" t="s">
        <v>1602</v>
      </c>
      <c r="CA3" s="1091" t="s">
        <v>1603</v>
      </c>
    </row>
    <row customHeight="1" ht="11.25">
      <c r="A4" s="1098" t="s">
        <v>1604</v>
      </c>
      <c r="B4" s="1099">
        <v>2002</v>
      </c>
      <c r="C4" s="1099">
        <v>2024</v>
      </c>
      <c r="E4" s="1100" t="s">
        <v>1605</v>
      </c>
      <c r="F4" s="1100" t="s">
        <v>1606</v>
      </c>
      <c r="H4" s="1101" t="s">
        <v>1607</v>
      </c>
      <c r="I4" s="1100" t="s">
        <v>90</v>
      </c>
      <c r="J4" s="1100" t="s">
        <v>1608</v>
      </c>
      <c r="K4" s="1102" t="s">
        <v>1609</v>
      </c>
      <c r="L4" s="1103">
        <f>_xlfn.IFERROR(MATCH(K4,OFFER_METHOD,0),0)</f>
        <v>0</v>
      </c>
      <c r="M4" s="1102">
        <v>3</v>
      </c>
      <c r="N4" s="1186" t="s">
        <v>1610</v>
      </c>
      <c r="O4" s="1100" t="s">
        <v>1611</v>
      </c>
      <c r="Q4" s="1105" t="s">
        <v>1612</v>
      </c>
      <c r="R4" s="167" t="s">
        <v>1613</v>
      </c>
      <c r="S4" s="167" t="s">
        <v>1614</v>
      </c>
      <c r="T4" s="1106" t="s">
        <v>1615</v>
      </c>
      <c r="U4" s="1103" t="s">
        <v>1616</v>
      </c>
      <c r="V4" s="1107">
        <v>3</v>
      </c>
      <c r="W4" s="1108"/>
      <c r="X4" s="1108" t="s">
        <v>1617</v>
      </c>
      <c r="Y4" s="1099" t="s">
        <v>1557</v>
      </c>
      <c r="Z4" s="1115"/>
      <c r="AC4" s="1099" t="s">
        <v>1618</v>
      </c>
      <c r="AD4" s="1110" t="s">
        <v>1618</v>
      </c>
      <c r="AF4" s="1101" t="s">
        <v>1616</v>
      </c>
      <c r="AH4" s="1101" t="s">
        <v>1619</v>
      </c>
      <c r="AK4" s="1100" t="s">
        <v>1620</v>
      </c>
      <c r="AM4" s="1100" t="s">
        <v>1621</v>
      </c>
      <c r="AP4" s="1111" t="s">
        <v>1582</v>
      </c>
      <c r="AQ4" s="1112" t="s">
        <v>1582</v>
      </c>
      <c r="AS4" s="1099" t="s">
        <v>1622</v>
      </c>
      <c r="AU4" s="1144" t="s">
        <v>1623</v>
      </c>
      <c r="AW4" s="1144" t="s">
        <v>1624</v>
      </c>
      <c r="AX4" s="1144" t="s">
        <v>1624</v>
      </c>
      <c r="AZ4" s="1144" t="s">
        <v>1625</v>
      </c>
      <c r="BB4" s="1144" t="s">
        <v>1626</v>
      </c>
      <c r="BC4" s="1144" t="s">
        <v>1627</v>
      </c>
      <c r="BE4" s="1144">
        <v>2002</v>
      </c>
      <c r="BF4" s="1144" t="s">
        <v>1628</v>
      </c>
      <c r="BH4" s="1092" t="s">
        <v>1629</v>
      </c>
      <c r="BJ4" s="1092" t="s">
        <v>1629</v>
      </c>
      <c r="BL4" s="1092" t="s">
        <v>1629</v>
      </c>
      <c r="BN4" s="1092" t="s">
        <v>1629</v>
      </c>
      <c r="BQ4" s="1456" t="s">
        <v>1630</v>
      </c>
      <c r="BR4" s="1183" t="s">
        <v>1631</v>
      </c>
      <c r="BS4" s="298"/>
      <c r="BT4" s="1456" t="s">
        <v>1632</v>
      </c>
      <c r="BU4" s="1183" t="s">
        <v>1633</v>
      </c>
      <c r="BV4" s="1094"/>
      <c r="BW4" s="1721" t="s">
        <v>1634</v>
      </c>
      <c r="BX4" s="1715" t="s">
        <v>1635</v>
      </c>
      <c r="BZ4" s="1456" t="s">
        <v>1636</v>
      </c>
      <c r="CA4" s="1183" t="s">
        <v>1637</v>
      </c>
    </row>
    <row customHeight="1" ht="11.25">
      <c r="A5" s="1098" t="s">
        <v>1638</v>
      </c>
      <c r="B5" s="1099">
        <v>2003</v>
      </c>
      <c r="C5" s="1099">
        <v>2025</v>
      </c>
      <c r="E5" s="1100" t="s">
        <v>1639</v>
      </c>
      <c r="F5" s="1100" t="s">
        <v>1640</v>
      </c>
      <c r="H5" s="1101" t="s">
        <v>1641</v>
      </c>
      <c r="I5" s="1100" t="s">
        <v>91</v>
      </c>
      <c r="K5" s="1102" t="s">
        <v>1642</v>
      </c>
      <c r="L5" s="1103">
        <f>_xlfn.IFERROR(MATCH(K5,OFFER_METHOD,0),0)</f>
        <v>0</v>
      </c>
      <c r="M5" s="1102">
        <v>4</v>
      </c>
      <c r="N5" s="1116" t="s">
        <v>1643</v>
      </c>
      <c r="O5" s="1100" t="s">
        <v>1644</v>
      </c>
      <c r="Q5" s="1105" t="s">
        <v>1645</v>
      </c>
      <c r="R5" s="167" t="s">
        <v>1646</v>
      </c>
      <c r="T5" s="1101" t="s">
        <v>1647</v>
      </c>
      <c r="U5" s="1103" t="s">
        <v>1648</v>
      </c>
      <c r="V5" s="1107">
        <v>4</v>
      </c>
      <c r="W5" s="1108"/>
      <c r="X5" s="1108" t="s">
        <v>252</v>
      </c>
      <c r="Y5" s="1099" t="s">
        <v>1649</v>
      </c>
      <c r="Z5" s="1115">
        <v>1</v>
      </c>
      <c r="AF5" s="1101" t="s">
        <v>1650</v>
      </c>
      <c r="AH5" s="1100" t="s">
        <v>1651</v>
      </c>
      <c r="AK5" s="1100" t="s">
        <v>1652</v>
      </c>
      <c r="AM5" s="1100" t="s">
        <v>1653</v>
      </c>
      <c r="AP5" s="1111" t="s">
        <v>252</v>
      </c>
      <c r="AQ5" s="1112" t="s">
        <v>252</v>
      </c>
      <c r="AU5" s="1144" t="s">
        <v>1654</v>
      </c>
      <c r="AW5" s="1144" t="s">
        <v>1655</v>
      </c>
      <c r="AX5" s="1144" t="s">
        <v>1655</v>
      </c>
      <c r="AZ5" s="1144" t="s">
        <v>1656</v>
      </c>
      <c r="BB5" s="1144" t="s">
        <v>1657</v>
      </c>
      <c r="BC5" s="1144" t="s">
        <v>1658</v>
      </c>
      <c r="BE5" s="1144">
        <v>2003</v>
      </c>
      <c r="BF5" s="1144" t="s">
        <v>1659</v>
      </c>
      <c r="BH5" s="1092" t="s">
        <v>1660</v>
      </c>
      <c r="BJ5" s="1092" t="s">
        <v>1660</v>
      </c>
      <c r="BL5" s="1092" t="s">
        <v>1660</v>
      </c>
      <c r="BN5" s="1092" t="s">
        <v>1661</v>
      </c>
      <c r="BQ5" s="1305">
        <v>4213775</v>
      </c>
      <c r="BR5" s="1092" t="s">
        <v>1556</v>
      </c>
      <c r="BS5" s="1453"/>
      <c r="BT5" s="1305">
        <v>64236871</v>
      </c>
      <c r="BU5" s="1092" t="s">
        <v>313</v>
      </c>
      <c r="BV5" s="1094"/>
      <c r="BW5" s="1719">
        <v>4213767</v>
      </c>
      <c r="BX5" s="1717" t="s">
        <v>1662</v>
      </c>
      <c r="BZ5" s="1305">
        <v>64237509</v>
      </c>
      <c r="CA5" s="1319" t="s">
        <v>1663</v>
      </c>
    </row>
    <row customHeight="1" ht="11.25">
      <c r="A6" s="1098" t="s">
        <v>1664</v>
      </c>
      <c r="B6" s="1099">
        <v>2004</v>
      </c>
      <c r="C6" s="1099">
        <v>2026</v>
      </c>
      <c r="E6" s="1100" t="s">
        <v>1665</v>
      </c>
      <c r="F6" s="1117"/>
      <c r="H6" s="1101" t="s">
        <v>1666</v>
      </c>
      <c r="I6" s="1100" t="s">
        <v>119</v>
      </c>
      <c r="J6" s="1091" t="s">
        <v>1667</v>
      </c>
      <c r="L6" s="1103">
        <f>SUM(kind_of_control_method_filter)</f>
        <v>0</v>
      </c>
      <c r="N6" s="1116" t="s">
        <v>1668</v>
      </c>
      <c r="O6" s="1100" t="s">
        <v>1669</v>
      </c>
      <c r="R6" s="167" t="s">
        <v>1551</v>
      </c>
      <c r="T6" s="1101" t="s">
        <v>1670</v>
      </c>
      <c r="U6" s="1103" t="s">
        <v>1650</v>
      </c>
      <c r="V6" s="1107">
        <v>5</v>
      </c>
      <c r="W6" s="1108"/>
      <c r="X6" s="1099" t="s">
        <v>258</v>
      </c>
      <c r="Y6" s="1099" t="s">
        <v>1671</v>
      </c>
      <c r="Z6" s="1115"/>
      <c r="AA6" s="1118"/>
      <c r="AH6" s="1100" t="s">
        <v>1672</v>
      </c>
      <c r="AK6" s="1100" t="s">
        <v>1673</v>
      </c>
      <c r="AM6" s="1100" t="s">
        <v>1674</v>
      </c>
      <c r="AP6" s="1111" t="s">
        <v>258</v>
      </c>
      <c r="AQ6" s="1112" t="s">
        <v>258</v>
      </c>
      <c r="AU6" s="1144" t="s">
        <v>1675</v>
      </c>
      <c r="AW6" s="1144" t="s">
        <v>1676</v>
      </c>
      <c r="AX6" s="1144" t="s">
        <v>1676</v>
      </c>
      <c r="BB6" s="1144" t="s">
        <v>1677</v>
      </c>
      <c r="BC6" s="1144" t="s">
        <v>1658</v>
      </c>
      <c r="BE6" s="1144">
        <v>2004</v>
      </c>
      <c r="BF6" s="1144" t="s">
        <v>1678</v>
      </c>
      <c r="BH6" s="1092" t="s">
        <v>1679</v>
      </c>
      <c r="BJ6" s="1092" t="s">
        <v>1680</v>
      </c>
      <c r="BL6" s="1092" t="s">
        <v>1680</v>
      </c>
      <c r="BN6" s="1092" t="s">
        <v>1681</v>
      </c>
      <c r="BQ6" s="1305">
        <v>4213784</v>
      </c>
      <c r="BR6" s="1319" t="s">
        <v>1589</v>
      </c>
      <c r="BS6" s="1454"/>
      <c r="BT6" s="1305">
        <v>64236872</v>
      </c>
      <c r="BU6" s="1092" t="s">
        <v>318</v>
      </c>
      <c r="BV6" s="1094"/>
      <c r="BW6" s="1719">
        <v>4213768</v>
      </c>
      <c r="BX6" s="1717" t="s">
        <v>338</v>
      </c>
      <c r="BZ6" s="1305">
        <v>64237510</v>
      </c>
      <c r="CA6" s="1092" t="s">
        <v>1682</v>
      </c>
    </row>
    <row customHeight="1" ht="11.25">
      <c r="A7" s="1098" t="s">
        <v>1683</v>
      </c>
      <c r="B7" s="1099">
        <v>2005</v>
      </c>
      <c r="E7" s="1100" t="s">
        <v>1684</v>
      </c>
      <c r="F7" s="1117"/>
      <c r="H7" s="1101" t="s">
        <v>1685</v>
      </c>
      <c r="I7" s="1100" t="s">
        <v>92</v>
      </c>
      <c r="J7" s="1100" t="s">
        <v>1686</v>
      </c>
      <c r="N7" s="1120" t="s">
        <v>1687</v>
      </c>
      <c r="O7" s="1100" t="s">
        <v>1688</v>
      </c>
      <c r="U7" s="1103" t="s">
        <v>19</v>
      </c>
      <c r="V7" s="394" t="s">
        <v>92</v>
      </c>
      <c r="W7" s="1108"/>
      <c r="X7" s="1099" t="s">
        <v>264</v>
      </c>
      <c r="Y7" s="1099" t="s">
        <v>1649</v>
      </c>
      <c r="Z7" s="1115"/>
      <c r="AA7" s="1118"/>
      <c r="AH7" s="1100" t="s">
        <v>1689</v>
      </c>
      <c r="AK7" s="1100" t="s">
        <v>1690</v>
      </c>
      <c r="AM7" s="1100" t="s">
        <v>1691</v>
      </c>
      <c r="AP7" s="1111" t="s">
        <v>264</v>
      </c>
      <c r="AQ7" s="1112" t="s">
        <v>264</v>
      </c>
      <c r="AU7" s="1144" t="s">
        <v>1692</v>
      </c>
      <c r="AW7" s="1144" t="s">
        <v>1693</v>
      </c>
      <c r="AX7" s="1144" t="s">
        <v>1693</v>
      </c>
      <c r="AZ7" s="1091" t="s">
        <v>1694</v>
      </c>
      <c r="BB7" s="1144" t="s">
        <v>1695</v>
      </c>
      <c r="BC7" s="1144" t="s">
        <v>1658</v>
      </c>
      <c r="BE7" s="1144">
        <v>2005</v>
      </c>
      <c r="BF7" s="1144" t="s">
        <v>1696</v>
      </c>
      <c r="BH7" s="1092" t="s">
        <v>1697</v>
      </c>
      <c r="BJ7" s="1092" t="s">
        <v>1679</v>
      </c>
      <c r="BL7" s="1092" t="s">
        <v>1679</v>
      </c>
      <c r="BN7" s="1092" t="s">
        <v>1698</v>
      </c>
      <c r="BQ7" s="1305">
        <v>4213781</v>
      </c>
      <c r="BR7" s="1092" t="s">
        <v>1582</v>
      </c>
      <c r="BS7" s="1453"/>
      <c r="BT7" s="1305">
        <v>64236873</v>
      </c>
      <c r="BU7" s="1092" t="s">
        <v>323</v>
      </c>
      <c r="BV7" s="1094"/>
      <c r="BW7" s="1719">
        <v>4213769</v>
      </c>
      <c r="BX7" s="1717" t="s">
        <v>1699</v>
      </c>
      <c r="BZ7" s="1305">
        <v>64237511</v>
      </c>
      <c r="CA7" s="1092" t="s">
        <v>353</v>
      </c>
    </row>
    <row customHeight="1" ht="11.25">
      <c r="A8" s="1098" t="s">
        <v>1700</v>
      </c>
      <c r="B8" s="1099">
        <v>2006</v>
      </c>
      <c r="E8" s="1100" t="s">
        <v>1701</v>
      </c>
      <c r="F8" s="1117"/>
      <c r="H8" s="1101" t="s">
        <v>1702</v>
      </c>
      <c r="I8" s="1100" t="s">
        <v>93</v>
      </c>
      <c r="J8" s="1100" t="s">
        <v>1703</v>
      </c>
      <c r="N8" s="1187" t="s">
        <v>1704</v>
      </c>
      <c r="O8" s="1100" t="s">
        <v>1705</v>
      </c>
      <c r="V8" s="394" t="s">
        <v>93</v>
      </c>
      <c r="W8" s="1108"/>
      <c r="X8" s="1099" t="s">
        <v>270</v>
      </c>
      <c r="Y8" s="1099" t="s">
        <v>1649</v>
      </c>
      <c r="Z8" s="1115"/>
      <c r="AA8" s="1118"/>
      <c r="AK8" s="1100" t="s">
        <v>1706</v>
      </c>
      <c r="AP8" s="1111" t="s">
        <v>270</v>
      </c>
      <c r="AQ8" s="1112" t="s">
        <v>270</v>
      </c>
      <c r="AU8" s="1144" t="s">
        <v>1707</v>
      </c>
      <c r="AW8" s="1144" t="s">
        <v>1708</v>
      </c>
      <c r="AX8" s="1144" t="s">
        <v>1708</v>
      </c>
      <c r="AZ8" s="1144" t="s">
        <v>1709</v>
      </c>
      <c r="BB8" s="1144" t="s">
        <v>1710</v>
      </c>
      <c r="BC8" s="1144" t="s">
        <v>1658</v>
      </c>
      <c r="BE8" s="1144">
        <v>2006</v>
      </c>
      <c r="BF8" s="1144" t="s">
        <v>1711</v>
      </c>
      <c r="BH8" s="1092" t="s">
        <v>1712</v>
      </c>
      <c r="BJ8" s="1092" t="s">
        <v>1713</v>
      </c>
      <c r="BL8" s="1092" t="s">
        <v>1713</v>
      </c>
      <c r="BN8" s="1092" t="s">
        <v>1714</v>
      </c>
      <c r="BQ8" s="1305">
        <v>4213776</v>
      </c>
      <c r="BR8" s="1092" t="s">
        <v>252</v>
      </c>
      <c r="BS8" s="1453"/>
      <c r="BT8" s="1305">
        <v>64236874</v>
      </c>
      <c r="BU8" s="1319" t="s">
        <v>1715</v>
      </c>
      <c r="BV8" s="1094"/>
      <c r="BW8" s="1719">
        <v>4213770</v>
      </c>
      <c r="BX8" s="1720" t="s">
        <v>1716</v>
      </c>
      <c r="BZ8" s="1305">
        <v>64237512</v>
      </c>
      <c r="CA8" s="1092" t="s">
        <v>348</v>
      </c>
    </row>
    <row customHeight="1" ht="11.25">
      <c r="A9" s="1098" t="s">
        <v>1717</v>
      </c>
      <c r="B9" s="1099">
        <v>2007</v>
      </c>
      <c r="E9" s="1100" t="s">
        <v>1718</v>
      </c>
      <c r="F9" s="1117"/>
      <c r="G9" s="1091" t="s">
        <v>1719</v>
      </c>
      <c r="H9" s="1091" t="s">
        <v>1720</v>
      </c>
      <c r="I9" s="1100" t="s">
        <v>143</v>
      </c>
      <c r="O9" s="1100" t="s">
        <v>1721</v>
      </c>
      <c r="V9" s="394" t="s">
        <v>143</v>
      </c>
      <c r="W9" s="1108"/>
      <c r="X9" s="1099" t="s">
        <v>276</v>
      </c>
      <c r="Y9" s="1099" t="s">
        <v>1557</v>
      </c>
      <c r="Z9" s="1115">
        <v>1</v>
      </c>
      <c r="AA9" s="1118"/>
      <c r="AK9" s="1100" t="s">
        <v>1722</v>
      </c>
      <c r="AP9" s="1111" t="s">
        <v>1723</v>
      </c>
      <c r="AQ9" s="1112" t="s">
        <v>1723</v>
      </c>
      <c r="AW9" s="1144" t="s">
        <v>1724</v>
      </c>
      <c r="AX9" s="1144" t="s">
        <v>1724</v>
      </c>
      <c r="AZ9" s="1144" t="s">
        <v>1725</v>
      </c>
      <c r="BB9" s="1144" t="s">
        <v>1726</v>
      </c>
      <c r="BC9" s="1144" t="s">
        <v>1658</v>
      </c>
      <c r="BE9" s="1144">
        <v>2007</v>
      </c>
      <c r="BF9" s="1144" t="s">
        <v>1727</v>
      </c>
      <c r="BH9" s="1092" t="s">
        <v>1728</v>
      </c>
      <c r="BJ9" s="1092" t="s">
        <v>1729</v>
      </c>
      <c r="BL9" s="1092" t="s">
        <v>1729</v>
      </c>
      <c r="BN9" s="1092" t="s">
        <v>1730</v>
      </c>
      <c r="BQ9" s="1305">
        <v>4213777</v>
      </c>
      <c r="BR9" s="1092" t="s">
        <v>258</v>
      </c>
      <c r="BS9" s="1453"/>
      <c r="BT9" s="1305">
        <v>64236875</v>
      </c>
      <c r="BU9" s="1092" t="s">
        <v>328</v>
      </c>
      <c r="BV9" s="1094"/>
      <c r="BW9" s="1714"/>
      <c r="BX9" s="1714"/>
    </row>
    <row customHeight="1" ht="11.25">
      <c r="A10" s="1098" t="s">
        <v>1731</v>
      </c>
      <c r="B10" s="1099">
        <v>2008</v>
      </c>
      <c r="E10" s="1100" t="s">
        <v>1732</v>
      </c>
      <c r="F10" s="1117"/>
      <c r="G10" s="1100" t="s">
        <v>1733</v>
      </c>
      <c r="H10" s="1100" t="s">
        <v>1734</v>
      </c>
      <c r="I10" s="1100" t="s">
        <v>145</v>
      </c>
      <c r="J10" s="1091" t="s">
        <v>1735</v>
      </c>
      <c r="K10" s="1091" t="s">
        <v>1736</v>
      </c>
      <c r="O10" s="1100" t="s">
        <v>1737</v>
      </c>
      <c r="V10" s="395" t="s">
        <v>145</v>
      </c>
      <c r="W10" s="1121"/>
      <c r="X10" s="1121" t="s">
        <v>1738</v>
      </c>
      <c r="Y10" s="1122" t="s">
        <v>1739</v>
      </c>
      <c r="Z10" s="1115"/>
      <c r="AP10" s="1111" t="s">
        <v>1738</v>
      </c>
      <c r="AQ10" s="1112" t="s">
        <v>1738</v>
      </c>
      <c r="AW10" s="1144" t="s">
        <v>1740</v>
      </c>
      <c r="AX10" s="1144" t="s">
        <v>1740</v>
      </c>
      <c r="AZ10" s="1144" t="s">
        <v>1741</v>
      </c>
      <c r="BB10" s="1144" t="s">
        <v>1742</v>
      </c>
      <c r="BC10" s="1144" t="s">
        <v>1658</v>
      </c>
      <c r="BE10" s="1144">
        <v>2008</v>
      </c>
      <c r="BF10" s="1144" t="s">
        <v>1743</v>
      </c>
      <c r="BH10" s="1092" t="s">
        <v>1744</v>
      </c>
      <c r="BJ10" s="1092" t="s">
        <v>1745</v>
      </c>
      <c r="BL10" s="1092" t="s">
        <v>1745</v>
      </c>
      <c r="BN10" s="1092" t="s">
        <v>1746</v>
      </c>
      <c r="BQ10" s="1305">
        <v>4213778</v>
      </c>
      <c r="BR10" s="1092" t="s">
        <v>264</v>
      </c>
      <c r="BS10" s="1453"/>
      <c r="BT10" s="1305">
        <v>64236876</v>
      </c>
      <c r="BU10" s="1092" t="s">
        <v>308</v>
      </c>
      <c r="BV10" s="1094"/>
      <c r="BW10" s="1714"/>
      <c r="BX10" s="1714"/>
    </row>
    <row customHeight="1" ht="11.25">
      <c r="A11" s="1098" t="s">
        <v>1747</v>
      </c>
      <c r="B11" s="1099">
        <v>2009</v>
      </c>
      <c r="E11" s="1100" t="s">
        <v>1748</v>
      </c>
      <c r="F11" s="1117"/>
      <c r="G11" s="1100" t="s">
        <v>1749</v>
      </c>
      <c r="H11" s="1100" t="s">
        <v>1750</v>
      </c>
      <c r="I11" s="1100" t="s">
        <v>156</v>
      </c>
      <c r="J11" s="1101" t="s">
        <v>1751</v>
      </c>
      <c r="K11" s="1123" t="s">
        <v>1752</v>
      </c>
      <c r="O11" s="1101" t="s">
        <v>1753</v>
      </c>
      <c r="V11" s="394" t="s">
        <v>156</v>
      </c>
      <c r="W11" s="299"/>
      <c r="X11" s="1108" t="s">
        <v>1723</v>
      </c>
      <c r="Y11" s="1099" t="s">
        <v>1754</v>
      </c>
      <c r="Z11" s="1115"/>
      <c r="AP11" s="1111" t="s">
        <v>276</v>
      </c>
      <c r="AQ11" s="1113" t="s">
        <v>276</v>
      </c>
      <c r="AW11" s="1144" t="s">
        <v>1755</v>
      </c>
      <c r="AX11" s="1144" t="s">
        <v>1755</v>
      </c>
      <c r="AZ11" s="1144" t="s">
        <v>1756</v>
      </c>
      <c r="BB11" s="1144" t="s">
        <v>1757</v>
      </c>
      <c r="BC11" s="1144" t="s">
        <v>1658</v>
      </c>
      <c r="BE11" s="1144">
        <v>2009</v>
      </c>
      <c r="BF11" s="1144" t="s">
        <v>1758</v>
      </c>
      <c r="BH11" s="1092" t="s">
        <v>1759</v>
      </c>
      <c r="BJ11" s="1092" t="s">
        <v>1728</v>
      </c>
      <c r="BL11" s="1092" t="s">
        <v>1728</v>
      </c>
      <c r="BN11" s="1092" t="s">
        <v>1760</v>
      </c>
      <c r="BQ11" s="1305">
        <v>4213780</v>
      </c>
      <c r="BR11" s="1092" t="s">
        <v>270</v>
      </c>
      <c r="BS11" s="1453"/>
      <c r="BW11" s="1714"/>
      <c r="BX11" s="1714"/>
    </row>
    <row customHeight="1" ht="11.25">
      <c r="A12" s="1098" t="s">
        <v>1761</v>
      </c>
      <c r="B12" s="1099">
        <v>2010</v>
      </c>
      <c r="E12" s="1100" t="s">
        <v>1762</v>
      </c>
      <c r="F12" s="1117"/>
      <c r="G12" s="1100" t="s">
        <v>1750</v>
      </c>
      <c r="I12" s="1100" t="s">
        <v>236</v>
      </c>
      <c r="J12" s="1101" t="s">
        <v>1763</v>
      </c>
      <c r="K12" s="1123" t="s">
        <v>1764</v>
      </c>
      <c r="O12" s="1101" t="s">
        <v>1551</v>
      </c>
      <c r="V12" s="394" t="s">
        <v>236</v>
      </c>
      <c r="W12" s="1113"/>
      <c r="X12" s="1108" t="s">
        <v>1765</v>
      </c>
      <c r="Y12" s="1099" t="s">
        <v>1557</v>
      </c>
      <c r="AP12" s="1111"/>
      <c r="AW12" s="1144" t="s">
        <v>156</v>
      </c>
      <c r="AX12" s="1144" t="s">
        <v>156</v>
      </c>
      <c r="AZ12" s="1144" t="s">
        <v>1766</v>
      </c>
      <c r="BB12" s="1144" t="s">
        <v>1767</v>
      </c>
      <c r="BC12" s="1144" t="s">
        <v>1658</v>
      </c>
      <c r="BE12" s="1144">
        <v>2010</v>
      </c>
      <c r="BF12" s="1144" t="s">
        <v>1768</v>
      </c>
      <c r="BH12" s="1092" t="s">
        <v>1769</v>
      </c>
      <c r="BJ12" s="1092" t="s">
        <v>1770</v>
      </c>
      <c r="BL12" s="1092" t="s">
        <v>1770</v>
      </c>
      <c r="BN12" s="1092" t="s">
        <v>1771</v>
      </c>
      <c r="BQ12" s="1305">
        <v>4213779</v>
      </c>
      <c r="BR12" s="1092" t="s">
        <v>1723</v>
      </c>
      <c r="BS12" s="1453"/>
      <c r="BT12" s="1094"/>
      <c r="BU12" s="1094"/>
      <c r="BV12" s="1094"/>
      <c r="BW12" s="1714"/>
      <c r="BX12" s="1714"/>
    </row>
    <row customHeight="1" ht="11.25">
      <c r="A13" s="1098" t="s">
        <v>1772</v>
      </c>
      <c r="B13" s="1099">
        <v>2011</v>
      </c>
      <c r="E13" s="1100" t="s">
        <v>1773</v>
      </c>
      <c r="F13" s="1117"/>
      <c r="I13" s="1100" t="s">
        <v>237</v>
      </c>
      <c r="K13" s="1123" t="s">
        <v>1722</v>
      </c>
      <c r="V13" s="394" t="s">
        <v>237</v>
      </c>
      <c r="W13" s="1113"/>
      <c r="X13" s="1113"/>
      <c r="Y13" s="1113"/>
      <c r="AW13" s="1144" t="s">
        <v>236</v>
      </c>
      <c r="AX13" s="1144" t="s">
        <v>236</v>
      </c>
      <c r="BB13" s="1144" t="s">
        <v>1774</v>
      </c>
      <c r="BC13" s="1144" t="s">
        <v>1775</v>
      </c>
      <c r="BE13" s="1144">
        <v>2011</v>
      </c>
      <c r="BF13" s="1144" t="s">
        <v>1776</v>
      </c>
      <c r="BH13" s="1092" t="s">
        <v>1777</v>
      </c>
      <c r="BJ13" s="1092" t="s">
        <v>1759</v>
      </c>
      <c r="BL13" s="1092" t="s">
        <v>1759</v>
      </c>
      <c r="BN13" s="1092" t="s">
        <v>1778</v>
      </c>
      <c r="BQ13" s="1305">
        <v>4213783</v>
      </c>
      <c r="BR13" s="1092" t="s">
        <v>1738</v>
      </c>
      <c r="BS13" s="1453"/>
      <c r="BT13" s="1094"/>
      <c r="BU13" s="1094"/>
      <c r="BV13" s="1094"/>
      <c r="BW13" s="1718"/>
      <c r="BX13" s="1714"/>
    </row>
    <row customHeight="1" ht="11.25">
      <c r="A14" s="1098" t="s">
        <v>1779</v>
      </c>
      <c r="B14" s="1099">
        <v>2012</v>
      </c>
      <c r="I14" s="1100" t="s">
        <v>238</v>
      </c>
      <c r="J14" s="1091" t="s">
        <v>1780</v>
      </c>
      <c r="N14" s="1091" t="s">
        <v>1781</v>
      </c>
      <c r="V14" s="1107">
        <v>13</v>
      </c>
      <c r="W14" s="1108"/>
      <c r="X14" s="1108" t="s">
        <v>1589</v>
      </c>
      <c r="Y14" s="1099" t="s">
        <v>1557</v>
      </c>
      <c r="AW14" s="1144" t="s">
        <v>237</v>
      </c>
      <c r="AX14" s="1144" t="s">
        <v>237</v>
      </c>
      <c r="AZ14" s="1091" t="s">
        <v>1782</v>
      </c>
      <c r="BB14" s="1144" t="s">
        <v>1783</v>
      </c>
      <c r="BC14" s="1144" t="s">
        <v>1775</v>
      </c>
      <c r="BE14" s="1144">
        <v>2012</v>
      </c>
      <c r="BH14" s="1092" t="s">
        <v>1698</v>
      </c>
      <c r="BJ14" s="1241" t="s">
        <v>1784</v>
      </c>
      <c r="BL14" s="1241" t="s">
        <v>1784</v>
      </c>
      <c r="BN14" s="1092" t="s">
        <v>1785</v>
      </c>
      <c r="BQ14" s="1305">
        <v>4213782</v>
      </c>
      <c r="BR14" s="1092" t="s">
        <v>276</v>
      </c>
      <c r="BS14" s="1453"/>
      <c r="BT14" s="1094"/>
      <c r="BU14" s="1094"/>
      <c r="BV14" s="1094"/>
      <c r="BW14" s="1718"/>
      <c r="BX14" s="1714"/>
    </row>
    <row customHeight="1" ht="19.5">
      <c r="A15" s="1098" t="s">
        <v>1786</v>
      </c>
      <c r="B15" s="1099">
        <v>2013</v>
      </c>
      <c r="E15" s="1722" t="s">
        <v>1787</v>
      </c>
      <c r="G15" s="1091" t="s">
        <v>1788</v>
      </c>
      <c r="H15" s="1091" t="s">
        <v>1789</v>
      </c>
      <c r="I15" s="1102" t="s">
        <v>239</v>
      </c>
      <c r="J15" s="1113" t="s">
        <v>667</v>
      </c>
      <c r="N15" s="1182" t="s">
        <v>1790</v>
      </c>
      <c r="X15" s="1111"/>
      <c r="AW15" s="1144" t="s">
        <v>238</v>
      </c>
      <c r="AX15" s="1144" t="s">
        <v>238</v>
      </c>
      <c r="AZ15" s="1144" t="s">
        <v>1709</v>
      </c>
      <c r="BB15" s="1144" t="s">
        <v>1791</v>
      </c>
      <c r="BC15" s="1144" t="s">
        <v>1775</v>
      </c>
      <c r="BE15" s="1144">
        <v>2013</v>
      </c>
      <c r="BH15" s="1092" t="s">
        <v>1714</v>
      </c>
      <c r="BJ15" s="1241" t="s">
        <v>1792</v>
      </c>
      <c r="BL15" s="1241" t="s">
        <v>1792</v>
      </c>
      <c r="BN15" s="1092" t="s">
        <v>1793</v>
      </c>
      <c r="BR15" s="1094"/>
      <c r="BS15" s="1455"/>
      <c r="BT15" s="1094"/>
      <c r="BU15" s="1094"/>
      <c r="BV15" s="1094"/>
      <c r="BW15" s="1718"/>
      <c r="BX15" s="1714"/>
    </row>
    <row customHeight="1" ht="21">
      <c r="A16" s="1894" t="s">
        <v>1794</v>
      </c>
      <c r="B16" s="1099">
        <v>2014</v>
      </c>
      <c r="E16" s="1723" t="s">
        <v>1795</v>
      </c>
      <c r="G16" s="1100" t="s">
        <v>1796</v>
      </c>
      <c r="H16" s="1100" t="s">
        <v>1797</v>
      </c>
      <c r="I16" s="1102" t="s">
        <v>1798</v>
      </c>
      <c r="J16" s="1113" t="s">
        <v>640</v>
      </c>
      <c r="N16" s="1182" t="s">
        <v>1799</v>
      </c>
      <c r="AW16" s="1144" t="s">
        <v>239</v>
      </c>
      <c r="AX16" s="1144" t="s">
        <v>239</v>
      </c>
      <c r="AZ16" s="1144" t="s">
        <v>1725</v>
      </c>
      <c r="BB16" s="1144" t="s">
        <v>1800</v>
      </c>
      <c r="BC16" s="1144" t="s">
        <v>1775</v>
      </c>
      <c r="BE16" s="1144">
        <v>2014</v>
      </c>
      <c r="BH16" s="1092" t="s">
        <v>1730</v>
      </c>
      <c r="BJ16" s="1241" t="s">
        <v>1801</v>
      </c>
      <c r="BL16" s="1241" t="s">
        <v>1801</v>
      </c>
      <c r="BN16" s="1092" t="s">
        <v>1802</v>
      </c>
      <c r="BR16" s="1094"/>
      <c r="BS16" s="1455"/>
      <c r="BT16" s="1094"/>
      <c r="BU16" s="1094"/>
      <c r="BV16" s="1094"/>
      <c r="BW16" s="1718"/>
      <c r="BX16" s="1714"/>
    </row>
    <row customHeight="1" ht="21">
      <c r="A17" s="1098" t="s">
        <v>1803</v>
      </c>
      <c r="B17" s="1099">
        <v>2015</v>
      </c>
      <c r="G17" s="1100" t="s">
        <v>1750</v>
      </c>
      <c r="H17" s="1100" t="s">
        <v>1750</v>
      </c>
      <c r="I17" s="1100" t="s">
        <v>1804</v>
      </c>
      <c r="N17" s="1182" t="s">
        <v>1805</v>
      </c>
      <c r="X17" s="1111"/>
      <c r="AW17" s="1144" t="s">
        <v>1798</v>
      </c>
      <c r="AX17" s="1144" t="s">
        <v>1798</v>
      </c>
      <c r="AZ17" s="1144" t="s">
        <v>1806</v>
      </c>
      <c r="BB17" s="1144" t="s">
        <v>1807</v>
      </c>
      <c r="BC17" s="1144" t="s">
        <v>1658</v>
      </c>
      <c r="BE17" s="1144">
        <v>2015</v>
      </c>
      <c r="BH17" s="1092" t="s">
        <v>1746</v>
      </c>
      <c r="BJ17" s="1241" t="s">
        <v>1808</v>
      </c>
      <c r="BL17" s="1241" t="s">
        <v>1808</v>
      </c>
      <c r="BN17" s="1092" t="s">
        <v>1809</v>
      </c>
      <c r="BR17" s="1091" t="s">
        <v>1600</v>
      </c>
      <c r="BS17" s="1452"/>
      <c r="BU17" s="1091" t="s">
        <v>1810</v>
      </c>
      <c r="BV17" s="1094"/>
      <c r="BW17" s="1714"/>
      <c r="BX17" s="1716" t="s">
        <v>1811</v>
      </c>
      <c r="CA17" s="1091" t="s">
        <v>1812</v>
      </c>
      <c r="CD17" s="1091" t="s">
        <v>1813</v>
      </c>
    </row>
    <row customHeight="1" ht="21">
      <c r="A18" s="1098" t="s">
        <v>1814</v>
      </c>
      <c r="B18" s="1099">
        <v>2016</v>
      </c>
      <c r="E18" s="2029" t="s">
        <v>1815</v>
      </c>
      <c r="I18" s="1100" t="s">
        <v>1816</v>
      </c>
      <c r="N18" s="1182" t="s">
        <v>1817</v>
      </c>
      <c r="X18" s="1111"/>
      <c r="AW18" s="1144" t="s">
        <v>1804</v>
      </c>
      <c r="AX18" s="1144" t="s">
        <v>1804</v>
      </c>
      <c r="BB18" s="1144" t="s">
        <v>1818</v>
      </c>
      <c r="BC18" s="1144" t="s">
        <v>1658</v>
      </c>
      <c r="BE18" s="1144">
        <v>2016</v>
      </c>
      <c r="BH18" s="1092" t="s">
        <v>1760</v>
      </c>
      <c r="BJ18" s="1241" t="s">
        <v>1819</v>
      </c>
      <c r="BL18" s="1241" t="s">
        <v>1819</v>
      </c>
      <c r="BN18" s="1092" t="s">
        <v>1820</v>
      </c>
      <c r="BQ18" s="1456" t="s">
        <v>1630</v>
      </c>
      <c r="BR18" s="1183" t="s">
        <v>1631</v>
      </c>
      <c r="BS18" s="298"/>
      <c r="BT18" s="1456" t="s">
        <v>1821</v>
      </c>
      <c r="BU18" s="1183" t="s">
        <v>1822</v>
      </c>
      <c r="BV18" s="1094"/>
      <c r="BW18" s="1721" t="s">
        <v>1823</v>
      </c>
      <c r="BX18" s="1715" t="s">
        <v>1824</v>
      </c>
      <c r="BZ18" s="1456" t="s">
        <v>1825</v>
      </c>
      <c r="CA18" s="1183" t="s">
        <v>1826</v>
      </c>
      <c r="CC18" s="1456" t="s">
        <v>1827</v>
      </c>
      <c r="CD18" s="1183" t="s">
        <v>1828</v>
      </c>
    </row>
    <row customHeight="1" ht="21">
      <c r="A19" s="1894" t="s">
        <v>1829</v>
      </c>
      <c r="B19" s="1099">
        <v>2017</v>
      </c>
      <c r="E19" s="1098" t="s">
        <v>251</v>
      </c>
      <c r="I19" s="1100" t="s">
        <v>1830</v>
      </c>
      <c r="N19" s="1182" t="s">
        <v>1831</v>
      </c>
      <c r="X19" s="1111"/>
      <c r="AW19" s="1144" t="s">
        <v>1816</v>
      </c>
      <c r="AX19" s="1144" t="s">
        <v>1816</v>
      </c>
      <c r="AZ19" s="1091" t="s">
        <v>1832</v>
      </c>
      <c r="BB19" s="1144" t="s">
        <v>1833</v>
      </c>
      <c r="BC19" s="1144" t="s">
        <v>1658</v>
      </c>
      <c r="BE19" s="1144">
        <v>2017</v>
      </c>
      <c r="BH19" s="1092" t="s">
        <v>1834</v>
      </c>
      <c r="BJ19" s="1241" t="s">
        <v>1835</v>
      </c>
      <c r="BL19" s="1241" t="s">
        <v>1835</v>
      </c>
      <c r="BQ19" s="1305">
        <v>4190064</v>
      </c>
      <c r="BR19" s="1092" t="s">
        <v>1836</v>
      </c>
      <c r="BS19" s="1453"/>
      <c r="BT19" s="1305">
        <v>4189671</v>
      </c>
      <c r="BU19" s="1092" t="s">
        <v>1837</v>
      </c>
      <c r="BV19" s="1094"/>
      <c r="BW19" s="1719">
        <v>4189706</v>
      </c>
      <c r="BX19" s="1717" t="s">
        <v>1838</v>
      </c>
      <c r="BZ19" s="1305">
        <v>4189714</v>
      </c>
      <c r="CA19" s="1092" t="s">
        <v>1839</v>
      </c>
      <c r="CC19" s="1305">
        <v>4189708</v>
      </c>
      <c r="CD19" s="1092" t="s">
        <v>1840</v>
      </c>
    </row>
    <row customHeight="1" ht="21">
      <c r="A20" s="1098" t="s">
        <v>1841</v>
      </c>
      <c r="B20" s="1099">
        <v>2018</v>
      </c>
      <c r="E20" s="1098" t="s">
        <v>1589</v>
      </c>
      <c r="I20" s="1100" t="s">
        <v>1842</v>
      </c>
      <c r="N20" s="1182" t="s">
        <v>1843</v>
      </c>
      <c r="AW20" s="1144" t="s">
        <v>1830</v>
      </c>
      <c r="AX20" s="1144" t="s">
        <v>1830</v>
      </c>
      <c r="AZ20" s="1144" t="s">
        <v>1844</v>
      </c>
      <c r="BB20" s="1144" t="s">
        <v>1845</v>
      </c>
      <c r="BC20" s="1144" t="s">
        <v>1775</v>
      </c>
      <c r="BE20" s="1144">
        <v>2018</v>
      </c>
      <c r="BH20" s="1092" t="s">
        <v>1771</v>
      </c>
      <c r="BJ20" s="1092" t="s">
        <v>1698</v>
      </c>
      <c r="BL20" s="1092" t="s">
        <v>1698</v>
      </c>
      <c r="BQ20" s="1305">
        <v>4190065</v>
      </c>
      <c r="BR20" s="1092" t="s">
        <v>1846</v>
      </c>
      <c r="BS20" s="1453"/>
      <c r="BT20" s="1305">
        <v>4189672</v>
      </c>
      <c r="BU20" s="1092" t="s">
        <v>1847</v>
      </c>
      <c r="BV20" s="1094"/>
      <c r="BW20" s="1719">
        <v>4189705</v>
      </c>
      <c r="BX20" s="1717" t="s">
        <v>1848</v>
      </c>
      <c r="BZ20" s="1305">
        <v>4189713</v>
      </c>
      <c r="CA20" s="1092" t="s">
        <v>1848</v>
      </c>
      <c r="CC20" s="1305">
        <v>4189709</v>
      </c>
      <c r="CD20" s="1092" t="s">
        <v>1849</v>
      </c>
    </row>
    <row customHeight="1" ht="21">
      <c r="A21" s="1098" t="s">
        <v>1850</v>
      </c>
      <c r="B21" s="1099">
        <v>2019</v>
      </c>
      <c r="I21" s="1100" t="s">
        <v>1851</v>
      </c>
      <c r="N21" s="1182" t="s">
        <v>1852</v>
      </c>
      <c r="AW21" s="1144" t="s">
        <v>1842</v>
      </c>
      <c r="AX21" s="1144" t="s">
        <v>1842</v>
      </c>
      <c r="AZ21" s="1144" t="s">
        <v>1853</v>
      </c>
      <c r="BB21" s="1144" t="s">
        <v>1854</v>
      </c>
      <c r="BC21" s="1144" t="s">
        <v>1658</v>
      </c>
      <c r="BE21" s="1144">
        <v>2019</v>
      </c>
      <c r="BH21" s="1092" t="s">
        <v>1778</v>
      </c>
      <c r="BJ21" s="1092" t="s">
        <v>1714</v>
      </c>
      <c r="BL21" s="1092" t="s">
        <v>1714</v>
      </c>
      <c r="BQ21" s="1305">
        <v>4190066</v>
      </c>
      <c r="BR21" s="1092" t="s">
        <v>1855</v>
      </c>
      <c r="BS21" s="1453"/>
      <c r="BT21" s="1305">
        <v>4189673</v>
      </c>
      <c r="BU21" s="1092" t="s">
        <v>1856</v>
      </c>
      <c r="BV21" s="1094"/>
      <c r="BW21" s="1719">
        <v>4189707</v>
      </c>
      <c r="BX21" s="1717" t="s">
        <v>1857</v>
      </c>
      <c r="BZ21" s="1305">
        <v>4189712</v>
      </c>
      <c r="CA21" s="1092" t="s">
        <v>1858</v>
      </c>
      <c r="CC21" s="1305">
        <v>4189710</v>
      </c>
      <c r="CD21" s="1092" t="s">
        <v>1859</v>
      </c>
    </row>
    <row customHeight="1" ht="21">
      <c r="A22" s="1098" t="s">
        <v>1860</v>
      </c>
      <c r="B22" s="1099">
        <v>2020</v>
      </c>
      <c r="N22" s="1182" t="s">
        <v>1861</v>
      </c>
      <c r="AW22" s="1144" t="s">
        <v>1851</v>
      </c>
      <c r="AX22" s="1144" t="s">
        <v>1851</v>
      </c>
      <c r="AZ22" s="1144" t="s">
        <v>1862</v>
      </c>
      <c r="BB22" s="1144" t="s">
        <v>1863</v>
      </c>
      <c r="BC22" s="1144" t="s">
        <v>1658</v>
      </c>
      <c r="BE22" s="1144">
        <v>2020</v>
      </c>
      <c r="BH22" s="1092" t="s">
        <v>1785</v>
      </c>
      <c r="BJ22" s="1092" t="s">
        <v>1730</v>
      </c>
      <c r="BL22" s="1092" t="s">
        <v>1730</v>
      </c>
      <c r="BQ22" s="1305">
        <v>4190067</v>
      </c>
      <c r="BR22" s="1092" t="s">
        <v>1864</v>
      </c>
      <c r="BS22" s="1453"/>
      <c r="BT22" s="1305">
        <v>4189674</v>
      </c>
      <c r="BU22" s="1092" t="s">
        <v>1865</v>
      </c>
      <c r="BV22" s="1094"/>
      <c r="BW22" s="1094"/>
      <c r="CC22" s="1305">
        <v>4189711</v>
      </c>
      <c r="CD22" s="1092" t="s">
        <v>377</v>
      </c>
    </row>
    <row customHeight="1" ht="21">
      <c r="A23" s="1098" t="s">
        <v>1866</v>
      </c>
      <c r="B23" s="1099">
        <v>2021</v>
      </c>
      <c r="AW23" s="1144" t="s">
        <v>1867</v>
      </c>
      <c r="AX23" s="1144" t="s">
        <v>1867</v>
      </c>
      <c r="AZ23" s="1144" t="s">
        <v>1868</v>
      </c>
      <c r="BB23" s="1144" t="s">
        <v>1869</v>
      </c>
      <c r="BC23" s="1144" t="s">
        <v>1567</v>
      </c>
      <c r="BE23" s="1144">
        <v>2021</v>
      </c>
      <c r="BH23" s="1092" t="s">
        <v>1793</v>
      </c>
      <c r="BJ23" s="1092" t="s">
        <v>1746</v>
      </c>
      <c r="BL23" s="1092" t="s">
        <v>1746</v>
      </c>
      <c r="BQ23" s="1305">
        <v>4190068</v>
      </c>
      <c r="BR23" s="1092" t="s">
        <v>1870</v>
      </c>
      <c r="BS23" s="1453"/>
      <c r="BT23" s="1305">
        <v>4189675</v>
      </c>
      <c r="BU23" s="1092" t="s">
        <v>1871</v>
      </c>
      <c r="BV23" s="1094"/>
      <c r="BW23" s="1094"/>
      <c r="CC23" s="1305">
        <v>5110778</v>
      </c>
      <c r="CD23" s="1092" t="s">
        <v>1872</v>
      </c>
    </row>
    <row customHeight="1" ht="21">
      <c r="A24" s="1098" t="s">
        <v>1873</v>
      </c>
      <c r="B24" s="1099">
        <v>2022</v>
      </c>
      <c r="AW24" s="1144" t="s">
        <v>1874</v>
      </c>
      <c r="AX24" s="1144" t="s">
        <v>1874</v>
      </c>
      <c r="AZ24" s="1144" t="s">
        <v>1875</v>
      </c>
      <c r="BB24" s="1144" t="s">
        <v>1876</v>
      </c>
      <c r="BC24" s="1144" t="s">
        <v>1877</v>
      </c>
      <c r="BE24" s="1144">
        <v>2022</v>
      </c>
      <c r="BH24" s="1092" t="s">
        <v>1802</v>
      </c>
      <c r="BJ24" s="1092" t="s">
        <v>1760</v>
      </c>
      <c r="BL24" s="1092" t="s">
        <v>1760</v>
      </c>
      <c r="BQ24" s="1305">
        <v>4190069</v>
      </c>
      <c r="BR24" s="1092" t="s">
        <v>1878</v>
      </c>
      <c r="BS24" s="1453"/>
      <c r="BT24" s="1305">
        <v>4189676</v>
      </c>
      <c r="BU24" s="1092" t="s">
        <v>1879</v>
      </c>
      <c r="BV24" s="1094"/>
      <c r="BW24" s="1094"/>
      <c r="CC24" s="1305">
        <v>25575374</v>
      </c>
      <c r="CD24" s="1092" t="s">
        <v>1880</v>
      </c>
    </row>
    <row customHeight="1" ht="11.25">
      <c r="A25" s="1098" t="s">
        <v>1881</v>
      </c>
      <c r="B25" s="1099">
        <v>2023</v>
      </c>
      <c r="AW25" s="1144" t="s">
        <v>1882</v>
      </c>
      <c r="AX25" s="1144" t="s">
        <v>1882</v>
      </c>
      <c r="AZ25" s="1144" t="s">
        <v>1883</v>
      </c>
      <c r="BB25" s="1144" t="s">
        <v>1884</v>
      </c>
      <c r="BC25" s="1144" t="s">
        <v>1877</v>
      </c>
      <c r="BE25" s="1144">
        <v>2023</v>
      </c>
      <c r="BH25" s="1092" t="s">
        <v>1809</v>
      </c>
      <c r="BJ25" s="1092" t="s">
        <v>1834</v>
      </c>
      <c r="BL25" s="1092" t="s">
        <v>1834</v>
      </c>
      <c r="BQ25" s="1305">
        <v>4190070</v>
      </c>
      <c r="BR25" s="1092" t="s">
        <v>1885</v>
      </c>
      <c r="BS25" s="1453"/>
      <c r="BT25" s="1305">
        <v>4189677</v>
      </c>
      <c r="BU25" s="1092" t="s">
        <v>1886</v>
      </c>
      <c r="BV25" s="1094"/>
      <c r="BW25" s="1094"/>
    </row>
    <row customHeight="1" ht="11.25">
      <c r="A26" s="1098" t="s">
        <v>1887</v>
      </c>
      <c r="B26" s="1099">
        <v>2024</v>
      </c>
      <c r="J26" s="1755" t="s">
        <v>1888</v>
      </c>
      <c r="AX26" s="1144" t="s">
        <v>1889</v>
      </c>
      <c r="AZ26" s="1144" t="s">
        <v>1753</v>
      </c>
      <c r="BB26" s="1144" t="s">
        <v>1890</v>
      </c>
      <c r="BC26" s="1144" t="s">
        <v>1877</v>
      </c>
      <c r="BE26" s="1144">
        <v>2024</v>
      </c>
      <c r="BH26" s="1092" t="s">
        <v>1820</v>
      </c>
      <c r="BJ26" s="1092" t="s">
        <v>1771</v>
      </c>
      <c r="BL26" s="1092" t="s">
        <v>1771</v>
      </c>
      <c r="BQ26" s="1305">
        <v>4190071</v>
      </c>
      <c r="BR26" s="1092" t="s">
        <v>1891</v>
      </c>
      <c r="BS26" s="1453"/>
      <c r="BV26" s="1094"/>
      <c r="BW26" s="1094"/>
    </row>
    <row customHeight="1" ht="11.25">
      <c r="A27" s="1098" t="s">
        <v>1892</v>
      </c>
      <c r="B27" s="1099">
        <v>2025</v>
      </c>
      <c r="J27" s="200" t="s">
        <v>104</v>
      </c>
      <c r="AX27" s="1144" t="s">
        <v>1893</v>
      </c>
      <c r="BB27" s="1144" t="s">
        <v>1894</v>
      </c>
      <c r="BC27" s="1144" t="s">
        <v>1877</v>
      </c>
      <c r="BE27" s="1144">
        <v>2025</v>
      </c>
      <c r="BH27" s="1094" t="s">
        <v>22</v>
      </c>
      <c r="BJ27" s="1092" t="s">
        <v>1778</v>
      </c>
      <c r="BL27" s="1092" t="s">
        <v>1778</v>
      </c>
      <c r="BN27" s="1094" t="s">
        <v>22</v>
      </c>
      <c r="BQ27" s="1305">
        <v>4190072</v>
      </c>
      <c r="BR27" s="1092" t="s">
        <v>1895</v>
      </c>
      <c r="BS27" s="1453"/>
      <c r="BV27" s="1094"/>
      <c r="BW27" s="1094"/>
    </row>
    <row customHeight="1" ht="11.25">
      <c r="A28" s="1098" t="s">
        <v>1896</v>
      </c>
      <c r="D28" s="1125"/>
      <c r="E28" s="1126"/>
      <c r="F28" s="1126"/>
      <c r="H28" s="1127" t="s">
        <v>1897</v>
      </c>
      <c r="AX28" s="1144" t="s">
        <v>1898</v>
      </c>
      <c r="AZ28" s="1091" t="s">
        <v>1899</v>
      </c>
      <c r="BB28" s="1144" t="s">
        <v>1900</v>
      </c>
      <c r="BC28" s="1144" t="s">
        <v>1901</v>
      </c>
      <c r="BE28" s="1144">
        <v>2026</v>
      </c>
      <c r="BH28" s="1094" t="s">
        <v>22</v>
      </c>
      <c r="BJ28" s="1092" t="s">
        <v>1785</v>
      </c>
      <c r="BL28" s="1092" t="s">
        <v>1785</v>
      </c>
      <c r="BN28" s="1094" t="s">
        <v>22</v>
      </c>
      <c r="BQ28" s="1305">
        <v>4190073</v>
      </c>
      <c r="BR28" s="1092" t="s">
        <v>1902</v>
      </c>
      <c r="BS28" s="1453"/>
      <c r="BV28" s="1094"/>
      <c r="BW28" s="1094"/>
    </row>
    <row customHeight="1" ht="11.25">
      <c r="A29" s="1098" t="s">
        <v>1903</v>
      </c>
      <c r="D29" s="1128" t="s">
        <v>1904</v>
      </c>
      <c r="E29" s="1129" t="str">
        <f>IF(TEMPLATE_GROUP="","",INDEX(StartDateList,MATCH(TEMPLATE_GROUP,CodeTemplateList,0),1))</f>
        <v>01.04.2026</v>
      </c>
      <c r="F29" s="1129" t="str">
        <f>IF(TEMPLATE_GROUP="","",INDEX(EndDateList,MATCH(TEMPLATE_GROUP,CodeTemplateList,0),1))</f>
        <v>30.06.2026</v>
      </c>
      <c r="H29" s="1130" t="s">
        <v>1905</v>
      </c>
      <c r="AX29" s="1144" t="s">
        <v>1906</v>
      </c>
      <c r="AZ29" s="1144" t="s">
        <v>1552</v>
      </c>
      <c r="BB29" s="1144" t="s">
        <v>1753</v>
      </c>
      <c r="BC29" s="1115"/>
      <c r="BE29" s="1144">
        <v>2027</v>
      </c>
      <c r="BJ29" s="1092" t="s">
        <v>1793</v>
      </c>
      <c r="BL29" s="1092" t="s">
        <v>1793</v>
      </c>
    </row>
    <row customHeight="1" ht="11.25">
      <c r="A30" s="1098" t="s">
        <v>1907</v>
      </c>
      <c r="D30" s="1131"/>
      <c r="E30" s="1132"/>
      <c r="F30" s="1132"/>
      <c r="AX30" s="1144" t="s">
        <v>1908</v>
      </c>
      <c r="AZ30" s="1144" t="s">
        <v>1578</v>
      </c>
      <c r="BE30" s="1144">
        <v>2028</v>
      </c>
      <c r="BJ30" s="1092" t="s">
        <v>1909</v>
      </c>
      <c r="BL30" s="1092" t="s">
        <v>1909</v>
      </c>
    </row>
    <row customHeight="1" ht="12.75">
      <c r="A31" s="1098" t="s">
        <v>1910</v>
      </c>
      <c r="D31" s="1125"/>
      <c r="E31" s="1126"/>
      <c r="F31" s="1126"/>
      <c r="H31" s="1133"/>
      <c r="AX31" s="1144" t="s">
        <v>1911</v>
      </c>
      <c r="AZ31" s="1144" t="s">
        <v>1912</v>
      </c>
      <c r="BE31" s="1144">
        <v>2029</v>
      </c>
      <c r="BJ31" s="1092" t="s">
        <v>1913</v>
      </c>
      <c r="BL31" s="1092" t="s">
        <v>1913</v>
      </c>
    </row>
    <row customHeight="1" ht="11.25">
      <c r="A32" s="1098" t="s">
        <v>1914</v>
      </c>
      <c r="D32" s="1128" t="s">
        <v>1915</v>
      </c>
      <c r="E32" s="1129" t="str">
        <f>IF(TEMPLATE_GROUP="","",INDEX(StartDateList,MATCH(TEMPLATE_GROUP,CodeTemplateList,0),1))</f>
        <v>01.04.2026</v>
      </c>
      <c r="F32" s="1129" t="str">
        <f>IF(TEMPLATE_GROUP="","",INDEX(EndDateList,MATCH(TEMPLATE_GROUP,CodeTemplateList,0),1))</f>
        <v>30.06.2026</v>
      </c>
      <c r="H32" s="1134" t="s">
        <v>1916</v>
      </c>
      <c r="O32" s="1098" t="s">
        <v>1550</v>
      </c>
      <c r="AX32" s="1144" t="s">
        <v>1917</v>
      </c>
      <c r="AZ32" s="1144" t="s">
        <v>1646</v>
      </c>
      <c r="BE32" s="1144">
        <v>2030</v>
      </c>
      <c r="BJ32" s="1092" t="s">
        <v>1802</v>
      </c>
      <c r="BL32" s="1092" t="s">
        <v>1802</v>
      </c>
    </row>
    <row customHeight="1" ht="11.25">
      <c r="A33" s="1098" t="s">
        <v>1918</v>
      </c>
      <c r="O33" s="1098" t="s">
        <v>1575</v>
      </c>
      <c r="AX33" s="1144" t="s">
        <v>1919</v>
      </c>
      <c r="AZ33" s="1144" t="s">
        <v>1551</v>
      </c>
      <c r="BE33" s="1144">
        <v>2031</v>
      </c>
      <c r="BJ33" s="1092" t="s">
        <v>1809</v>
      </c>
      <c r="BL33" s="1092" t="s">
        <v>1809</v>
      </c>
    </row>
    <row customHeight="1" ht="11.25">
      <c r="A34" s="1098" t="s">
        <v>1920</v>
      </c>
      <c r="O34" s="1098" t="s">
        <v>1611</v>
      </c>
      <c r="AX34" s="1144" t="s">
        <v>1921</v>
      </c>
      <c r="BE34" s="1144">
        <v>2032</v>
      </c>
      <c r="BJ34" s="1092" t="s">
        <v>1820</v>
      </c>
      <c r="BL34" s="1092" t="s">
        <v>1820</v>
      </c>
    </row>
    <row customHeight="1" ht="11.25">
      <c r="A35" s="1098" t="s">
        <v>1922</v>
      </c>
      <c r="O35" s="1098" t="s">
        <v>1644</v>
      </c>
      <c r="AX35" s="1144" t="s">
        <v>1923</v>
      </c>
      <c r="AZ35" s="1091" t="s">
        <v>1924</v>
      </c>
      <c r="BE35" s="1144">
        <v>2033</v>
      </c>
      <c r="BL35" s="1092" t="s">
        <v>1925</v>
      </c>
    </row>
    <row customHeight="1" ht="11.25">
      <c r="A36" s="1894" t="s">
        <v>1926</v>
      </c>
      <c r="D36" s="1135" t="s">
        <v>1927</v>
      </c>
      <c r="E36" s="1136" t="s">
        <v>905</v>
      </c>
      <c r="F36" s="1137" t="str">
        <f>INDEX(E37:E41,MATCH(TEMPLATE_SPHERE,F37:F41,0))</f>
        <v>теплоснабжения</v>
      </c>
      <c r="G36" s="1137" t="str">
        <f>INDEX(G37:G41,MATCH(TEMPLATE_SPHERE,F37:F41,0))</f>
        <v>теплоснабжение</v>
      </c>
      <c r="O36" s="1098" t="s">
        <v>1669</v>
      </c>
      <c r="AX36" s="1144" t="s">
        <v>1928</v>
      </c>
      <c r="AZ36" s="1144" t="s">
        <v>1551</v>
      </c>
      <c r="BE36" s="1144">
        <v>2034</v>
      </c>
      <c r="BL36" s="1092" t="s">
        <v>1929</v>
      </c>
    </row>
    <row customHeight="1" ht="11.25">
      <c r="A37" s="1098" t="s">
        <v>1930</v>
      </c>
      <c r="E37" s="431" t="s">
        <v>1931</v>
      </c>
      <c r="F37" s="1138" t="s">
        <v>905</v>
      </c>
      <c r="G37" s="431" t="s">
        <v>1932</v>
      </c>
      <c r="O37" s="1098" t="s">
        <v>1688</v>
      </c>
      <c r="AX37" s="1144" t="s">
        <v>1933</v>
      </c>
      <c r="AZ37" s="1144" t="s">
        <v>1577</v>
      </c>
      <c r="BE37" s="1144">
        <v>2035</v>
      </c>
    </row>
    <row customHeight="1" ht="11.25">
      <c r="A38" s="1098" t="s">
        <v>1934</v>
      </c>
      <c r="E38" s="431" t="s">
        <v>1935</v>
      </c>
      <c r="F38" s="1139" t="s">
        <v>951</v>
      </c>
      <c r="G38" s="431" t="s">
        <v>1936</v>
      </c>
      <c r="O38" s="1098" t="s">
        <v>1705</v>
      </c>
      <c r="AX38" s="1144" t="s">
        <v>1937</v>
      </c>
      <c r="AZ38" s="1144" t="s">
        <v>1612</v>
      </c>
      <c r="BE38" s="1144">
        <v>2036</v>
      </c>
      <c r="BH38" s="1091" t="s">
        <v>1938</v>
      </c>
      <c r="BJ38" s="1091" t="s">
        <v>1939</v>
      </c>
      <c r="BL38" s="1091" t="s">
        <v>1940</v>
      </c>
      <c r="BN38" s="1091" t="s">
        <v>1941</v>
      </c>
    </row>
    <row customHeight="1" ht="11.25">
      <c r="A39" s="1098" t="s">
        <v>1942</v>
      </c>
      <c r="E39" s="431" t="s">
        <v>1943</v>
      </c>
      <c r="F39" s="1139" t="s">
        <v>1004</v>
      </c>
      <c r="G39" s="431" t="s">
        <v>1944</v>
      </c>
      <c r="O39" s="1098" t="s">
        <v>1721</v>
      </c>
      <c r="AX39" s="1144" t="s">
        <v>1945</v>
      </c>
      <c r="AZ39" s="1144" t="s">
        <v>1645</v>
      </c>
      <c r="BE39" s="1144">
        <v>2037</v>
      </c>
      <c r="BH39" s="1092" t="s">
        <v>1946</v>
      </c>
      <c r="BJ39" s="1241" t="s">
        <v>1946</v>
      </c>
      <c r="BL39" s="1241" t="s">
        <v>1946</v>
      </c>
      <c r="BN39" s="1092" t="s">
        <v>1947</v>
      </c>
    </row>
    <row customHeight="1" ht="11.25">
      <c r="A40" s="1098" t="s">
        <v>1948</v>
      </c>
      <c r="E40" s="431" t="s">
        <v>1949</v>
      </c>
      <c r="F40" s="1139" t="s">
        <v>991</v>
      </c>
      <c r="G40" s="431" t="s">
        <v>1950</v>
      </c>
      <c r="O40" s="1098" t="s">
        <v>1737</v>
      </c>
      <c r="AX40" s="1144" t="s">
        <v>1951</v>
      </c>
      <c r="BE40" s="1144">
        <v>2038</v>
      </c>
      <c r="BH40" s="1092" t="s">
        <v>1952</v>
      </c>
      <c r="BJ40" s="1241" t="s">
        <v>1362</v>
      </c>
      <c r="BL40" s="1241" t="s">
        <v>1362</v>
      </c>
      <c r="BN40" s="1092" t="s">
        <v>1396</v>
      </c>
    </row>
    <row customHeight="1" ht="11.25">
      <c r="A41" s="1098" t="s">
        <v>1953</v>
      </c>
      <c r="E41" s="431" t="s">
        <v>1954</v>
      </c>
      <c r="F41" s="1139" t="s">
        <v>1955</v>
      </c>
      <c r="G41" s="431" t="s">
        <v>1954</v>
      </c>
      <c r="O41" s="1098" t="s">
        <v>1753</v>
      </c>
      <c r="AX41" s="1144" t="s">
        <v>1956</v>
      </c>
      <c r="AZ41" s="1091" t="s">
        <v>1957</v>
      </c>
      <c r="BE41" s="1144">
        <v>2039</v>
      </c>
      <c r="BH41" s="1092" t="s">
        <v>1958</v>
      </c>
      <c r="BJ41" s="1241" t="s">
        <v>1358</v>
      </c>
      <c r="BL41" s="1241" t="s">
        <v>1358</v>
      </c>
      <c r="BN41" s="1092" t="s">
        <v>1383</v>
      </c>
    </row>
    <row customHeight="1" ht="11.25">
      <c r="A42" s="1098" t="s">
        <v>1959</v>
      </c>
      <c r="AX42" s="1144" t="s">
        <v>1960</v>
      </c>
      <c r="AZ42" s="1144" t="s">
        <v>1550</v>
      </c>
      <c r="BE42" s="1144">
        <v>2040</v>
      </c>
      <c r="BH42" s="1092" t="s">
        <v>1380</v>
      </c>
      <c r="BJ42" s="1241" t="s">
        <v>1360</v>
      </c>
      <c r="BL42" s="1241" t="s">
        <v>1360</v>
      </c>
      <c r="BN42" s="1092" t="s">
        <v>1961</v>
      </c>
    </row>
    <row customHeight="1" ht="11.25">
      <c r="A43" s="1098" t="s">
        <v>1962</v>
      </c>
      <c r="AX43" s="1144" t="s">
        <v>1963</v>
      </c>
      <c r="AZ43" s="1144" t="s">
        <v>1575</v>
      </c>
      <c r="BE43" s="1144">
        <v>2041</v>
      </c>
      <c r="BH43" s="1092" t="s">
        <v>1964</v>
      </c>
      <c r="BJ43" s="1241" t="s">
        <v>1958</v>
      </c>
      <c r="BL43" s="1241" t="s">
        <v>1958</v>
      </c>
      <c r="BN43" s="1092" t="s">
        <v>1965</v>
      </c>
    </row>
    <row customHeight="1" ht="11.25">
      <c r="A44" s="1098" t="s">
        <v>1966</v>
      </c>
      <c r="G44" s="1118">
        <f>YEAR(TODAY())</f>
        <v>2026</v>
      </c>
      <c r="I44" s="823" t="s">
        <v>1967</v>
      </c>
      <c r="J44" s="1113" t="s">
        <v>1968</v>
      </c>
      <c r="K44" s="1113" t="s">
        <v>1969</v>
      </c>
      <c r="AX44" s="1144" t="s">
        <v>1970</v>
      </c>
      <c r="AZ44" s="1144" t="s">
        <v>1611</v>
      </c>
      <c r="BE44" s="1144">
        <v>2042</v>
      </c>
      <c r="BH44" s="1092" t="s">
        <v>1971</v>
      </c>
      <c r="BJ44" s="1241" t="s">
        <v>1380</v>
      </c>
      <c r="BL44" s="1241" t="s">
        <v>1380</v>
      </c>
      <c r="BN44" s="1092" t="s">
        <v>1972</v>
      </c>
    </row>
    <row customHeight="1" ht="11.25">
      <c r="A45" s="1098" t="s">
        <v>1973</v>
      </c>
      <c r="D45" s="1135" t="s">
        <v>1974</v>
      </c>
      <c r="E45" s="1136" t="s">
        <v>1975</v>
      </c>
      <c r="F45" s="821" t="s">
        <v>1976</v>
      </c>
      <c r="G45" s="820" t="s">
        <v>1977</v>
      </c>
      <c r="H45" s="823" t="s">
        <v>1978</v>
      </c>
      <c r="I45" s="1765">
        <f>INDEX(PeriodIsEmptyList,MATCH(TEMPLATE_GROUP,CodeTemplateList,0),1)</f>
        <v>0</v>
      </c>
      <c r="J45" s="1768"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44" t="s">
        <v>1979</v>
      </c>
      <c r="AZ45" s="1144" t="s">
        <v>1644</v>
      </c>
      <c r="BE45" s="1144">
        <v>2043</v>
      </c>
      <c r="BH45" s="1092" t="s">
        <v>1980</v>
      </c>
      <c r="BJ45" s="1241" t="s">
        <v>1374</v>
      </c>
      <c r="BL45" s="1241" t="s">
        <v>1374</v>
      </c>
      <c r="BN45" s="1092" t="s">
        <v>1981</v>
      </c>
    </row>
    <row customHeight="1" ht="11.25">
      <c r="A46" s="1098" t="s">
        <v>1982</v>
      </c>
      <c r="E46" s="431" t="s">
        <v>27</v>
      </c>
      <c r="F46" s="1138" t="s">
        <v>1983</v>
      </c>
      <c r="G46" s="1140" t="str">
        <f>_xlfn.IFERROR(IF(TITLE_DATE_FIL="","01.01."&amp;CURRENT_YEAR,"01.01."&amp;YEAR(TITLE_DATE_FIL)),"01.01."&amp;CURRENT_YEAR)</f>
        <v>01.01.2026</v>
      </c>
      <c r="H46" s="1140" t="str">
        <f>_xlfn.IFERROR(IF(TITLE_DATE_FIL="","31.12."&amp;CURRENT_YEAR,"31.12."&amp;YEAR(TITLE_DATE_FIL)),"31.12."&amp;CURRENT_YEAR)</f>
        <v>31.12.2026</v>
      </c>
      <c r="I46" s="1766">
        <f>IF(TITLE_DATE_FIL="",TRUE,FALSE)</f>
        <v>1</v>
      </c>
      <c r="J46" s="1769" t="str">
        <f>"Общая информация о регулируемой организации ("&amp;TEMPLATE_SPHERE_RUS&amp;")"</f>
        <v>Общая информация о регулируемой организации (теплоснабжения)</v>
      </c>
      <c r="K46" s="1770"/>
      <c r="AX46" s="1144" t="s">
        <v>1984</v>
      </c>
      <c r="AZ46" s="1144" t="s">
        <v>1669</v>
      </c>
      <c r="BE46" s="1144">
        <v>2044</v>
      </c>
      <c r="BH46" s="1092" t="s">
        <v>1383</v>
      </c>
      <c r="BJ46" s="1241" t="s">
        <v>1364</v>
      </c>
      <c r="BL46" s="1241" t="s">
        <v>1364</v>
      </c>
      <c r="BN46" s="1092" t="s">
        <v>1985</v>
      </c>
    </row>
    <row customHeight="1" ht="11.25">
      <c r="A47" s="1098" t="s">
        <v>1986</v>
      </c>
      <c r="E47" s="431" t="s">
        <v>33</v>
      </c>
      <c r="F47" s="1139" t="s">
        <v>1975</v>
      </c>
      <c r="G47" s="1140" t="str">
        <f>_xlfn.IFERROR(IF(f_year="","01.01."&amp;CURRENT_YEAR,IF(LEN(f_quart)=0,"01.01."&amp;f_year,IF(f_quart="I квартал","01.01."&amp;f_year,IF(f_quart="II квартал","01.04."&amp;f_year,(IF(f_quart="III квартал","01.07."&amp;f_year,"01.10."&amp;f_year)))))),"01.01."&amp;CURRENT_YEAR)</f>
        <v>01.04.2026</v>
      </c>
      <c r="H47" s="1140" t="str">
        <f>_xlfn.IFERROR(IF(f_year="","31.12."&amp;CURRENT_YEAR,IF(LEN(f_quart)=0,"31.12."&amp;f_year,IF(f_quart="I квартал","31.03."&amp;f_year,IF(f_quart="II квартал","30.06."&amp;f_year,(IF(f_quart="III квартал","30.09."&amp;f_year,"31.12."&amp;f_year)))))),"31.12."&amp;CURRENT_YEAR)</f>
        <v>30.06.2026</v>
      </c>
      <c r="I47" s="1767">
        <f>IF(OR(f_year="",f_quart=""),TRUE,FALSE)</f>
        <v>0</v>
      </c>
      <c r="J47" s="17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70"/>
      <c r="AX47" s="1144" t="s">
        <v>1987</v>
      </c>
      <c r="AZ47" s="1144" t="s">
        <v>1688</v>
      </c>
      <c r="BE47" s="1144">
        <v>2045</v>
      </c>
      <c r="BH47" s="1092" t="s">
        <v>1961</v>
      </c>
      <c r="BJ47" s="1241" t="s">
        <v>1366</v>
      </c>
      <c r="BL47" s="1241" t="s">
        <v>1366</v>
      </c>
      <c r="BN47" s="1092" t="s">
        <v>1988</v>
      </c>
    </row>
    <row customHeight="1" ht="11.25">
      <c r="A48" s="1098" t="s">
        <v>1989</v>
      </c>
      <c r="E48" s="431" t="s">
        <v>1990</v>
      </c>
      <c r="F48" s="1139" t="s">
        <v>1991</v>
      </c>
      <c r="G48" s="1140" t="str">
        <f>_xlfn.IFERROR(IF(f_year="","01.01."&amp;CURRENT_YEAR,"01.01."&amp;f_year),"01.01."&amp;CURRENT_YEAR)</f>
        <v>01.01.2026</v>
      </c>
      <c r="H48" s="1140" t="str">
        <f>_xlfn.IFERROR(IF(f_year="","31.12."&amp;CURRENT_YEAR,"31.12."&amp;f_year),"31.12."&amp;CURRENT_YEAR)</f>
        <v>31.12.2026</v>
      </c>
      <c r="I48" s="1766">
        <f>IF(f_year="",TRUE,FALSE)</f>
        <v>0</v>
      </c>
      <c r="J48" s="1769" t="s">
        <v>1992</v>
      </c>
      <c r="K48" s="1770"/>
      <c r="AX48" s="1144" t="s">
        <v>125</v>
      </c>
      <c r="AZ48" s="1144" t="s">
        <v>1705</v>
      </c>
      <c r="BE48" s="1144">
        <v>2046</v>
      </c>
      <c r="BH48" s="1092" t="s">
        <v>1965</v>
      </c>
      <c r="BJ48" s="1241" t="s">
        <v>1368</v>
      </c>
      <c r="BL48" s="1241" t="s">
        <v>1368</v>
      </c>
      <c r="BN48" s="1092" t="s">
        <v>1993</v>
      </c>
    </row>
    <row customHeight="1" ht="11.25">
      <c r="A49" s="1098" t="s">
        <v>1994</v>
      </c>
      <c r="E49" s="431" t="s">
        <v>1995</v>
      </c>
      <c r="F49" s="1139" t="s">
        <v>1996</v>
      </c>
      <c r="G49" s="1140" t="str">
        <f>_xlfn.IFERROR(IF(f_year="","01.01."&amp;CURRENT_YEAR,"01.01."&amp;f_year),"01.01."&amp;CURRENT_YEAR)</f>
        <v>01.01.2026</v>
      </c>
      <c r="H49" s="1140" t="str">
        <f>_xlfn.IFERROR(IF(f_year="","31.12."&amp;CURRENT_YEAR,"31.12."&amp;f_year),"31.12."&amp;CURRENT_YEAR)</f>
        <v>31.12.2026</v>
      </c>
      <c r="I49" s="1766">
        <f>IF(f_year="",TRUE,FALSE)</f>
        <v>0</v>
      </c>
      <c r="J49" s="17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70"/>
      <c r="AX49" s="1144" t="s">
        <v>1997</v>
      </c>
      <c r="AZ49" s="1144" t="s">
        <v>1721</v>
      </c>
      <c r="BE49" s="1144">
        <v>2047</v>
      </c>
      <c r="BH49" s="1092" t="s">
        <v>1384</v>
      </c>
      <c r="BJ49" s="1241" t="s">
        <v>1370</v>
      </c>
      <c r="BL49" s="1241" t="s">
        <v>1370</v>
      </c>
    </row>
    <row customHeight="1" ht="11.25">
      <c r="A50" s="1098" t="s">
        <v>1998</v>
      </c>
      <c r="E50" s="431" t="s">
        <v>1999</v>
      </c>
      <c r="F50" s="1139" t="s">
        <v>1355</v>
      </c>
      <c r="G50" s="1140" t="str">
        <f>_xlfn.IFERROR(IF(f_year="","01.01."&amp;CURRENT_YEAR,"01.01."&amp;f_year),"01.01."&amp;CURRENT_YEAR)</f>
        <v>01.01.2026</v>
      </c>
      <c r="H50" s="1140" t="str">
        <f>_xlfn.IFERROR(IF(f_year="","31.12."&amp;CURRENT_YEAR,"31.12."&amp;f_year),"31.12."&amp;CURRENT_YEAR)</f>
        <v>31.12.2026</v>
      </c>
      <c r="I50" s="1766">
        <f>IF(f_year="",TRUE,FALSE)</f>
        <v>0</v>
      </c>
      <c r="J50" s="17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70"/>
      <c r="AX50" s="1144" t="s">
        <v>2000</v>
      </c>
      <c r="AZ50" s="1144" t="s">
        <v>1737</v>
      </c>
      <c r="BE50" s="1144">
        <v>2048</v>
      </c>
      <c r="BH50" s="1092" t="s">
        <v>1972</v>
      </c>
      <c r="BJ50" s="1241" t="s">
        <v>1372</v>
      </c>
      <c r="BL50" s="1241" t="s">
        <v>1372</v>
      </c>
    </row>
    <row customHeight="1" ht="11.25">
      <c r="A51" s="1098" t="s">
        <v>2001</v>
      </c>
      <c r="E51" s="431" t="s">
        <v>2002</v>
      </c>
      <c r="F51" s="1139" t="s">
        <v>2003</v>
      </c>
      <c r="G51" s="1140" t="str">
        <f>_xlfn.IFERROR(IF(TITLE_PERIOD_START="","01.01."&amp;CURRENT_YEAR,"01.01."&amp;YEAR(TITLE_PERIOD_START)),"01.01."&amp;CURRENT_YEAR)</f>
        <v>01.01.2026</v>
      </c>
      <c r="H51" s="1140" t="str">
        <f>_xlfn.IFERROR(IF(TITLE_PERIOD_END="","31.12."&amp;CURRENT_YEAR,"31.12."&amp;YEAR(TITLE_PERIOD_END)),"31.12."&amp;CURRENT_YEAR)</f>
        <v>31.12.2026</v>
      </c>
      <c r="I51" s="1767">
        <f>IF(OR(TITLE_PERIOD_START="",TITLE_PERIOD_END=""),TRUE,FALSE)</f>
        <v>1</v>
      </c>
      <c r="J51" s="17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70"/>
      <c r="AX51" s="1144" t="s">
        <v>2004</v>
      </c>
      <c r="AZ51" s="1144" t="s">
        <v>1753</v>
      </c>
      <c r="BE51" s="1144">
        <v>2049</v>
      </c>
      <c r="BH51" s="1092" t="s">
        <v>1981</v>
      </c>
      <c r="BJ51" s="1241" t="s">
        <v>2005</v>
      </c>
      <c r="BL51" s="1241" t="s">
        <v>2005</v>
      </c>
    </row>
    <row customHeight="1" ht="11.25">
      <c r="A52" s="1098" t="s">
        <v>2006</v>
      </c>
      <c r="E52" s="431" t="s">
        <v>2007</v>
      </c>
      <c r="F52" s="1139" t="s">
        <v>2008</v>
      </c>
      <c r="G52" s="1140" t="str">
        <f>_xlfn.IFERROR(IF(TITLE_PERIOD_START="","01.01."&amp;CURRENT_YEAR,"01.01."&amp;YEAR(TITLE_PERIOD_START)),"01.01."&amp;CURRENT_YEAR)</f>
        <v>01.01.2026</v>
      </c>
      <c r="H52" s="1140" t="str">
        <f>_xlfn.IFERROR(IF(TITLE_PERIOD_END="","31.12."&amp;CURRENT_YEAR,"31.12."&amp;YEAR(TITLE_PERIOD_END)),"31.12."&amp;CURRENT_YEAR)</f>
        <v>31.12.2026</v>
      </c>
      <c r="I52" s="1767">
        <f>IF(OR(TITLE_PERIOD_START="",TITLE_PERIOD_END=""),TRUE,FALSE)</f>
        <v>1</v>
      </c>
      <c r="J52" s="1769" t="str">
        <f>"Показатели, подлежащие раскрытию в сфере "&amp;TEMPLATE_SPHERE_RUS&amp;" (цены и тарифы)"</f>
        <v>Показатели, подлежащие раскрытию в сфере теплоснабжения (цены и тарифы)</v>
      </c>
      <c r="K52" s="1770"/>
      <c r="AX52" s="1144" t="s">
        <v>2009</v>
      </c>
      <c r="AZ52" s="1144" t="s">
        <v>1551</v>
      </c>
      <c r="BE52" s="1144">
        <v>2050</v>
      </c>
      <c r="BH52" s="1092" t="s">
        <v>1985</v>
      </c>
      <c r="BJ52" s="1241" t="s">
        <v>1383</v>
      </c>
      <c r="BL52" s="1241" t="s">
        <v>1383</v>
      </c>
    </row>
    <row customHeight="1" ht="11.25">
      <c r="A53" s="1098" t="s">
        <v>2010</v>
      </c>
      <c r="E53" s="431" t="s">
        <v>2011</v>
      </c>
      <c r="F53" s="1139" t="s">
        <v>2011</v>
      </c>
      <c r="G53" s="1140" t="str">
        <f>_xlfn.IFERROR(IF(f_year="","01.01."&amp;CURRENT_YEAR,"01.01."&amp;f_year),"01.01."&amp;CURRENT_YEAR)</f>
        <v>01.01.2026</v>
      </c>
      <c r="H53" s="1140" t="str">
        <f>_xlfn.IFERROR(IF(f_year="","31.12."&amp;CURRENT_YEAR,"31.12."&amp;f_year),"31.12."&amp;CURRENT_YEAR)</f>
        <v>31.12.2026</v>
      </c>
      <c r="I53" s="1766">
        <f>IF(AND(f_year="",TITLE_DATE_FIL=""),TRUE,FALSE)</f>
        <v>0</v>
      </c>
      <c r="J53" s="1769" t="s">
        <v>2012</v>
      </c>
      <c r="K53" s="1770"/>
      <c r="AX53" s="1144" t="s">
        <v>2013</v>
      </c>
      <c r="BE53" s="1144">
        <v>2051</v>
      </c>
      <c r="BH53" s="1092" t="s">
        <v>1988</v>
      </c>
      <c r="BJ53" s="1241" t="s">
        <v>1961</v>
      </c>
      <c r="BL53" s="1241" t="s">
        <v>1961</v>
      </c>
    </row>
    <row customHeight="1" ht="11.25">
      <c r="A54" s="1098" t="s">
        <v>2014</v>
      </c>
      <c r="AX54" s="1144" t="s">
        <v>2015</v>
      </c>
      <c r="AZ54" s="1091" t="s">
        <v>2016</v>
      </c>
      <c r="BE54" s="1144">
        <v>2052</v>
      </c>
      <c r="BH54" s="1092" t="s">
        <v>1993</v>
      </c>
      <c r="BJ54" s="1241" t="s">
        <v>1965</v>
      </c>
      <c r="BL54" s="1241" t="s">
        <v>1965</v>
      </c>
    </row>
    <row customHeight="1" ht="11.25">
      <c r="A55" s="1098" t="s">
        <v>2017</v>
      </c>
      <c r="AX55" s="1144" t="s">
        <v>2018</v>
      </c>
      <c r="AZ55" s="1144" t="s">
        <v>1553</v>
      </c>
      <c r="BE55" s="1144">
        <v>2053</v>
      </c>
      <c r="BH55" s="1094" t="s">
        <v>22</v>
      </c>
      <c r="BJ55" s="1241" t="s">
        <v>1384</v>
      </c>
      <c r="BL55" s="1241" t="s">
        <v>1384</v>
      </c>
    </row>
    <row customHeight="1" ht="11.25">
      <c r="A56" s="1098" t="s">
        <v>2019</v>
      </c>
      <c r="D56" s="1142" t="s">
        <v>2020</v>
      </c>
      <c r="E56" s="1119" t="s">
        <v>2021</v>
      </c>
      <c r="F56" s="1098" t="s">
        <v>2022</v>
      </c>
      <c r="AX56" s="1144" t="s">
        <v>2023</v>
      </c>
      <c r="AZ56" s="1144" t="s">
        <v>1579</v>
      </c>
      <c r="BE56" s="1144">
        <v>2054</v>
      </c>
      <c r="BH56" s="1094" t="s">
        <v>22</v>
      </c>
      <c r="BJ56" s="1241" t="s">
        <v>1972</v>
      </c>
      <c r="BL56" s="1241" t="s">
        <v>1972</v>
      </c>
    </row>
    <row customHeight="1" ht="11.25">
      <c r="A57" s="1098" t="s">
        <v>2024</v>
      </c>
      <c r="D57" s="1142" t="s">
        <v>2025</v>
      </c>
      <c r="E57" s="1119" t="s">
        <v>2026</v>
      </c>
      <c r="F57" s="1098" t="s">
        <v>2022</v>
      </c>
      <c r="AX57" s="1144" t="s">
        <v>2027</v>
      </c>
      <c r="AZ57" s="1144" t="s">
        <v>1614</v>
      </c>
      <c r="BE57" s="1144">
        <v>2055</v>
      </c>
      <c r="BJ57" s="1241" t="s">
        <v>1981</v>
      </c>
      <c r="BL57" s="1241" t="s">
        <v>1981</v>
      </c>
    </row>
    <row customHeight="1" ht="11.25">
      <c r="A58" s="1098" t="s">
        <v>2028</v>
      </c>
      <c r="D58" s="1142" t="s">
        <v>2029</v>
      </c>
      <c r="E58" s="1119" t="s">
        <v>119</v>
      </c>
      <c r="F58" s="1098" t="s">
        <v>2022</v>
      </c>
      <c r="AX58" s="1144" t="s">
        <v>2030</v>
      </c>
      <c r="BE58" s="1144">
        <v>2056</v>
      </c>
      <c r="BJ58" s="1241" t="s">
        <v>1985</v>
      </c>
      <c r="BL58" s="1241" t="s">
        <v>1985</v>
      </c>
    </row>
    <row customHeight="1" ht="11.25">
      <c r="A59" s="1098" t="s">
        <v>2031</v>
      </c>
      <c r="D59" s="1142" t="s">
        <v>219</v>
      </c>
      <c r="E59" s="1119" t="s">
        <v>1917</v>
      </c>
      <c r="F59" s="1098" t="s">
        <v>2032</v>
      </c>
      <c r="AX59" s="1144" t="s">
        <v>2033</v>
      </c>
      <c r="AZ59" s="1091" t="s">
        <v>2034</v>
      </c>
      <c r="BE59" s="1144">
        <v>2057</v>
      </c>
      <c r="BJ59" s="1241" t="s">
        <v>1988</v>
      </c>
      <c r="BL59" s="1241" t="s">
        <v>1988</v>
      </c>
    </row>
    <row customHeight="1" ht="11.25">
      <c r="A60" s="1098" t="s">
        <v>2035</v>
      </c>
      <c r="D60" s="1142" t="s">
        <v>2036</v>
      </c>
      <c r="E60" s="1119" t="s">
        <v>1917</v>
      </c>
      <c r="F60" s="1098" t="s">
        <v>2032</v>
      </c>
      <c r="AX60" s="1144" t="s">
        <v>2037</v>
      </c>
      <c r="AZ60" s="1144" t="s">
        <v>1554</v>
      </c>
      <c r="BE60" s="1144">
        <v>2058</v>
      </c>
      <c r="BJ60" s="1241" t="s">
        <v>1993</v>
      </c>
      <c r="BL60" s="1241" t="s">
        <v>1993</v>
      </c>
    </row>
    <row customHeight="1" ht="11.25">
      <c r="A61" s="1098" t="s">
        <v>2038</v>
      </c>
      <c r="D61" s="1142" t="s">
        <v>2039</v>
      </c>
      <c r="E61" s="1119" t="s">
        <v>1917</v>
      </c>
      <c r="F61" s="1098" t="s">
        <v>2032</v>
      </c>
      <c r="AX61" s="1144" t="s">
        <v>2040</v>
      </c>
      <c r="AZ61" s="1144" t="s">
        <v>1580</v>
      </c>
      <c r="BE61" s="1144">
        <v>2059</v>
      </c>
      <c r="BL61" s="1241" t="s">
        <v>1376</v>
      </c>
    </row>
    <row customHeight="1" ht="11.25">
      <c r="A62" s="1098" t="s">
        <v>2041</v>
      </c>
      <c r="D62" s="1142" t="s">
        <v>218</v>
      </c>
      <c r="E62" s="1119">
        <v>30</v>
      </c>
      <c r="F62" s="1098" t="s">
        <v>2032</v>
      </c>
      <c r="AZ62" s="1144" t="s">
        <v>1615</v>
      </c>
      <c r="BE62" s="1144">
        <v>2060</v>
      </c>
      <c r="BL62" s="1241" t="s">
        <v>1378</v>
      </c>
    </row>
    <row customHeight="1" ht="11.25">
      <c r="A63" s="1098" t="s">
        <v>2042</v>
      </c>
      <c r="D63" s="1142" t="s">
        <v>2043</v>
      </c>
      <c r="E63" s="1119">
        <v>30</v>
      </c>
      <c r="F63" s="1098" t="s">
        <v>2032</v>
      </c>
      <c r="AZ63" s="1144" t="s">
        <v>1647</v>
      </c>
      <c r="BE63" s="1144">
        <v>2061</v>
      </c>
    </row>
    <row customHeight="1" ht="11.25">
      <c r="A64" s="1098" t="s">
        <v>2044</v>
      </c>
      <c r="D64" s="1142" t="s">
        <v>2045</v>
      </c>
      <c r="E64" s="1119">
        <v>30</v>
      </c>
      <c r="F64" s="1098" t="s">
        <v>2032</v>
      </c>
      <c r="AZ64" s="1144" t="s">
        <v>1670</v>
      </c>
      <c r="BE64" s="1144">
        <v>2062</v>
      </c>
    </row>
    <row customHeight="1" ht="11.25">
      <c r="A65" s="1098" t="s">
        <v>2046</v>
      </c>
      <c r="D65" s="1098"/>
      <c r="BE65" s="1144">
        <v>2063</v>
      </c>
    </row>
    <row customHeight="1" ht="11.25">
      <c r="A66" s="1098" t="s">
        <v>2047</v>
      </c>
      <c r="AZ66" s="1091" t="s">
        <v>2048</v>
      </c>
      <c r="BE66" s="1144">
        <v>2064</v>
      </c>
    </row>
    <row customHeight="1" ht="11.25">
      <c r="A67" s="1098" t="s">
        <v>2049</v>
      </c>
      <c r="AZ67" s="1144" t="s">
        <v>1555</v>
      </c>
      <c r="BE67" s="1144">
        <v>2065</v>
      </c>
    </row>
    <row customHeight="1" ht="11.25">
      <c r="A68" s="1098" t="s">
        <v>2050</v>
      </c>
      <c r="AZ68" s="1144" t="s">
        <v>1581</v>
      </c>
      <c r="BE68" s="1144">
        <v>2066</v>
      </c>
      <c r="BH68" s="1091" t="s">
        <v>2051</v>
      </c>
      <c r="BJ68" s="1091" t="s">
        <v>2052</v>
      </c>
      <c r="BL68" s="1091" t="s">
        <v>2053</v>
      </c>
      <c r="BN68" s="1091" t="s">
        <v>2054</v>
      </c>
    </row>
    <row customHeight="1" ht="11.25">
      <c r="A69" s="1098" t="s">
        <v>2055</v>
      </c>
      <c r="AZ69" s="1144" t="s">
        <v>1616</v>
      </c>
      <c r="BE69" s="1144">
        <v>2067</v>
      </c>
      <c r="BH69" s="1092" t="s">
        <v>2056</v>
      </c>
      <c r="BI69" s="1141" t="s">
        <v>170</v>
      </c>
      <c r="BJ69" s="1092" t="s">
        <v>2057</v>
      </c>
      <c r="BK69" s="1141" t="s">
        <v>170</v>
      </c>
      <c r="BL69" s="1092" t="s">
        <v>2058</v>
      </c>
      <c r="BM69" s="1094" t="s">
        <v>170</v>
      </c>
      <c r="BN69" s="1092" t="s">
        <v>2059</v>
      </c>
    </row>
    <row customHeight="1" ht="11.25">
      <c r="A70" s="1098" t="s">
        <v>2060</v>
      </c>
      <c r="AZ70" s="1144" t="s">
        <v>1648</v>
      </c>
      <c r="BE70" s="1144">
        <v>2068</v>
      </c>
      <c r="BH70" s="1092" t="s">
        <v>2061</v>
      </c>
      <c r="BJ70" s="1092" t="s">
        <v>2062</v>
      </c>
      <c r="BL70" s="1092" t="s">
        <v>2063</v>
      </c>
      <c r="BN70" s="1092" t="s">
        <v>2064</v>
      </c>
    </row>
    <row customHeight="1" ht="11.25">
      <c r="A71" s="1098" t="s">
        <v>2065</v>
      </c>
      <c r="AZ71" s="1144" t="s">
        <v>1650</v>
      </c>
      <c r="BE71" s="1144">
        <v>2069</v>
      </c>
      <c r="BH71" s="1092" t="s">
        <v>2066</v>
      </c>
      <c r="BI71" s="1141" t="s">
        <v>90</v>
      </c>
      <c r="BJ71" s="1092" t="s">
        <v>2067</v>
      </c>
      <c r="BK71" s="1141" t="s">
        <v>90</v>
      </c>
      <c r="BL71" s="1092" t="s">
        <v>2068</v>
      </c>
      <c r="BM71" s="1094" t="s">
        <v>90</v>
      </c>
      <c r="BN71" s="1092" t="s">
        <v>2069</v>
      </c>
    </row>
    <row customHeight="1" ht="11.25">
      <c r="A72" s="1098" t="s">
        <v>2070</v>
      </c>
      <c r="AZ72" s="1144" t="s">
        <v>19</v>
      </c>
      <c r="BE72" s="1144">
        <v>2070</v>
      </c>
      <c r="BH72" s="1092" t="s">
        <v>2071</v>
      </c>
      <c r="BJ72" s="1092" t="s">
        <v>2071</v>
      </c>
      <c r="BL72" s="1092" t="s">
        <v>2071</v>
      </c>
      <c r="BN72" s="1092" t="s">
        <v>2072</v>
      </c>
    </row>
    <row customHeight="1" ht="11.25">
      <c r="A73" s="1098" t="s">
        <v>2073</v>
      </c>
      <c r="BH73" s="1092" t="s">
        <v>2074</v>
      </c>
      <c r="BI73" s="1141" t="s">
        <v>119</v>
      </c>
      <c r="BJ73" s="1092" t="s">
        <v>2075</v>
      </c>
      <c r="BK73" s="1141" t="s">
        <v>119</v>
      </c>
      <c r="BL73" s="1092" t="s">
        <v>2076</v>
      </c>
      <c r="BM73" s="1094" t="s">
        <v>119</v>
      </c>
      <c r="BN73" s="1092" t="s">
        <v>2077</v>
      </c>
    </row>
    <row customHeight="1" ht="11.25">
      <c r="A74" s="1098" t="s">
        <v>2078</v>
      </c>
      <c r="BH74" s="1092" t="s">
        <v>2079</v>
      </c>
      <c r="BJ74" s="1092" t="s">
        <v>2080</v>
      </c>
      <c r="BL74" s="1092" t="s">
        <v>2081</v>
      </c>
      <c r="BN74" s="1092" t="s">
        <v>2082</v>
      </c>
    </row>
    <row customHeight="1" ht="11.25">
      <c r="A75" s="1098" t="s">
        <v>2083</v>
      </c>
      <c r="AZ75" s="1091" t="s">
        <v>2084</v>
      </c>
      <c r="BH75" s="1092" t="s">
        <v>2085</v>
      </c>
      <c r="BJ75" s="1092" t="s">
        <v>2085</v>
      </c>
      <c r="BL75" s="1092" t="s">
        <v>2085</v>
      </c>
    </row>
    <row customHeight="1" ht="11.25">
      <c r="A76" s="1098" t="s">
        <v>2086</v>
      </c>
      <c r="AZ76" s="1144" t="s">
        <v>1564</v>
      </c>
      <c r="BH76" s="1092" t="s">
        <v>2087</v>
      </c>
      <c r="BJ76" s="1092" t="s">
        <v>2088</v>
      </c>
      <c r="BL76" s="1092" t="s">
        <v>2089</v>
      </c>
    </row>
    <row customHeight="1" ht="11.25">
      <c r="A77" s="1098" t="s">
        <v>2090</v>
      </c>
      <c r="AZ77" s="1144" t="s">
        <v>1591</v>
      </c>
    </row>
    <row customHeight="1" ht="11.25">
      <c r="A78" s="1098" t="s">
        <v>2091</v>
      </c>
      <c r="AZ78" s="1144" t="s">
        <v>1623</v>
      </c>
    </row>
    <row customHeight="1" ht="11.25">
      <c r="A79" s="1098" t="s">
        <v>2092</v>
      </c>
      <c r="AZ79" s="1144" t="s">
        <v>1654</v>
      </c>
      <c r="BH79" s="1091" t="s">
        <v>2093</v>
      </c>
      <c r="BJ79" s="1091" t="s">
        <v>2094</v>
      </c>
      <c r="BL79" s="1091" t="s">
        <v>2095</v>
      </c>
    </row>
    <row customHeight="1" ht="11.25">
      <c r="A80" s="1098" t="s">
        <v>2096</v>
      </c>
      <c r="AZ80" s="1144" t="s">
        <v>1675</v>
      </c>
      <c r="BH80" s="1092" t="s">
        <v>2097</v>
      </c>
      <c r="BJ80" s="1092" t="s">
        <v>2098</v>
      </c>
      <c r="BL80" s="1092" t="s">
        <v>2099</v>
      </c>
    </row>
    <row customHeight="1" ht="11.25">
      <c r="A81" s="1098" t="s">
        <v>2100</v>
      </c>
      <c r="AZ81" s="1144" t="s">
        <v>1692</v>
      </c>
      <c r="BH81" s="1092" t="s">
        <v>2101</v>
      </c>
      <c r="BJ81" s="1092" t="s">
        <v>2102</v>
      </c>
      <c r="BL81" s="1092" t="s">
        <v>2103</v>
      </c>
    </row>
    <row customHeight="1" ht="11.25">
      <c r="A82" s="1098" t="s">
        <v>2104</v>
      </c>
      <c r="AZ82" s="1144" t="s">
        <v>1707</v>
      </c>
      <c r="BH82" s="1092" t="s">
        <v>2105</v>
      </c>
      <c r="BJ82" s="1092" t="s">
        <v>2106</v>
      </c>
      <c r="BL82" s="1092" t="s">
        <v>2107</v>
      </c>
    </row>
    <row customHeight="1" ht="11.25">
      <c r="A83" s="1098" t="s">
        <v>16</v>
      </c>
      <c r="BH83" s="1092" t="s">
        <v>2108</v>
      </c>
      <c r="BJ83" s="1092" t="s">
        <v>2109</v>
      </c>
      <c r="BL83" s="1092" t="s">
        <v>2110</v>
      </c>
    </row>
    <row customHeight="1" ht="11.25">
      <c r="A84" s="1098" t="s">
        <v>2111</v>
      </c>
      <c r="AZ84" s="1091" t="s">
        <v>2112</v>
      </c>
    </row>
    <row customHeight="1" ht="11.25">
      <c r="A85" s="1894" t="s">
        <v>2113</v>
      </c>
      <c r="AZ85" s="1144" t="s">
        <v>2114</v>
      </c>
    </row>
    <row customHeight="1" ht="11.25">
      <c r="A86" s="1098" t="s">
        <v>2115</v>
      </c>
      <c r="AZ86" s="1144" t="s">
        <v>2116</v>
      </c>
      <c r="BH86" s="1091" t="s">
        <v>2117</v>
      </c>
      <c r="BJ86" s="1091" t="s">
        <v>2118</v>
      </c>
      <c r="BL86" s="1091" t="s">
        <v>2119</v>
      </c>
    </row>
    <row customHeight="1" ht="11.25">
      <c r="A87" s="1098" t="s">
        <v>2120</v>
      </c>
      <c r="AZ87" s="1144" t="s">
        <v>2121</v>
      </c>
      <c r="BH87" s="1092" t="s">
        <v>2122</v>
      </c>
      <c r="BJ87" s="1092" t="s">
        <v>2123</v>
      </c>
      <c r="BL87" s="1092" t="s">
        <v>2124</v>
      </c>
    </row>
    <row customHeight="1" ht="11.25">
      <c r="A88" s="1098" t="s">
        <v>2125</v>
      </c>
      <c r="AZ88" s="1630"/>
      <c r="BH88" s="1092" t="s">
        <v>2126</v>
      </c>
      <c r="BJ88" s="1092" t="s">
        <v>2127</v>
      </c>
      <c r="BL88" s="1092" t="s">
        <v>2128</v>
      </c>
    </row>
    <row customHeight="1" ht="11.25">
      <c r="A89" s="1098" t="s">
        <v>2129</v>
      </c>
      <c r="AZ89" s="1091" t="s">
        <v>2130</v>
      </c>
    </row>
    <row customHeight="1" ht="11.25">
      <c r="A90" s="1098" t="s">
        <v>2131</v>
      </c>
      <c r="AZ90" s="1144" t="s">
        <v>1355</v>
      </c>
    </row>
    <row customHeight="1" ht="11.25">
      <c r="A91" s="1098" t="s">
        <v>2132</v>
      </c>
      <c r="AZ91" s="1144" t="s">
        <v>1390</v>
      </c>
      <c r="BH91" s="1091" t="s">
        <v>2133</v>
      </c>
      <c r="BJ91" s="1091" t="s">
        <v>2134</v>
      </c>
      <c r="BL91" s="1091" t="s">
        <v>2135</v>
      </c>
    </row>
    <row customHeight="1" ht="11.25">
      <c r="AZ92" s="1144" t="s">
        <v>2136</v>
      </c>
      <c r="BH92" s="1092" t="s">
        <v>2137</v>
      </c>
      <c r="BJ92" s="1092" t="s">
        <v>2138</v>
      </c>
      <c r="BL92" s="1092" t="s">
        <v>2139</v>
      </c>
    </row>
    <row customHeight="1" ht="11.25">
      <c r="AZ93" s="1144" t="s">
        <v>2140</v>
      </c>
      <c r="BH93" s="1092" t="s">
        <v>2141</v>
      </c>
      <c r="BJ93" s="1092" t="s">
        <v>2142</v>
      </c>
      <c r="BL93" s="1092" t="s">
        <v>2143</v>
      </c>
    </row>
    <row customHeight="1" ht="11.25">
      <c r="AZ94" s="1144" t="s">
        <v>2144</v>
      </c>
    </row>
    <row r="96" customHeight="1" ht="11.25">
      <c r="AZ96" s="1091" t="s">
        <v>2145</v>
      </c>
      <c r="BH96" s="1091" t="s">
        <v>2146</v>
      </c>
      <c r="BJ96" s="1091" t="s">
        <v>2147</v>
      </c>
      <c r="BL96" s="1091" t="s">
        <v>2148</v>
      </c>
      <c r="BN96" s="1091" t="s">
        <v>2149</v>
      </c>
    </row>
    <row customHeight="1" ht="11.25">
      <c r="AZ97" s="1925" t="s">
        <v>2150</v>
      </c>
      <c r="BA97" s="1926" t="s">
        <v>2151</v>
      </c>
      <c r="BH97" s="1092" t="s">
        <v>2152</v>
      </c>
      <c r="BJ97" s="1092" t="s">
        <v>2153</v>
      </c>
      <c r="BL97" s="1092" t="s">
        <v>2154</v>
      </c>
      <c r="BN97" s="1092" t="s">
        <v>2155</v>
      </c>
    </row>
    <row customHeight="1" ht="11.25">
      <c r="AZ98" s="1925" t="s">
        <v>2156</v>
      </c>
      <c r="BA98" s="1926" t="s">
        <v>2157</v>
      </c>
      <c r="BH98" s="1092" t="s">
        <v>2158</v>
      </c>
      <c r="BJ98" s="1092" t="s">
        <v>2159</v>
      </c>
      <c r="BL98" s="1092" t="s">
        <v>2160</v>
      </c>
      <c r="BN98" s="1092" t="s">
        <v>2161</v>
      </c>
    </row>
    <row customHeight="1" ht="22.5">
      <c r="AZ99" s="1925" t="s">
        <v>2162</v>
      </c>
      <c r="BA99" s="19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92" t="s">
        <v>2163</v>
      </c>
      <c r="BJ99" s="1092" t="s">
        <v>2164</v>
      </c>
      <c r="BL99" s="1092" t="s">
        <v>2165</v>
      </c>
      <c r="BN99" s="1092" t="s">
        <v>2166</v>
      </c>
    </row>
    <row customHeight="1" ht="22.5">
      <c r="AZ100" s="1925" t="s">
        <v>2167</v>
      </c>
      <c r="BA100" s="19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92" t="s">
        <v>1753</v>
      </c>
      <c r="BL100" s="1092" t="s">
        <v>1753</v>
      </c>
      <c r="BN100" s="1092" t="s">
        <v>2168</v>
      </c>
    </row>
    <row customHeight="1" ht="22.5">
      <c r="AZ101" s="1925" t="s">
        <v>2169</v>
      </c>
      <c r="BA101" s="1926" t="s">
        <v>2170</v>
      </c>
      <c r="BN101" s="1092" t="s">
        <v>2171</v>
      </c>
    </row>
    <row customHeight="1" ht="22.5">
      <c r="AZ102" s="1925" t="s">
        <v>2172</v>
      </c>
      <c r="BA102" s="19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92" t="s">
        <v>2173</v>
      </c>
    </row>
    <row customHeight="1" ht="11.25">
      <c r="AZ103" s="1925" t="s">
        <v>2174</v>
      </c>
      <c r="BA103" s="1926" t="s">
        <v>2175</v>
      </c>
      <c r="BN103" s="1092" t="s">
        <v>2176</v>
      </c>
    </row>
    <row customHeight="1" ht="11.25">
      <c r="BN104" s="1092" t="s">
        <v>2177</v>
      </c>
    </row>
    <row customHeight="1" ht="11.25">
      <c r="AZ105" s="1716" t="s">
        <v>2178</v>
      </c>
    </row>
    <row customHeight="1" ht="11.25">
      <c r="AZ106" s="1144" t="s">
        <v>2179</v>
      </c>
    </row>
    <row customHeight="1" ht="11.25">
      <c r="AZ107" s="1144" t="s">
        <v>2180</v>
      </c>
      <c r="BH107" s="1091" t="s">
        <v>2181</v>
      </c>
      <c r="BJ107" s="1091" t="s">
        <v>2182</v>
      </c>
      <c r="BL107" s="1091" t="s">
        <v>2183</v>
      </c>
      <c r="BN107" s="1091" t="s">
        <v>2184</v>
      </c>
    </row>
    <row customHeight="1" ht="11.25">
      <c r="AZ108" s="1144" t="s">
        <v>655</v>
      </c>
      <c r="BH108" s="1092" t="s">
        <v>2185</v>
      </c>
      <c r="BJ108" s="1092" t="s">
        <v>2186</v>
      </c>
      <c r="BL108" s="1092" t="s">
        <v>1839</v>
      </c>
      <c r="BN108" s="1092" t="s">
        <v>2187</v>
      </c>
    </row>
    <row customHeight="1" ht="11.25">
      <c r="BH109" s="1092" t="s">
        <v>2188</v>
      </c>
    </row>
    <row customHeight="1" ht="11.25">
      <c r="AZ110" s="1716" t="s">
        <v>2189</v>
      </c>
      <c r="BH110" s="1092" t="s">
        <v>2188</v>
      </c>
    </row>
    <row customHeight="1" ht="11.25">
      <c r="AZ111" s="1925" t="s">
        <v>2150</v>
      </c>
      <c r="BA111" s="1926" t="s">
        <v>2151</v>
      </c>
    </row>
    <row customHeight="1" ht="11.25">
      <c r="AZ112" s="1925" t="s">
        <v>2156</v>
      </c>
      <c r="BA112" s="1926" t="s">
        <v>2157</v>
      </c>
    </row>
    <row customHeight="1" ht="22.5">
      <c r="AZ113" s="1925" t="s">
        <v>2162</v>
      </c>
      <c r="BA113" s="192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25" t="s">
        <v>2167</v>
      </c>
      <c r="BA114" s="19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91" t="s">
        <v>2190</v>
      </c>
    </row>
    <row customHeight="1" ht="22.5">
      <c r="AZ115" s="1925" t="s">
        <v>2172</v>
      </c>
      <c r="BA115" s="19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92" t="s">
        <v>1551</v>
      </c>
    </row>
    <row customHeight="1" ht="11.25">
      <c r="AZ116" s="1925" t="s">
        <v>2174</v>
      </c>
      <c r="BA116" s="1926" t="s">
        <v>2175</v>
      </c>
      <c r="BH116" s="1092" t="s">
        <v>1577</v>
      </c>
    </row>
    <row customHeight="1" ht="11.25">
      <c r="BH117" s="1092" t="s">
        <v>1612</v>
      </c>
    </row>
    <row customHeight="1" ht="11.25">
      <c r="BH118" s="1092" t="s">
        <v>1645</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41A55C-AB5A-6CF5-0AB7-0.910F1203}"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25" width="15.00390625" hidden="1" customWidth="1"/>
    <col min="3" max="3" style="479" width="3.00390625" customWidth="1"/>
    <col min="4" max="4" style="480" width="6.00390625" customWidth="1"/>
    <col min="5" max="5" style="479" width="52.00390625" customWidth="1"/>
    <col min="6" max="6" style="479" width="48.00390625" customWidth="1"/>
    <col min="7" max="7" style="479" width="93.00390625" customWidth="1"/>
    <col min="8" max="8" style="479" width="8.00390625" customWidth="1"/>
    <col min="9" max="9" style="479" width="64.00390625" customWidth="1"/>
    <col min="10" max="10" style="479" width="9.140625" hidden="1"/>
  </cols>
  <sheetData>
    <row customHeight="1" ht="11.25" hidden="1">
      <c r="A1" s="525" t="s">
        <v>383</v>
      </c>
      <c r="J1" s="479" t="s">
        <v>14</v>
      </c>
    </row>
    <row customHeight="1" ht="22.5" hidden="1">
      <c r="A2" s="526"/>
      <c r="B2" s="526"/>
      <c r="C2" s="1754" t="s">
        <v>104</v>
      </c>
      <c r="D2" s="1544"/>
      <c r="E2" s="1550"/>
      <c r="F2" s="1573"/>
      <c r="H2" s="499"/>
      <c r="J2" s="479">
        <v>0</v>
      </c>
    </row>
    <row customHeight="1" ht="11.25" hidden="1">
      <c r="J3" s="479">
        <v>0</v>
      </c>
    </row>
    <row customHeight="1" ht="11.549999999999999">
      <c r="A4" s="1574"/>
      <c r="B4" s="1574"/>
      <c r="J4" s="479">
        <v>11</v>
      </c>
    </row>
    <row customHeight="1" ht="27.299999999999997">
      <c r="D5" s="226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63"/>
      <c r="F5" s="2264"/>
      <c r="I5" s="739"/>
      <c r="J5" s="479">
        <v>26</v>
      </c>
    </row>
    <row customHeight="1" ht="18">
      <c r="D6" s="2200" t="str">
        <f>IF(region_name=0,"Не определено",region_name)</f>
        <v>Хабаровский край</v>
      </c>
      <c r="E6" s="2200"/>
      <c r="F6" s="2200"/>
      <c r="I6" s="739"/>
      <c r="J6" s="479">
        <v>17</v>
      </c>
    </row>
    <row s="501" customFormat="1" customHeight="1" ht="11.549999999999999">
      <c r="A7" s="525"/>
      <c r="B7" s="525"/>
      <c r="D7" s="738"/>
      <c r="E7" s="738"/>
      <c r="F7" s="776"/>
      <c r="G7" s="738"/>
      <c r="J7" s="501">
        <v>11</v>
      </c>
    </row>
    <row customHeight="1" ht="11.25" hidden="1">
      <c r="A8" s="526"/>
      <c r="B8" s="526"/>
      <c r="C8" s="481"/>
      <c r="D8" s="487"/>
      <c r="E8" s="2231"/>
      <c r="F8" s="2231"/>
      <c r="J8" s="479">
        <v>0</v>
      </c>
    </row>
    <row customHeight="1" ht="11.549999999999999">
      <c r="A9" s="526"/>
      <c r="B9" s="526"/>
      <c r="C9" s="481"/>
      <c r="D9" s="2228" t="s">
        <v>384</v>
      </c>
      <c r="E9" s="2229"/>
      <c r="F9" s="2229"/>
      <c r="G9" s="2232" t="s">
        <v>385</v>
      </c>
      <c r="J9" s="479">
        <v>11</v>
      </c>
    </row>
    <row customHeight="1" ht="11.549999999999999">
      <c r="A10" s="526"/>
      <c r="B10" s="526"/>
      <c r="C10" s="481"/>
      <c r="D10" s="1498" t="s">
        <v>88</v>
      </c>
      <c r="E10" s="1500" t="s">
        <v>386</v>
      </c>
      <c r="F10" s="1500" t="s">
        <v>387</v>
      </c>
      <c r="G10" s="2233"/>
      <c r="J10" s="479">
        <v>11</v>
      </c>
    </row>
    <row customHeight="1" ht="1.05">
      <c r="A11" s="526"/>
      <c r="B11" s="526"/>
      <c r="C11" s="481"/>
      <c r="D11" s="488"/>
      <c r="E11" s="488"/>
      <c r="F11" s="488"/>
      <c r="G11" s="488"/>
      <c r="J11" s="479">
        <v>1</v>
      </c>
    </row>
    <row customHeight="1" ht="24">
      <c r="A12" s="526"/>
      <c r="B12" s="526"/>
      <c r="C12" s="481"/>
      <c r="D12" s="1544">
        <v>1</v>
      </c>
      <c r="E12" s="49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32" t="str">
        <f>IF(org="","",org)</f>
        <v>АО "ДГК"</v>
      </c>
      <c r="G12" s="49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57"/>
      <c r="J12" s="479">
        <v>23</v>
      </c>
    </row>
    <row customHeight="1" ht="19.95">
      <c r="A13" s="526"/>
      <c r="B13" s="526"/>
      <c r="C13" s="481"/>
      <c r="D13" s="1544">
        <v>2</v>
      </c>
      <c r="E13" s="1551" t="s">
        <v>2191</v>
      </c>
      <c r="F13" s="1545" t="s">
        <v>390</v>
      </c>
      <c r="G13" s="498"/>
      <c r="H13" s="1557"/>
      <c r="J13" s="479">
        <v>19</v>
      </c>
    </row>
    <row customHeight="1" ht="19.95">
      <c r="A14" s="526"/>
      <c r="B14" s="526"/>
      <c r="C14" s="481"/>
      <c r="D14" s="1547" t="s">
        <v>806</v>
      </c>
      <c r="E14" s="1548" t="s">
        <v>2192</v>
      </c>
      <c r="F14" s="1550"/>
      <c r="G14" s="1549" t="s">
        <v>2193</v>
      </c>
      <c r="H14" s="1557"/>
      <c r="J14" s="479">
        <v>19</v>
      </c>
    </row>
    <row customHeight="1" ht="19.95">
      <c r="A15" s="526"/>
      <c r="B15" s="526"/>
      <c r="C15" s="481"/>
      <c r="D15" s="1547" t="s">
        <v>391</v>
      </c>
      <c r="E15" s="1548" t="s">
        <v>2194</v>
      </c>
      <c r="F15" s="1550"/>
      <c r="G15" s="1549" t="s">
        <v>2195</v>
      </c>
      <c r="H15" s="1557"/>
      <c r="J15" s="479">
        <v>19</v>
      </c>
    </row>
    <row customHeight="1" ht="24">
      <c r="A16" s="526"/>
      <c r="B16" s="526"/>
      <c r="C16" s="481"/>
      <c r="D16" s="1547" t="s">
        <v>394</v>
      </c>
      <c r="E16" s="1546" t="s">
        <v>2196</v>
      </c>
      <c r="F16" s="1555"/>
      <c r="G16" s="498" t="s">
        <v>2197</v>
      </c>
      <c r="H16" s="1557"/>
      <c r="J16" s="479">
        <v>23</v>
      </c>
    </row>
    <row customHeight="1" ht="48.29999999999999">
      <c r="A17" s="526"/>
      <c r="B17" s="526"/>
      <c r="C17" s="481"/>
      <c r="D17" s="1544">
        <v>3</v>
      </c>
      <c r="E17" s="1551" t="s">
        <v>2198</v>
      </c>
      <c r="F17" s="1550"/>
      <c r="G17" s="498" t="s">
        <v>2199</v>
      </c>
      <c r="H17" s="1557"/>
      <c r="J17" s="479">
        <v>46</v>
      </c>
    </row>
    <row customHeight="1" ht="48.29999999999999">
      <c r="A18" s="1499">
        <v>1</v>
      </c>
      <c r="B18" s="526"/>
      <c r="C18" s="1501"/>
      <c r="D18" s="1544" t="s">
        <v>91</v>
      </c>
      <c r="E18" s="1551" t="s">
        <v>2200</v>
      </c>
      <c r="F18" s="1550"/>
      <c r="G18" s="498" t="s">
        <v>2199</v>
      </c>
      <c r="H18" s="1557"/>
      <c r="I18" s="876"/>
      <c r="J18" s="479">
        <v>46</v>
      </c>
    </row>
    <row customHeight="1" ht="23.25">
      <c r="A19" s="526"/>
      <c r="B19" s="526"/>
      <c r="C19" s="481"/>
      <c r="D19" s="1544" t="s">
        <v>119</v>
      </c>
      <c r="E19" s="1551" t="s">
        <v>2201</v>
      </c>
      <c r="F19" s="1545" t="s">
        <v>390</v>
      </c>
      <c r="G19" s="2495" t="s">
        <v>2202</v>
      </c>
      <c r="H19" s="499"/>
      <c r="J19" s="479">
        <v>22</v>
      </c>
    </row>
    <row s="1554" customFormat="1" customHeight="1" ht="5.25" hidden="1">
      <c r="A20" s="526"/>
      <c r="B20" s="526"/>
      <c r="C20" s="1553"/>
      <c r="D20" s="1552" t="s">
        <v>1452</v>
      </c>
      <c r="E20" s="1038"/>
      <c r="F20" s="1037"/>
      <c r="G20" s="2496"/>
      <c r="J20" s="1554">
        <v>0</v>
      </c>
    </row>
    <row customHeight="1" ht="15.75">
      <c r="A21" s="526"/>
      <c r="B21" s="526"/>
      <c r="C21" s="481"/>
      <c r="D21" s="491"/>
      <c r="E21" s="439" t="s">
        <v>423</v>
      </c>
      <c r="F21" s="493"/>
      <c r="G21" s="2497"/>
      <c r="H21" s="1557"/>
      <c r="J21" s="479">
        <v>15</v>
      </c>
    </row>
    <row s="525" customFormat="1" customHeight="1" ht="26.25">
      <c r="A22" s="526"/>
      <c r="B22" s="526"/>
      <c r="C22" s="526"/>
      <c r="D22" s="1544" t="s">
        <v>92</v>
      </c>
      <c r="E22" s="498" t="s">
        <v>2203</v>
      </c>
      <c r="F22" s="1550"/>
      <c r="G22" s="498" t="s">
        <v>2204</v>
      </c>
      <c r="H22" s="1556"/>
      <c r="J22" s="525">
        <v>25</v>
      </c>
    </row>
    <row s="525" customFormat="1" customHeight="1" ht="19.95">
      <c r="A23" s="526"/>
      <c r="B23" s="526"/>
      <c r="C23" s="526"/>
      <c r="D23" s="1544" t="s">
        <v>93</v>
      </c>
      <c r="E23" s="1551" t="s">
        <v>2205</v>
      </c>
      <c r="F23" s="1555"/>
      <c r="G23" s="498" t="s">
        <v>2206</v>
      </c>
      <c r="H23" s="1556"/>
      <c r="J23" s="525">
        <v>19</v>
      </c>
    </row>
    <row s="525" customFormat="1" customHeight="1" ht="144" hidden="1">
      <c r="A24" s="526"/>
      <c r="B24" s="526"/>
      <c r="C24" s="526"/>
      <c r="D24" s="1544" t="s">
        <v>143</v>
      </c>
      <c r="E24" s="19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22"/>
      <c r="G24" s="19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56"/>
      <c r="J24" s="525">
        <v>0</v>
      </c>
    </row>
    <row customHeight="1" ht="11.25" hidden="1">
      <c r="A25" s="525" t="s">
        <v>82</v>
      </c>
      <c r="B25" s="525">
        <v>0</v>
      </c>
      <c r="C25" s="479">
        <v>3</v>
      </c>
      <c r="D25" s="480">
        <v>6</v>
      </c>
      <c r="E25" s="479">
        <v>52</v>
      </c>
      <c r="F25" s="479">
        <v>48</v>
      </c>
      <c r="G25" s="479">
        <v>93</v>
      </c>
      <c r="H25" s="479">
        <v>8</v>
      </c>
      <c r="I25" s="479">
        <v>64</v>
      </c>
      <c r="J25" s="479">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5A3E1B-A5A9-4476-7F69-0.3A3E4B52}"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59" width="9.140625" hidden="1"/>
    <col min="2" max="2" style="1390" width="9.140625" hidden="1"/>
    <col min="3" max="3" style="1659" width="3.7109375" hidden="1" customWidth="1"/>
    <col min="4" max="4" style="1866" width="3.00390625" customWidth="1"/>
    <col min="5" max="5" style="1659" width="6.00390625" customWidth="1"/>
    <col min="6" max="6" style="1659" width="46.00390625" customWidth="1"/>
    <col min="7" max="8" style="1659" width="16.00390625" customWidth="1"/>
    <col min="9" max="9" style="1659" width="35.00390625" customWidth="1"/>
    <col min="10" max="10" style="1659" width="89.00390625" customWidth="1"/>
    <col min="11" max="11" style="1648" width="3.00390625" customWidth="1"/>
    <col min="12" max="14" style="1648" width="8.00390625" customWidth="1"/>
    <col min="15" max="15" style="1648" width="25.00390625" customWidth="1"/>
    <col min="16" max="16" style="1648" width="14.00390625" customWidth="1"/>
    <col min="17" max="20" style="249" width="8.00390625" customWidth="1"/>
    <col min="21" max="254" style="1659" width="8.00390625" customWidth="1"/>
    <col min="255" max="255" style="1659" width="9.140625" hidden="1"/>
  </cols>
  <sheetData>
    <row customHeight="1" ht="22.5" hidden="1">
      <c r="F1" s="1655" t="s">
        <v>2207</v>
      </c>
      <c r="G1" s="1655" t="s">
        <v>48</v>
      </c>
      <c r="H1" s="1655" t="s">
        <v>50</v>
      </c>
      <c r="IU1" s="1179" t="s">
        <v>14</v>
      </c>
    </row>
    <row s="1874" customFormat="1" customHeight="1" ht="22.5" hidden="1">
      <c r="A2" s="855"/>
      <c r="B2" s="1184">
        <v>1</v>
      </c>
      <c r="C2" s="1184"/>
      <c r="D2" s="1952" t="s">
        <v>104</v>
      </c>
      <c r="E2" s="1508"/>
      <c r="F2" s="1515"/>
      <c r="G2" s="1515"/>
      <c r="H2" s="1515"/>
      <c r="I2" s="2008"/>
      <c r="J2" s="2009"/>
      <c r="K2" s="1559"/>
      <c r="L2" s="535"/>
      <c r="M2" s="535"/>
      <c r="N2" s="524" t="str">
        <f t="array" ref="N2:N2">IF(ISERROR(MATCH(MID(O2,1,250),MID(note_ter,1,250),0)),"n","y")</f>
        <v>n</v>
      </c>
      <c r="O2" s="535"/>
      <c r="P2" s="524" t="str">
        <f>G2&amp;"("&amp;J2&amp;")"</f>
        <v>()</v>
      </c>
      <c r="Q2" s="1184"/>
      <c r="R2" s="1184"/>
      <c r="S2" s="444"/>
      <c r="T2" s="1184"/>
      <c r="U2" s="1184"/>
      <c r="V2" s="1184"/>
      <c r="W2" s="446"/>
      <c r="X2" s="446"/>
      <c r="Y2" s="443"/>
      <c r="Z2" s="443"/>
      <c r="AA2" s="443"/>
      <c r="AB2" s="443"/>
      <c r="AC2" s="443"/>
      <c r="AD2" s="443"/>
      <c r="AE2" s="443"/>
      <c r="AF2" s="443"/>
      <c r="AG2" s="443"/>
      <c r="AH2" s="443"/>
      <c r="AI2" s="443"/>
      <c r="AJ2" s="443"/>
      <c r="AK2" s="443"/>
      <c r="AL2" s="443"/>
      <c r="AM2" s="443"/>
      <c r="AN2" s="443"/>
      <c r="AO2" s="443"/>
      <c r="AP2" s="443"/>
      <c r="AQ2" s="443"/>
      <c r="AR2" s="443"/>
      <c r="AS2" s="443"/>
      <c r="AT2" s="443"/>
      <c r="AU2" s="443"/>
      <c r="AV2" s="443"/>
      <c r="AW2" s="443"/>
      <c r="AX2" s="443"/>
      <c r="AY2" s="443"/>
      <c r="AZ2" s="443"/>
      <c r="BA2" s="443"/>
      <c r="BB2" s="443"/>
      <c r="BC2" s="443"/>
      <c r="BD2" s="443"/>
      <c r="BE2" s="443"/>
      <c r="BF2" s="443"/>
      <c r="BG2" s="443"/>
      <c r="BH2" s="443"/>
      <c r="BI2" s="443"/>
      <c r="BJ2" s="443"/>
      <c r="BK2" s="443"/>
      <c r="BL2" s="443"/>
      <c r="BM2" s="443"/>
      <c r="BN2" s="443"/>
      <c r="BO2" s="443"/>
      <c r="BP2" s="443"/>
      <c r="BQ2" s="443"/>
      <c r="BR2" s="443"/>
      <c r="BS2" s="443"/>
      <c r="BT2" s="446"/>
      <c r="BU2" s="446"/>
      <c r="BV2" s="446"/>
      <c r="BW2" s="446"/>
      <c r="BX2" s="446"/>
      <c r="BY2" s="446"/>
      <c r="BZ2" s="446"/>
      <c r="CA2" s="446"/>
      <c r="CB2" s="446"/>
      <c r="CC2" s="446"/>
      <c r="IU2" s="447">
        <v>0</v>
      </c>
    </row>
    <row s="1666" customFormat="1" customHeight="1" ht="4.2">
      <c r="A3" s="520"/>
      <c r="D3" s="518"/>
      <c r="F3" s="271" t="s">
        <v>83</v>
      </c>
      <c r="G3" s="518" t="s">
        <v>84</v>
      </c>
      <c r="H3" s="518"/>
      <c r="I3" s="518"/>
      <c r="J3" s="251" t="s">
        <v>85</v>
      </c>
      <c r="K3" s="271" t="s">
        <v>83</v>
      </c>
      <c r="L3" s="271"/>
      <c r="M3" s="271"/>
      <c r="N3" s="271"/>
      <c r="O3" s="272"/>
      <c r="P3" s="271"/>
      <c r="Q3" s="271"/>
      <c r="R3" s="271"/>
      <c r="S3" s="271"/>
      <c r="T3" s="27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c r="HV3" s="251"/>
      <c r="HW3" s="251"/>
      <c r="HX3" s="251"/>
      <c r="HY3" s="251"/>
      <c r="HZ3" s="251"/>
      <c r="IA3" s="251"/>
      <c r="IB3" s="251"/>
      <c r="IC3" s="251"/>
      <c r="ID3" s="251"/>
      <c r="IE3" s="251"/>
      <c r="IF3" s="251"/>
      <c r="IG3" s="251"/>
      <c r="IH3" s="251"/>
      <c r="II3" s="251"/>
      <c r="IJ3" s="251"/>
      <c r="IK3" s="251"/>
      <c r="IL3" s="251"/>
      <c r="IM3" s="251"/>
      <c r="IN3" s="251"/>
      <c r="IO3" s="251"/>
      <c r="IP3" s="251"/>
      <c r="IQ3" s="251"/>
      <c r="IR3" s="251"/>
      <c r="IS3" s="251"/>
      <c r="IT3" s="251"/>
      <c r="IU3" s="535">
        <v>4</v>
      </c>
    </row>
    <row s="1843" customFormat="1" customHeight="1" ht="14.699999999999998">
      <c r="A4" s="1179"/>
      <c r="B4" s="1184"/>
      <c r="C4" s="1179"/>
      <c r="D4" s="1519"/>
      <c r="E4" s="533"/>
      <c r="F4" s="1666"/>
      <c r="G4" s="533"/>
      <c r="H4" s="533"/>
      <c r="I4" s="533"/>
      <c r="J4" s="190"/>
      <c r="K4" s="271"/>
      <c r="L4" s="524"/>
      <c r="M4" s="524"/>
      <c r="N4" s="524"/>
      <c r="O4" s="250"/>
      <c r="P4" s="524"/>
      <c r="Q4" s="249"/>
      <c r="R4" s="249"/>
      <c r="S4" s="249"/>
      <c r="T4" s="249"/>
      <c r="IU4" s="531">
        <v>14</v>
      </c>
    </row>
    <row s="1843" customFormat="1" customHeight="1" ht="27.299999999999997">
      <c r="A5" s="1179"/>
      <c r="B5" s="1184"/>
      <c r="C5" s="1179"/>
      <c r="D5" s="1519"/>
      <c r="E5" s="212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24"/>
      <c r="G5" s="2124"/>
      <c r="H5" s="2124"/>
      <c r="I5" s="2124"/>
      <c r="J5" s="2124"/>
      <c r="K5" s="271"/>
      <c r="L5" s="524"/>
      <c r="M5" s="524"/>
      <c r="N5" s="524"/>
      <c r="O5" s="250"/>
      <c r="P5" s="524"/>
      <c r="Q5" s="249"/>
      <c r="R5" s="249"/>
      <c r="S5" s="249"/>
      <c r="T5" s="249"/>
      <c r="IU5" s="531">
        <v>26</v>
      </c>
    </row>
    <row s="1843" customFormat="1" customHeight="1" ht="14.699999999999998">
      <c r="A6" s="1179"/>
      <c r="B6" s="1184"/>
      <c r="C6" s="1179"/>
      <c r="D6" s="1519"/>
      <c r="E6" s="533"/>
      <c r="F6" s="191"/>
      <c r="G6" s="191"/>
      <c r="H6" s="191"/>
      <c r="I6" s="191"/>
      <c r="J6" s="192"/>
      <c r="K6" s="524"/>
      <c r="L6" s="524"/>
      <c r="M6" s="524"/>
      <c r="N6" s="524"/>
      <c r="O6" s="250"/>
      <c r="P6" s="524"/>
      <c r="Q6" s="249"/>
      <c r="R6" s="249"/>
      <c r="S6" s="249"/>
      <c r="T6" s="249"/>
      <c r="IU6" s="531">
        <v>14</v>
      </c>
    </row>
    <row s="1843" customFormat="1" customHeight="1" ht="14.699999999999998">
      <c r="A7" s="1179"/>
      <c r="B7" s="1184"/>
      <c r="C7" s="1179"/>
      <c r="D7" s="1519"/>
      <c r="E7" s="2125" t="s">
        <v>384</v>
      </c>
      <c r="F7" s="2126"/>
      <c r="G7" s="2126"/>
      <c r="H7" s="2126"/>
      <c r="I7" s="2126"/>
      <c r="J7" s="2498" t="s">
        <v>385</v>
      </c>
      <c r="K7" s="524"/>
      <c r="L7" s="524"/>
      <c r="M7" s="524"/>
      <c r="N7" s="524"/>
      <c r="O7" s="250"/>
      <c r="P7" s="524"/>
      <c r="Q7" s="249"/>
      <c r="R7" s="249"/>
      <c r="S7" s="249"/>
      <c r="T7" s="249"/>
      <c r="IU7" s="531">
        <v>14</v>
      </c>
    </row>
    <row s="1843" customFormat="1" customHeight="1" ht="21">
      <c r="A8" s="1179"/>
      <c r="B8" s="1184"/>
      <c r="C8" s="1179"/>
      <c r="D8" s="1519"/>
      <c r="E8" s="1572" t="s">
        <v>88</v>
      </c>
      <c r="F8" s="1564" t="s">
        <v>2207</v>
      </c>
      <c r="G8" s="1564" t="s">
        <v>48</v>
      </c>
      <c r="H8" s="1564" t="s">
        <v>50</v>
      </c>
      <c r="I8" s="1564" t="s">
        <v>2208</v>
      </c>
      <c r="J8" s="2499"/>
      <c r="K8" s="524"/>
      <c r="L8" s="524"/>
      <c r="M8" s="524"/>
      <c r="N8" s="524"/>
      <c r="O8" s="250"/>
      <c r="P8" s="524"/>
      <c r="Q8" s="249"/>
      <c r="R8" s="249"/>
      <c r="S8" s="249"/>
      <c r="T8" s="249"/>
      <c r="IU8" s="531">
        <v>20</v>
      </c>
    </row>
    <row s="1874" customFormat="1" customHeight="1" ht="23.25">
      <c r="A9" s="1655"/>
      <c r="B9" s="1184">
        <v>1</v>
      </c>
      <c r="C9" s="1184"/>
      <c r="D9" s="825"/>
      <c r="E9" s="1508">
        <v>1</v>
      </c>
      <c r="F9" s="1571"/>
      <c r="G9" s="1515"/>
      <c r="H9" s="1515"/>
      <c r="I9" s="1562"/>
      <c r="J9" s="219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59"/>
      <c r="L9" s="535"/>
      <c r="M9" s="535"/>
      <c r="N9" s="524" t="str">
        <f t="array" ref="N9:N9">IF(ISERROR(MATCH(MID(O9,1,250),MID(note_ter,1,250),0)),"n","y")</f>
        <v>n</v>
      </c>
      <c r="O9" s="535"/>
      <c r="P9" s="52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84"/>
      <c r="R9" s="1184"/>
      <c r="S9" s="444"/>
      <c r="T9" s="1184"/>
      <c r="U9" s="1184"/>
      <c r="V9" s="1184"/>
      <c r="W9" s="446"/>
      <c r="X9" s="446"/>
      <c r="Y9" s="443"/>
      <c r="Z9" s="443"/>
      <c r="AA9" s="443"/>
      <c r="AB9" s="443"/>
      <c r="AC9" s="443"/>
      <c r="AD9" s="443"/>
      <c r="AE9" s="443"/>
      <c r="AF9" s="443"/>
      <c r="AG9" s="443"/>
      <c r="AH9" s="443"/>
      <c r="AI9" s="443"/>
      <c r="AJ9" s="443"/>
      <c r="AK9" s="443"/>
      <c r="AL9" s="443"/>
      <c r="AM9" s="443"/>
      <c r="AN9" s="443"/>
      <c r="AO9" s="443"/>
      <c r="AP9" s="443"/>
      <c r="AQ9" s="443"/>
      <c r="AR9" s="443"/>
      <c r="AS9" s="443"/>
      <c r="AT9" s="443"/>
      <c r="AU9" s="443"/>
      <c r="AV9" s="443"/>
      <c r="AW9" s="443"/>
      <c r="AX9" s="443"/>
      <c r="AY9" s="443"/>
      <c r="AZ9" s="443"/>
      <c r="BA9" s="443"/>
      <c r="BB9" s="443"/>
      <c r="BC9" s="443"/>
      <c r="BD9" s="443"/>
      <c r="BE9" s="443"/>
      <c r="BF9" s="443"/>
      <c r="BG9" s="443"/>
      <c r="BH9" s="443"/>
      <c r="BI9" s="443"/>
      <c r="BJ9" s="443"/>
      <c r="BK9" s="443"/>
      <c r="BL9" s="443"/>
      <c r="BM9" s="443"/>
      <c r="BN9" s="443"/>
      <c r="BO9" s="443"/>
      <c r="BP9" s="443"/>
      <c r="BQ9" s="443"/>
      <c r="BR9" s="443"/>
      <c r="BS9" s="443"/>
      <c r="BT9" s="446"/>
      <c r="BU9" s="446"/>
      <c r="BV9" s="446"/>
      <c r="BW9" s="446"/>
      <c r="BX9" s="446"/>
      <c r="BY9" s="446"/>
      <c r="BZ9" s="446"/>
      <c r="CA9" s="446"/>
      <c r="CB9" s="446"/>
      <c r="CC9" s="446"/>
      <c r="IU9" s="447">
        <v>22</v>
      </c>
    </row>
    <row s="1874" customFormat="1" customHeight="1" ht="15.75">
      <c r="A10" s="1655"/>
      <c r="B10" s="1184"/>
      <c r="C10" s="436"/>
      <c r="D10" s="825"/>
      <c r="E10" s="1565"/>
      <c r="F10" s="1524" t="s">
        <v>2209</v>
      </c>
      <c r="G10" s="1566"/>
      <c r="H10" s="1566"/>
      <c r="I10" s="1923"/>
      <c r="J10" s="2195"/>
      <c r="K10" s="1560"/>
      <c r="L10" s="535"/>
      <c r="M10" s="535"/>
      <c r="N10" s="535"/>
      <c r="O10" s="524"/>
      <c r="P10" s="535"/>
      <c r="Q10" s="1184"/>
      <c r="R10" s="1184"/>
      <c r="S10" s="444"/>
      <c r="T10" s="1184"/>
      <c r="U10" s="1184"/>
      <c r="V10" s="1184"/>
      <c r="W10" s="446"/>
      <c r="X10" s="446"/>
      <c r="Y10" s="443"/>
      <c r="Z10" s="443"/>
      <c r="AA10" s="443"/>
      <c r="AB10" s="443"/>
      <c r="AC10" s="443"/>
      <c r="AD10" s="443"/>
      <c r="AE10" s="443"/>
      <c r="AF10" s="443"/>
      <c r="AG10" s="443"/>
      <c r="AH10" s="443"/>
      <c r="AI10" s="443"/>
      <c r="AJ10" s="443"/>
      <c r="AK10" s="443"/>
      <c r="AL10" s="443"/>
      <c r="AM10" s="443"/>
      <c r="AN10" s="443"/>
      <c r="AO10" s="443"/>
      <c r="AP10" s="443"/>
      <c r="AQ10" s="443"/>
      <c r="AR10" s="443"/>
      <c r="AS10" s="443"/>
      <c r="AT10" s="443"/>
      <c r="AU10" s="443"/>
      <c r="AV10" s="443"/>
      <c r="AW10" s="443"/>
      <c r="AX10" s="443"/>
      <c r="AY10" s="443"/>
      <c r="AZ10" s="443"/>
      <c r="BA10" s="443"/>
      <c r="BB10" s="443"/>
      <c r="BC10" s="443"/>
      <c r="BD10" s="443"/>
      <c r="BE10" s="443"/>
      <c r="BF10" s="443"/>
      <c r="BG10" s="443"/>
      <c r="BH10" s="443"/>
      <c r="BI10" s="443"/>
      <c r="BJ10" s="443"/>
      <c r="BK10" s="443"/>
      <c r="BL10" s="443"/>
      <c r="BM10" s="443"/>
      <c r="BN10" s="443"/>
      <c r="BO10" s="443"/>
      <c r="BP10" s="443"/>
      <c r="BQ10" s="443"/>
      <c r="BR10" s="443"/>
      <c r="BS10" s="443"/>
      <c r="BT10" s="446"/>
      <c r="BU10" s="446"/>
      <c r="BV10" s="446"/>
      <c r="BW10" s="446"/>
      <c r="BX10" s="446"/>
      <c r="BY10" s="446"/>
      <c r="BZ10" s="446"/>
      <c r="CA10" s="446"/>
      <c r="CB10" s="446"/>
      <c r="CC10" s="446"/>
      <c r="IU10" s="447">
        <v>15</v>
      </c>
    </row>
    <row s="1843" customFormat="1" customHeight="1" ht="22.049999999999997">
      <c r="A11" s="1179"/>
      <c r="B11" s="1184"/>
      <c r="C11" s="1179"/>
      <c r="D11" s="475"/>
      <c r="E11" s="204"/>
      <c r="F11" s="204"/>
      <c r="G11" s="204"/>
      <c r="H11" s="204"/>
      <c r="I11" s="204"/>
      <c r="J11" s="204"/>
      <c r="K11" s="524"/>
      <c r="L11" s="524"/>
      <c r="M11" s="524"/>
      <c r="N11" s="524"/>
      <c r="O11" s="250"/>
      <c r="P11" s="524"/>
      <c r="Q11" s="249"/>
      <c r="R11" s="249"/>
      <c r="S11" s="249"/>
      <c r="T11" s="249"/>
      <c r="IU11" s="531">
        <v>21</v>
      </c>
    </row>
    <row s="1843" customFormat="1" customHeight="1" ht="14.699999999999998">
      <c r="A12" s="1179"/>
      <c r="B12" s="1184"/>
      <c r="C12" s="1179"/>
      <c r="D12" s="475"/>
      <c r="E12" s="1179"/>
      <c r="F12" s="1179"/>
      <c r="G12" s="1179"/>
      <c r="H12" s="1179"/>
      <c r="I12" s="1179"/>
      <c r="J12" s="1179"/>
      <c r="K12" s="524"/>
      <c r="L12" s="524"/>
      <c r="M12" s="524"/>
      <c r="N12" s="524"/>
      <c r="O12" s="250"/>
      <c r="P12" s="524"/>
      <c r="Q12" s="249"/>
      <c r="R12" s="249"/>
      <c r="S12" s="249"/>
      <c r="T12" s="249"/>
      <c r="IU12" s="531">
        <v>14</v>
      </c>
    </row>
    <row s="1843" customFormat="1" customHeight="1" ht="1.05">
      <c r="A13" s="1179"/>
      <c r="B13" s="1184"/>
      <c r="C13" s="1179"/>
      <c r="D13" s="475"/>
      <c r="E13" s="1179"/>
      <c r="F13" s="1179"/>
      <c r="G13" s="1179"/>
      <c r="H13" s="1179"/>
      <c r="I13" s="1179"/>
      <c r="J13" s="1179"/>
      <c r="K13" s="524"/>
      <c r="L13" s="524"/>
      <c r="M13" s="524"/>
      <c r="N13" s="524"/>
      <c r="O13" s="250"/>
      <c r="P13" s="524"/>
      <c r="Q13" s="249"/>
      <c r="R13" s="249"/>
      <c r="S13" s="249"/>
      <c r="T13" s="249"/>
      <c r="IU13" s="531">
        <v>1</v>
      </c>
    </row>
    <row s="1088" customFormat="1" customHeight="1" ht="10.5">
      <c r="B14" s="858"/>
      <c r="D14" s="206"/>
      <c r="K14" s="524"/>
      <c r="L14" s="524"/>
      <c r="M14" s="524"/>
      <c r="N14" s="524"/>
      <c r="O14" s="250"/>
      <c r="P14" s="524"/>
      <c r="Q14" s="249"/>
      <c r="R14" s="249"/>
      <c r="S14" s="249"/>
      <c r="T14" s="249"/>
      <c r="IU14" s="205">
        <v>10</v>
      </c>
    </row>
    <row s="1088" customFormat="1" customHeight="1" ht="10.5">
      <c r="B15" s="858"/>
      <c r="D15" s="206"/>
      <c r="K15" s="524"/>
      <c r="L15" s="524"/>
      <c r="M15" s="524"/>
      <c r="N15" s="524"/>
      <c r="O15" s="250"/>
      <c r="P15" s="524"/>
      <c r="Q15" s="249"/>
      <c r="R15" s="249"/>
      <c r="S15" s="249"/>
      <c r="T15" s="249"/>
      <c r="IU15" s="205">
        <v>10</v>
      </c>
    </row>
    <row customHeight="1" ht="14.699999999999998">
      <c r="IU16" s="1179">
        <v>14</v>
      </c>
    </row>
    <row customHeight="1" ht="14.699999999999998">
      <c r="IU17" s="1179">
        <v>14</v>
      </c>
    </row>
    <row customHeight="1" ht="14.699999999999998">
      <c r="IU18" s="1179">
        <v>14</v>
      </c>
    </row>
    <row customHeight="1" ht="14.699999999999998">
      <c r="G19" s="397"/>
      <c r="H19" s="397"/>
      <c r="I19" s="397"/>
      <c r="IU19" s="1179">
        <v>14</v>
      </c>
    </row>
    <row customHeight="1" ht="14.699999999999998">
      <c r="IU20" s="1179">
        <v>14</v>
      </c>
    </row>
    <row customHeight="1" ht="14.699999999999998">
      <c r="IU21" s="1179">
        <v>14</v>
      </c>
    </row>
    <row customHeight="1" ht="14.699999999999998">
      <c r="IU22" s="1179">
        <v>14</v>
      </c>
    </row>
    <row customHeight="1" ht="14.699999999999998">
      <c r="K23" s="1179"/>
      <c r="L23" s="1179"/>
      <c r="M23" s="1179"/>
      <c r="IU23" s="1179">
        <v>14</v>
      </c>
    </row>
    <row customHeight="1" ht="22.5" hidden="1">
      <c r="A24" s="1179" t="s">
        <v>82</v>
      </c>
      <c r="B24" s="1184">
        <v>0</v>
      </c>
      <c r="C24" s="1179">
        <v>0</v>
      </c>
      <c r="D24" s="475">
        <v>3</v>
      </c>
      <c r="E24" s="1179">
        <v>6</v>
      </c>
      <c r="F24" s="1179">
        <v>46</v>
      </c>
      <c r="G24" s="1179">
        <v>16</v>
      </c>
      <c r="H24" s="1179">
        <v>16</v>
      </c>
      <c r="I24" s="1179">
        <v>35</v>
      </c>
      <c r="J24" s="1179">
        <v>89</v>
      </c>
      <c r="K24" s="524">
        <v>3</v>
      </c>
      <c r="L24" s="524">
        <v>8</v>
      </c>
      <c r="M24" s="524">
        <v>8</v>
      </c>
      <c r="N24" s="524">
        <v>8</v>
      </c>
      <c r="O24" s="250">
        <v>25</v>
      </c>
      <c r="P24" s="524">
        <v>14</v>
      </c>
      <c r="Q24" s="249">
        <v>8</v>
      </c>
      <c r="R24" s="249">
        <v>8</v>
      </c>
      <c r="S24" s="249">
        <v>8</v>
      </c>
      <c r="T24" s="249">
        <v>8</v>
      </c>
      <c r="U24" s="1179">
        <v>8</v>
      </c>
      <c r="V24" s="1179">
        <v>8</v>
      </c>
      <c r="W24" s="1179">
        <v>8</v>
      </c>
      <c r="X24" s="1179">
        <v>8</v>
      </c>
      <c r="Y24" s="1179">
        <v>8</v>
      </c>
      <c r="Z24" s="1179">
        <v>8</v>
      </c>
      <c r="AA24" s="1179">
        <v>8</v>
      </c>
      <c r="AB24" s="1179">
        <v>8</v>
      </c>
      <c r="AC24" s="1179">
        <v>8</v>
      </c>
      <c r="AD24" s="1179">
        <v>8</v>
      </c>
      <c r="AE24" s="1179">
        <v>8</v>
      </c>
      <c r="AF24" s="1179">
        <v>8</v>
      </c>
      <c r="AG24" s="1179">
        <v>8</v>
      </c>
      <c r="AH24" s="1179">
        <v>8</v>
      </c>
      <c r="AI24" s="1179">
        <v>8</v>
      </c>
      <c r="AJ24" s="1179">
        <v>8</v>
      </c>
      <c r="AK24" s="1179">
        <v>8</v>
      </c>
      <c r="AL24" s="1179">
        <v>8</v>
      </c>
      <c r="AM24" s="1179">
        <v>8</v>
      </c>
      <c r="AN24" s="1179">
        <v>8</v>
      </c>
      <c r="AO24" s="1179">
        <v>8</v>
      </c>
      <c r="AP24" s="1179">
        <v>8</v>
      </c>
      <c r="AQ24" s="1179">
        <v>8</v>
      </c>
      <c r="AR24" s="1179">
        <v>8</v>
      </c>
      <c r="AS24" s="1179">
        <v>8</v>
      </c>
      <c r="AT24" s="1179">
        <v>8</v>
      </c>
      <c r="AU24" s="1179">
        <v>8</v>
      </c>
      <c r="AV24" s="1179">
        <v>8</v>
      </c>
      <c r="AW24" s="1179">
        <v>8</v>
      </c>
      <c r="AX24" s="1179">
        <v>8</v>
      </c>
      <c r="AY24" s="1179">
        <v>8</v>
      </c>
      <c r="AZ24" s="1179">
        <v>8</v>
      </c>
      <c r="BA24" s="1179">
        <v>8</v>
      </c>
      <c r="BB24" s="1179">
        <v>8</v>
      </c>
      <c r="BC24" s="1179">
        <v>8</v>
      </c>
      <c r="BD24" s="1179">
        <v>8</v>
      </c>
      <c r="BE24" s="1179">
        <v>8</v>
      </c>
      <c r="BF24" s="1179">
        <v>8</v>
      </c>
      <c r="BG24" s="1179">
        <v>8</v>
      </c>
      <c r="BH24" s="1179">
        <v>8</v>
      </c>
      <c r="BI24" s="1179">
        <v>8</v>
      </c>
      <c r="BJ24" s="1179">
        <v>8</v>
      </c>
      <c r="BK24" s="1179">
        <v>8</v>
      </c>
      <c r="BL24" s="1179">
        <v>8</v>
      </c>
      <c r="BM24" s="1179">
        <v>8</v>
      </c>
      <c r="BN24" s="1179">
        <v>8</v>
      </c>
      <c r="BO24" s="1179">
        <v>8</v>
      </c>
      <c r="BP24" s="1179">
        <v>8</v>
      </c>
      <c r="BQ24" s="1179">
        <v>8</v>
      </c>
      <c r="BR24" s="1179">
        <v>8</v>
      </c>
      <c r="BS24" s="1179">
        <v>8</v>
      </c>
      <c r="BT24" s="1179">
        <v>8</v>
      </c>
      <c r="BU24" s="1179">
        <v>8</v>
      </c>
      <c r="BV24" s="1179">
        <v>8</v>
      </c>
      <c r="BW24" s="1179">
        <v>8</v>
      </c>
      <c r="BX24" s="1179">
        <v>8</v>
      </c>
      <c r="BY24" s="1179">
        <v>8</v>
      </c>
      <c r="BZ24" s="1179">
        <v>8</v>
      </c>
      <c r="CA24" s="1179">
        <v>8</v>
      </c>
      <c r="CB24" s="1179">
        <v>8</v>
      </c>
      <c r="CC24" s="1179">
        <v>8</v>
      </c>
      <c r="CD24" s="1179">
        <v>8</v>
      </c>
      <c r="CE24" s="1179">
        <v>8</v>
      </c>
      <c r="CF24" s="1179">
        <v>8</v>
      </c>
      <c r="CG24" s="1179">
        <v>8</v>
      </c>
      <c r="CH24" s="1179">
        <v>8</v>
      </c>
      <c r="CI24" s="1179">
        <v>8</v>
      </c>
      <c r="CJ24" s="1179">
        <v>8</v>
      </c>
      <c r="CK24" s="1179">
        <v>8</v>
      </c>
      <c r="CL24" s="1179">
        <v>8</v>
      </c>
      <c r="CM24" s="1179">
        <v>8</v>
      </c>
      <c r="CN24" s="1179">
        <v>8</v>
      </c>
      <c r="CO24" s="1179">
        <v>8</v>
      </c>
      <c r="CP24" s="1179">
        <v>8</v>
      </c>
      <c r="CQ24" s="1179">
        <v>8</v>
      </c>
      <c r="CR24" s="1179">
        <v>8</v>
      </c>
      <c r="CS24" s="1179">
        <v>8</v>
      </c>
      <c r="CT24" s="1179">
        <v>8</v>
      </c>
      <c r="CU24" s="1179">
        <v>8</v>
      </c>
      <c r="CV24" s="1179">
        <v>8</v>
      </c>
      <c r="CW24" s="1179">
        <v>8</v>
      </c>
      <c r="CX24" s="1179">
        <v>8</v>
      </c>
      <c r="CY24" s="1179">
        <v>8</v>
      </c>
      <c r="CZ24" s="1179">
        <v>8</v>
      </c>
      <c r="DA24" s="1179">
        <v>8</v>
      </c>
      <c r="DB24" s="1179">
        <v>8</v>
      </c>
      <c r="DC24" s="1179">
        <v>8</v>
      </c>
      <c r="DD24" s="1179">
        <v>8</v>
      </c>
      <c r="DE24" s="1179">
        <v>8</v>
      </c>
      <c r="DF24" s="1179">
        <v>8</v>
      </c>
      <c r="DG24" s="1179">
        <v>8</v>
      </c>
      <c r="DH24" s="1179">
        <v>8</v>
      </c>
      <c r="DI24" s="1179">
        <v>8</v>
      </c>
      <c r="DJ24" s="1179">
        <v>8</v>
      </c>
      <c r="DK24" s="1179">
        <v>8</v>
      </c>
      <c r="DL24" s="1179">
        <v>8</v>
      </c>
      <c r="DM24" s="1179">
        <v>8</v>
      </c>
      <c r="DN24" s="1179">
        <v>8</v>
      </c>
      <c r="DO24" s="1179">
        <v>8</v>
      </c>
      <c r="DP24" s="1179">
        <v>8</v>
      </c>
      <c r="DQ24" s="1179">
        <v>8</v>
      </c>
      <c r="DR24" s="1179">
        <v>8</v>
      </c>
      <c r="DS24" s="1179">
        <v>8</v>
      </c>
      <c r="DT24" s="1179">
        <v>8</v>
      </c>
      <c r="DU24" s="1179">
        <v>8</v>
      </c>
      <c r="DV24" s="1179">
        <v>8</v>
      </c>
      <c r="DW24" s="1179">
        <v>8</v>
      </c>
      <c r="DX24" s="1179">
        <v>8</v>
      </c>
      <c r="DY24" s="1179">
        <v>8</v>
      </c>
      <c r="DZ24" s="1179">
        <v>8</v>
      </c>
      <c r="EA24" s="1179">
        <v>8</v>
      </c>
      <c r="EB24" s="1179">
        <v>8</v>
      </c>
      <c r="EC24" s="1179">
        <v>8</v>
      </c>
      <c r="ED24" s="1179">
        <v>8</v>
      </c>
      <c r="EE24" s="1179">
        <v>8</v>
      </c>
      <c r="EF24" s="1179">
        <v>8</v>
      </c>
      <c r="EG24" s="1179">
        <v>8</v>
      </c>
      <c r="EH24" s="1179">
        <v>8</v>
      </c>
      <c r="EI24" s="1179">
        <v>8</v>
      </c>
      <c r="EJ24" s="1179">
        <v>8</v>
      </c>
      <c r="EK24" s="1179">
        <v>8</v>
      </c>
      <c r="EL24" s="1179">
        <v>8</v>
      </c>
      <c r="EM24" s="1179">
        <v>8</v>
      </c>
      <c r="EN24" s="1179">
        <v>8</v>
      </c>
      <c r="EO24" s="1179">
        <v>8</v>
      </c>
      <c r="EP24" s="1179">
        <v>8</v>
      </c>
      <c r="EQ24" s="1179">
        <v>8</v>
      </c>
      <c r="ER24" s="1179">
        <v>8</v>
      </c>
      <c r="ES24" s="1179">
        <v>8</v>
      </c>
      <c r="ET24" s="1179">
        <v>8</v>
      </c>
      <c r="EU24" s="1179">
        <v>8</v>
      </c>
      <c r="EV24" s="1179">
        <v>8</v>
      </c>
      <c r="EW24" s="1179">
        <v>8</v>
      </c>
      <c r="EX24" s="1179">
        <v>8</v>
      </c>
      <c r="EY24" s="1179">
        <v>8</v>
      </c>
      <c r="EZ24" s="1179">
        <v>8</v>
      </c>
      <c r="FA24" s="1179">
        <v>8</v>
      </c>
      <c r="FB24" s="1179">
        <v>8</v>
      </c>
      <c r="FC24" s="1179">
        <v>8</v>
      </c>
      <c r="FD24" s="1179">
        <v>8</v>
      </c>
      <c r="FE24" s="1179">
        <v>8</v>
      </c>
      <c r="FF24" s="1179">
        <v>8</v>
      </c>
      <c r="FG24" s="1179">
        <v>8</v>
      </c>
      <c r="FH24" s="1179">
        <v>8</v>
      </c>
      <c r="FI24" s="1179">
        <v>8</v>
      </c>
      <c r="FJ24" s="1179">
        <v>8</v>
      </c>
      <c r="FK24" s="1179">
        <v>8</v>
      </c>
      <c r="FL24" s="1179">
        <v>8</v>
      </c>
      <c r="FM24" s="1179">
        <v>8</v>
      </c>
      <c r="FN24" s="1179">
        <v>8</v>
      </c>
      <c r="FO24" s="1179">
        <v>8</v>
      </c>
      <c r="FP24" s="1179">
        <v>8</v>
      </c>
      <c r="FQ24" s="1179">
        <v>8</v>
      </c>
      <c r="FR24" s="1179">
        <v>8</v>
      </c>
      <c r="FS24" s="1179">
        <v>8</v>
      </c>
      <c r="FT24" s="1179">
        <v>8</v>
      </c>
      <c r="FU24" s="1179">
        <v>8</v>
      </c>
      <c r="FV24" s="1179">
        <v>8</v>
      </c>
      <c r="FW24" s="1179">
        <v>8</v>
      </c>
      <c r="FX24" s="1179">
        <v>8</v>
      </c>
      <c r="FY24" s="1179">
        <v>8</v>
      </c>
      <c r="FZ24" s="1179">
        <v>8</v>
      </c>
      <c r="GA24" s="1179">
        <v>8</v>
      </c>
      <c r="GB24" s="1179">
        <v>8</v>
      </c>
      <c r="GC24" s="1179">
        <v>8</v>
      </c>
      <c r="GD24" s="1179">
        <v>8</v>
      </c>
      <c r="GE24" s="1179">
        <v>8</v>
      </c>
      <c r="GF24" s="1179">
        <v>8</v>
      </c>
      <c r="GG24" s="1179">
        <v>8</v>
      </c>
      <c r="GH24" s="1179">
        <v>8</v>
      </c>
      <c r="GI24" s="1179">
        <v>8</v>
      </c>
      <c r="GJ24" s="1179">
        <v>8</v>
      </c>
      <c r="GK24" s="1179">
        <v>8</v>
      </c>
      <c r="GL24" s="1179">
        <v>8</v>
      </c>
      <c r="GM24" s="1179">
        <v>8</v>
      </c>
      <c r="GN24" s="1179">
        <v>8</v>
      </c>
      <c r="GO24" s="1179">
        <v>8</v>
      </c>
      <c r="GP24" s="1179">
        <v>8</v>
      </c>
      <c r="GQ24" s="1179">
        <v>8</v>
      </c>
      <c r="GR24" s="1179">
        <v>8</v>
      </c>
      <c r="GS24" s="1179">
        <v>8</v>
      </c>
      <c r="GT24" s="1179">
        <v>8</v>
      </c>
      <c r="GU24" s="1179">
        <v>8</v>
      </c>
      <c r="GV24" s="1179">
        <v>8</v>
      </c>
      <c r="GW24" s="1179">
        <v>8</v>
      </c>
      <c r="GX24" s="1179">
        <v>8</v>
      </c>
      <c r="GY24" s="1179">
        <v>8</v>
      </c>
      <c r="GZ24" s="1179">
        <v>8</v>
      </c>
      <c r="HA24" s="1179">
        <v>8</v>
      </c>
      <c r="HB24" s="1179">
        <v>8</v>
      </c>
      <c r="HC24" s="1179">
        <v>8</v>
      </c>
      <c r="HD24" s="1179">
        <v>8</v>
      </c>
      <c r="HE24" s="1179">
        <v>8</v>
      </c>
      <c r="HF24" s="1179">
        <v>8</v>
      </c>
      <c r="HG24" s="1179">
        <v>8</v>
      </c>
      <c r="HH24" s="1179">
        <v>8</v>
      </c>
      <c r="HI24" s="1179">
        <v>8</v>
      </c>
      <c r="HJ24" s="1179">
        <v>8</v>
      </c>
      <c r="HK24" s="1179">
        <v>8</v>
      </c>
      <c r="HL24" s="1179">
        <v>8</v>
      </c>
      <c r="HM24" s="1179">
        <v>8</v>
      </c>
      <c r="HN24" s="1179">
        <v>8</v>
      </c>
      <c r="HO24" s="1179">
        <v>8</v>
      </c>
      <c r="HP24" s="1179">
        <v>8</v>
      </c>
      <c r="HQ24" s="1179">
        <v>8</v>
      </c>
      <c r="HR24" s="1179">
        <v>8</v>
      </c>
      <c r="HS24" s="1179">
        <v>8</v>
      </c>
      <c r="HT24" s="1179">
        <v>8</v>
      </c>
      <c r="HU24" s="1179">
        <v>8</v>
      </c>
      <c r="HV24" s="1179">
        <v>8</v>
      </c>
      <c r="HW24" s="1179">
        <v>8</v>
      </c>
      <c r="HX24" s="1179">
        <v>8</v>
      </c>
      <c r="HY24" s="1179">
        <v>8</v>
      </c>
      <c r="HZ24" s="1179">
        <v>8</v>
      </c>
      <c r="IA24" s="1179">
        <v>8</v>
      </c>
      <c r="IB24" s="1179">
        <v>8</v>
      </c>
      <c r="IC24" s="1179">
        <v>8</v>
      </c>
      <c r="ID24" s="1179">
        <v>8</v>
      </c>
      <c r="IE24" s="1179">
        <v>8</v>
      </c>
      <c r="IF24" s="1179">
        <v>8</v>
      </c>
      <c r="IG24" s="1179">
        <v>8</v>
      </c>
      <c r="IH24" s="1179">
        <v>8</v>
      </c>
      <c r="II24" s="1179">
        <v>8</v>
      </c>
      <c r="IJ24" s="1179">
        <v>8</v>
      </c>
      <c r="IK24" s="1179">
        <v>8</v>
      </c>
      <c r="IL24" s="1179">
        <v>8</v>
      </c>
      <c r="IM24" s="1179">
        <v>8</v>
      </c>
      <c r="IN24" s="1179">
        <v>8</v>
      </c>
      <c r="IO24" s="1179">
        <v>8</v>
      </c>
      <c r="IP24" s="1179">
        <v>8</v>
      </c>
      <c r="IQ24" s="1179">
        <v>8</v>
      </c>
      <c r="IR24" s="1179">
        <v>8</v>
      </c>
      <c r="IS24" s="1179">
        <v>8</v>
      </c>
      <c r="IT24" s="1179">
        <v>8</v>
      </c>
      <c r="IU24" s="1179">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8294D6-C90B-E22A-7425-0.FEF259B}"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59" width="9.140625" hidden="1"/>
    <col min="2" max="2" style="1390" width="9.140625" hidden="1"/>
    <col min="3" max="3" style="1659" width="3.7109375" hidden="1" customWidth="1"/>
    <col min="4" max="4" style="1866" width="3.00390625" customWidth="1"/>
    <col min="5" max="5" style="1659" width="6.00390625" customWidth="1"/>
    <col min="6" max="6" style="1659" width="27.00390625" customWidth="1"/>
    <col min="7" max="7" style="1659" width="16.00390625" customWidth="1"/>
    <col min="8" max="8" style="1659" width="12.00390625" customWidth="1"/>
    <col min="9" max="9" style="1659" width="32.00390625" customWidth="1"/>
    <col min="10" max="11" style="1659" width="41.00390625" customWidth="1"/>
    <col min="12" max="12" style="1659" width="89.00390625" customWidth="1"/>
    <col min="13" max="13" style="1648" width="3.00390625" customWidth="1"/>
    <col min="14" max="16" style="1648" width="8.00390625" customWidth="1"/>
    <col min="17" max="17" style="1648" width="25.00390625" customWidth="1"/>
    <col min="18" max="18" style="1648" width="14.00390625" customWidth="1"/>
    <col min="19" max="22" style="249" width="8.00390625" customWidth="1"/>
    <col min="23" max="256" style="1659" width="8.00390625" customWidth="1"/>
    <col min="257" max="257" style="1659" width="9.140625" hidden="1"/>
  </cols>
  <sheetData>
    <row customHeight="1" ht="22.5" hidden="1">
      <c r="IW1" s="1179" t="s">
        <v>14</v>
      </c>
    </row>
    <row s="1874" customFormat="1" customHeight="1" ht="22.5" hidden="1">
      <c r="A2" s="855"/>
      <c r="B2" s="1184">
        <v>1</v>
      </c>
      <c r="C2" s="1184"/>
      <c r="D2" s="1952" t="s">
        <v>104</v>
      </c>
      <c r="E2" s="1913"/>
      <c r="F2" s="1916" t="str">
        <f>IF(ROIV_INFO_NAME="","",ROIV_INFO_NAME)</f>
        <v>АО "ДГК"</v>
      </c>
      <c r="G2" s="1941" t="s">
        <v>22</v>
      </c>
      <c r="H2" s="1940"/>
      <c r="I2" s="1562"/>
      <c r="J2" s="842"/>
      <c r="K2" s="842"/>
      <c r="L2" s="252"/>
      <c r="M2" s="1559">
        <f>MERGEVALUE(F2)</f>
      </c>
      <c r="N2" s="535"/>
      <c r="O2" s="535"/>
      <c r="P2" s="524" t="str">
        <f t="array" ref="P2:P2">IF(ISERROR(MATCH(MID(Q2,1,250),MID(note_ter,1,250),0)),"n","y")</f>
        <v>n</v>
      </c>
      <c r="Q2" s="535"/>
      <c r="R2" s="524" t="str">
        <f>G2&amp;"("&amp;L2&amp;")"</f>
        <v>()</v>
      </c>
      <c r="S2" s="1184"/>
      <c r="T2" s="1184"/>
      <c r="U2" s="444"/>
      <c r="V2" s="1184"/>
      <c r="W2" s="1184"/>
      <c r="X2" s="1184"/>
      <c r="Y2" s="446"/>
      <c r="Z2" s="446"/>
      <c r="AA2" s="443"/>
      <c r="AB2" s="443"/>
      <c r="AC2" s="443"/>
      <c r="AD2" s="443"/>
      <c r="AE2" s="443"/>
      <c r="AF2" s="443"/>
      <c r="AG2" s="443"/>
      <c r="AH2" s="443"/>
      <c r="AI2" s="443"/>
      <c r="AJ2" s="443"/>
      <c r="AK2" s="443"/>
      <c r="AL2" s="443"/>
      <c r="AM2" s="443"/>
      <c r="AN2" s="443"/>
      <c r="AO2" s="443"/>
      <c r="AP2" s="443"/>
      <c r="AQ2" s="443"/>
      <c r="AR2" s="443"/>
      <c r="AS2" s="443"/>
      <c r="AT2" s="443"/>
      <c r="AU2" s="443"/>
      <c r="AV2" s="443"/>
      <c r="AW2" s="443"/>
      <c r="AX2" s="443"/>
      <c r="AY2" s="443"/>
      <c r="AZ2" s="443"/>
      <c r="BA2" s="443"/>
      <c r="BB2" s="443"/>
      <c r="BC2" s="443"/>
      <c r="BD2" s="443"/>
      <c r="BE2" s="443"/>
      <c r="BF2" s="443"/>
      <c r="BG2" s="443"/>
      <c r="BH2" s="443"/>
      <c r="BI2" s="443"/>
      <c r="BJ2" s="443"/>
      <c r="BK2" s="443"/>
      <c r="BL2" s="443"/>
      <c r="BM2" s="443"/>
      <c r="BN2" s="443"/>
      <c r="BO2" s="443"/>
      <c r="BP2" s="443"/>
      <c r="BQ2" s="443"/>
      <c r="BR2" s="443"/>
      <c r="BS2" s="443"/>
      <c r="BT2" s="443"/>
      <c r="BU2" s="443"/>
      <c r="BV2" s="446"/>
      <c r="BW2" s="446"/>
      <c r="BX2" s="446"/>
      <c r="BY2" s="446"/>
      <c r="BZ2" s="446"/>
      <c r="CA2" s="446"/>
      <c r="CB2" s="446"/>
      <c r="CC2" s="446"/>
      <c r="CD2" s="446"/>
      <c r="CE2" s="446"/>
      <c r="IW2" s="447">
        <v>0</v>
      </c>
    </row>
    <row s="1666" customFormat="1" customHeight="1" ht="5.25" hidden="1">
      <c r="A3" s="520"/>
      <c r="D3" s="518"/>
      <c r="F3" s="271" t="s">
        <v>83</v>
      </c>
      <c r="G3" s="1759" t="s">
        <v>84</v>
      </c>
      <c r="H3" s="518"/>
      <c r="I3" s="518"/>
      <c r="J3" s="518"/>
      <c r="K3" s="518"/>
      <c r="L3" s="251" t="s">
        <v>85</v>
      </c>
      <c r="M3" s="271" t="s">
        <v>83</v>
      </c>
      <c r="N3" s="271"/>
      <c r="O3" s="271"/>
      <c r="P3" s="271"/>
      <c r="Q3" s="272"/>
      <c r="R3" s="271"/>
      <c r="S3" s="271"/>
      <c r="T3" s="271"/>
      <c r="U3" s="271"/>
      <c r="V3" s="27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c r="HV3" s="251"/>
      <c r="HW3" s="251"/>
      <c r="HX3" s="251"/>
      <c r="HY3" s="251"/>
      <c r="HZ3" s="251"/>
      <c r="IA3" s="251"/>
      <c r="IB3" s="251"/>
      <c r="IC3" s="251"/>
      <c r="ID3" s="251"/>
      <c r="IE3" s="251"/>
      <c r="IF3" s="251"/>
      <c r="IG3" s="251"/>
      <c r="IH3" s="251"/>
      <c r="II3" s="251"/>
      <c r="IJ3" s="251"/>
      <c r="IK3" s="251"/>
      <c r="IL3" s="251"/>
      <c r="IM3" s="251"/>
      <c r="IN3" s="251"/>
      <c r="IO3" s="251"/>
      <c r="IP3" s="251"/>
      <c r="IQ3" s="251"/>
      <c r="IR3" s="251"/>
      <c r="IS3" s="251"/>
      <c r="IT3" s="251"/>
      <c r="IU3" s="251"/>
      <c r="IV3" s="251"/>
      <c r="IW3" s="535">
        <v>0</v>
      </c>
    </row>
    <row s="1843" customFormat="1" customHeight="1" ht="14.699999999999998">
      <c r="A4" s="1179"/>
      <c r="B4" s="1184"/>
      <c r="C4" s="1179"/>
      <c r="D4" s="1519"/>
      <c r="E4" s="533"/>
      <c r="F4" s="533"/>
      <c r="G4" s="533"/>
      <c r="H4" s="533"/>
      <c r="I4" s="533"/>
      <c r="J4" s="533"/>
      <c r="K4" s="533"/>
      <c r="L4" s="190"/>
      <c r="M4" s="271"/>
      <c r="N4" s="524"/>
      <c r="O4" s="524"/>
      <c r="P4" s="524"/>
      <c r="Q4" s="250"/>
      <c r="R4" s="524"/>
      <c r="S4" s="249"/>
      <c r="T4" s="249"/>
      <c r="U4" s="249"/>
      <c r="V4" s="249"/>
      <c r="IW4" s="531">
        <v>14</v>
      </c>
    </row>
    <row s="1843" customFormat="1" customHeight="1" ht="27.299999999999997">
      <c r="A5" s="1179"/>
      <c r="B5" s="1184"/>
      <c r="C5" s="1179"/>
      <c r="D5" s="1519"/>
      <c r="E5" s="212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24"/>
      <c r="G5" s="2124"/>
      <c r="H5" s="2124"/>
      <c r="I5" s="2124"/>
      <c r="J5" s="2124"/>
      <c r="K5" s="2124"/>
      <c r="L5" s="612"/>
      <c r="M5" s="271"/>
      <c r="N5" s="524"/>
      <c r="O5" s="524"/>
      <c r="P5" s="524"/>
      <c r="Q5" s="250"/>
      <c r="R5" s="524"/>
      <c r="S5" s="249"/>
      <c r="T5" s="249"/>
      <c r="U5" s="249"/>
      <c r="V5" s="249"/>
      <c r="IW5" s="531">
        <v>26</v>
      </c>
    </row>
    <row s="1843" customFormat="1" customHeight="1" ht="14.699999999999998">
      <c r="A6" s="1179"/>
      <c r="B6" s="1184"/>
      <c r="C6" s="1179"/>
      <c r="D6" s="1519"/>
      <c r="E6" s="533"/>
      <c r="F6" s="191"/>
      <c r="G6" s="191"/>
      <c r="H6" s="191"/>
      <c r="I6" s="191"/>
      <c r="J6" s="191"/>
      <c r="K6" s="191"/>
      <c r="L6" s="192"/>
      <c r="M6" s="524"/>
      <c r="N6" s="524"/>
      <c r="O6" s="524"/>
      <c r="P6" s="524"/>
      <c r="Q6" s="250"/>
      <c r="R6" s="524"/>
      <c r="S6" s="249"/>
      <c r="T6" s="249"/>
      <c r="U6" s="249"/>
      <c r="V6" s="249"/>
      <c r="IW6" s="531">
        <v>14</v>
      </c>
    </row>
    <row s="1843" customFormat="1" customHeight="1" ht="14.699999999999998">
      <c r="A7" s="1179"/>
      <c r="B7" s="1184"/>
      <c r="C7" s="1179"/>
      <c r="D7" s="1519"/>
      <c r="E7" s="2125" t="s">
        <v>384</v>
      </c>
      <c r="F7" s="2126"/>
      <c r="G7" s="2126"/>
      <c r="H7" s="2126"/>
      <c r="I7" s="2126"/>
      <c r="J7" s="2126"/>
      <c r="K7" s="2126"/>
      <c r="L7" s="2498" t="s">
        <v>385</v>
      </c>
      <c r="M7" s="524"/>
      <c r="N7" s="524"/>
      <c r="O7" s="524"/>
      <c r="P7" s="524"/>
      <c r="Q7" s="250"/>
      <c r="R7" s="524"/>
      <c r="S7" s="249"/>
      <c r="T7" s="249"/>
      <c r="U7" s="249"/>
      <c r="V7" s="249"/>
      <c r="IW7" s="531">
        <v>14</v>
      </c>
    </row>
    <row s="1843" customFormat="1" customHeight="1" ht="67.2">
      <c r="A8" s="1179"/>
      <c r="B8" s="1184"/>
      <c r="C8" s="1179"/>
      <c r="D8" s="1519"/>
      <c r="E8" s="2502" t="s">
        <v>88</v>
      </c>
      <c r="F8" s="250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0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05"/>
      <c r="I8" s="2506"/>
      <c r="J8" s="250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0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00"/>
      <c r="M8" s="524"/>
      <c r="N8" s="524"/>
      <c r="O8" s="524"/>
      <c r="P8" s="524"/>
      <c r="Q8" s="250"/>
      <c r="R8" s="524"/>
      <c r="S8" s="249"/>
      <c r="T8" s="249"/>
      <c r="U8" s="249"/>
      <c r="V8" s="249"/>
      <c r="IW8" s="531">
        <v>64</v>
      </c>
    </row>
    <row s="1843" customFormat="1" customHeight="1" ht="29.25">
      <c r="A9" s="1179"/>
      <c r="B9" s="1184"/>
      <c r="C9" s="1179"/>
      <c r="D9" s="1519"/>
      <c r="E9" s="2503"/>
      <c r="F9" s="2503"/>
      <c r="G9" s="1561" t="s">
        <v>2210</v>
      </c>
      <c r="H9" s="1561" t="s">
        <v>2211</v>
      </c>
      <c r="I9" s="1561" t="s">
        <v>2212</v>
      </c>
      <c r="J9" s="2503"/>
      <c r="K9" s="2503"/>
      <c r="L9" s="2499"/>
      <c r="M9" s="524"/>
      <c r="N9" s="524"/>
      <c r="O9" s="524"/>
      <c r="P9" s="524"/>
      <c r="Q9" s="250"/>
      <c r="R9" s="524"/>
      <c r="S9" s="249"/>
      <c r="T9" s="249"/>
      <c r="U9" s="249"/>
      <c r="V9" s="249"/>
      <c r="IW9" s="531">
        <v>28</v>
      </c>
    </row>
    <row s="1874" customFormat="1" customHeight="1" ht="23.25">
      <c r="A10" s="2123"/>
      <c r="B10" s="1184">
        <v>1</v>
      </c>
      <c r="C10" s="1184"/>
      <c r="D10" s="824"/>
      <c r="E10" s="822">
        <v>1</v>
      </c>
      <c r="F10" s="1563" t="str">
        <f>IF(ROIV_INFO_NAME="","",ROIV_INFO_NAME)</f>
        <v>АО "ДГК"</v>
      </c>
      <c r="G10" s="1756" t="s">
        <v>22</v>
      </c>
      <c r="H10" s="1940"/>
      <c r="I10" s="1558"/>
      <c r="J10" s="842"/>
      <c r="K10" s="842"/>
      <c r="L10" s="245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59">
        <f>MERGEVALUE(F10)</f>
      </c>
      <c r="N10" s="535"/>
      <c r="O10" s="535"/>
      <c r="P10" s="524" t="str">
        <f t="array" ref="P10:P10">IF(ISERROR(MATCH(MID(Q10,1,250),MID(note_ter,1,250),0)),"n","y")</f>
        <v>n</v>
      </c>
      <c r="Q10" s="535"/>
      <c r="R10" s="5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84"/>
      <c r="T10" s="1184"/>
      <c r="U10" s="444"/>
      <c r="V10" s="1184"/>
      <c r="W10" s="1184"/>
      <c r="X10" s="1184"/>
      <c r="Y10" s="446"/>
      <c r="Z10" s="446"/>
      <c r="AA10" s="443"/>
      <c r="AB10" s="443"/>
      <c r="AC10" s="443"/>
      <c r="AD10" s="443"/>
      <c r="AE10" s="443"/>
      <c r="AF10" s="443"/>
      <c r="AG10" s="443"/>
      <c r="AH10" s="443"/>
      <c r="AI10" s="443"/>
      <c r="AJ10" s="443"/>
      <c r="AK10" s="443"/>
      <c r="AL10" s="443"/>
      <c r="AM10" s="443"/>
      <c r="AN10" s="443"/>
      <c r="AO10" s="443"/>
      <c r="AP10" s="443"/>
      <c r="AQ10" s="443"/>
      <c r="AR10" s="443"/>
      <c r="AS10" s="443"/>
      <c r="AT10" s="443"/>
      <c r="AU10" s="443"/>
      <c r="AV10" s="443"/>
      <c r="AW10" s="443"/>
      <c r="AX10" s="443"/>
      <c r="AY10" s="443"/>
      <c r="AZ10" s="443"/>
      <c r="BA10" s="443"/>
      <c r="BB10" s="443"/>
      <c r="BC10" s="443"/>
      <c r="BD10" s="443"/>
      <c r="BE10" s="443"/>
      <c r="BF10" s="443"/>
      <c r="BG10" s="443"/>
      <c r="BH10" s="443"/>
      <c r="BI10" s="443"/>
      <c r="BJ10" s="443"/>
      <c r="BK10" s="443"/>
      <c r="BL10" s="443"/>
      <c r="BM10" s="443"/>
      <c r="BN10" s="443"/>
      <c r="BO10" s="443"/>
      <c r="BP10" s="443"/>
      <c r="BQ10" s="443"/>
      <c r="BR10" s="443"/>
      <c r="BS10" s="443"/>
      <c r="BT10" s="443"/>
      <c r="BU10" s="443"/>
      <c r="BV10" s="446"/>
      <c r="BW10" s="446"/>
      <c r="BX10" s="446"/>
      <c r="BY10" s="446"/>
      <c r="BZ10" s="446"/>
      <c r="CA10" s="446"/>
      <c r="CB10" s="446"/>
      <c r="CC10" s="446"/>
      <c r="CD10" s="446"/>
      <c r="CE10" s="446"/>
      <c r="IW10" s="447">
        <v>22</v>
      </c>
    </row>
    <row s="1874" customFormat="1" customHeight="1" ht="15.75">
      <c r="A11" s="2123"/>
      <c r="B11" s="1184"/>
      <c r="C11" s="436"/>
      <c r="D11" s="825"/>
      <c r="E11" s="445"/>
      <c r="F11" s="440" t="s">
        <v>2213</v>
      </c>
      <c r="G11" s="211"/>
      <c r="H11" s="211"/>
      <c r="I11" s="211"/>
      <c r="J11" s="211"/>
      <c r="K11" s="448"/>
      <c r="L11" s="2501"/>
      <c r="M11" s="1560"/>
      <c r="N11" s="535"/>
      <c r="O11" s="535"/>
      <c r="P11" s="535"/>
      <c r="Q11" s="524"/>
      <c r="R11" s="535"/>
      <c r="S11" s="1184"/>
      <c r="T11" s="1184"/>
      <c r="U11" s="444"/>
      <c r="V11" s="1184"/>
      <c r="W11" s="1184"/>
      <c r="X11" s="1184"/>
      <c r="Y11" s="446"/>
      <c r="Z11" s="446"/>
      <c r="AA11" s="443"/>
      <c r="AB11" s="443"/>
      <c r="AC11" s="443"/>
      <c r="AD11" s="443"/>
      <c r="AE11" s="443"/>
      <c r="AF11" s="443"/>
      <c r="AG11" s="443"/>
      <c r="AH11" s="443"/>
      <c r="AI11" s="443"/>
      <c r="AJ11" s="443"/>
      <c r="AK11" s="443"/>
      <c r="AL11" s="443"/>
      <c r="AM11" s="443"/>
      <c r="AN11" s="443"/>
      <c r="AO11" s="443"/>
      <c r="AP11" s="443"/>
      <c r="AQ11" s="443"/>
      <c r="AR11" s="443"/>
      <c r="AS11" s="443"/>
      <c r="AT11" s="443"/>
      <c r="AU11" s="443"/>
      <c r="AV11" s="443"/>
      <c r="AW11" s="443"/>
      <c r="AX11" s="443"/>
      <c r="AY11" s="443"/>
      <c r="AZ11" s="443"/>
      <c r="BA11" s="443"/>
      <c r="BB11" s="443"/>
      <c r="BC11" s="443"/>
      <c r="BD11" s="443"/>
      <c r="BE11" s="443"/>
      <c r="BF11" s="443"/>
      <c r="BG11" s="443"/>
      <c r="BH11" s="443"/>
      <c r="BI11" s="443"/>
      <c r="BJ11" s="443"/>
      <c r="BK11" s="443"/>
      <c r="BL11" s="443"/>
      <c r="BM11" s="443"/>
      <c r="BN11" s="443"/>
      <c r="BO11" s="443"/>
      <c r="BP11" s="443"/>
      <c r="BQ11" s="443"/>
      <c r="BR11" s="443"/>
      <c r="BS11" s="443"/>
      <c r="BT11" s="443"/>
      <c r="BU11" s="443"/>
      <c r="BV11" s="446"/>
      <c r="BW11" s="446"/>
      <c r="BX11" s="446"/>
      <c r="BY11" s="446"/>
      <c r="BZ11" s="446"/>
      <c r="CA11" s="446"/>
      <c r="CB11" s="446"/>
      <c r="CC11" s="446"/>
      <c r="CD11" s="446"/>
      <c r="CE11" s="446"/>
      <c r="IW11" s="447">
        <v>15</v>
      </c>
    </row>
    <row s="1843" customFormat="1" customHeight="1" ht="22.049999999999997">
      <c r="A12" s="1179"/>
      <c r="B12" s="1184"/>
      <c r="C12" s="1179"/>
      <c r="D12" s="475"/>
      <c r="E12" s="204"/>
      <c r="F12" s="204"/>
      <c r="G12" s="204"/>
      <c r="H12" s="204"/>
      <c r="I12" s="204"/>
      <c r="J12" s="204"/>
      <c r="K12" s="204"/>
      <c r="L12" s="204"/>
      <c r="M12" s="524"/>
      <c r="N12" s="524"/>
      <c r="O12" s="524"/>
      <c r="P12" s="524"/>
      <c r="Q12" s="250"/>
      <c r="R12" s="524"/>
      <c r="S12" s="249"/>
      <c r="T12" s="249"/>
      <c r="U12" s="249"/>
      <c r="V12" s="249"/>
      <c r="IW12" s="531">
        <v>21</v>
      </c>
    </row>
    <row s="1843" customFormat="1" customHeight="1" ht="14.699999999999998">
      <c r="A13" s="1179"/>
      <c r="B13" s="1184"/>
      <c r="C13" s="1179"/>
      <c r="D13" s="475"/>
      <c r="E13" s="1179"/>
      <c r="F13" s="1179"/>
      <c r="G13" s="1179"/>
      <c r="H13" s="1179"/>
      <c r="I13" s="1179"/>
      <c r="J13" s="1179"/>
      <c r="K13" s="1179"/>
      <c r="L13" s="1179"/>
      <c r="M13" s="524"/>
      <c r="N13" s="524"/>
      <c r="O13" s="524"/>
      <c r="P13" s="524"/>
      <c r="Q13" s="250"/>
      <c r="R13" s="524"/>
      <c r="S13" s="249"/>
      <c r="T13" s="249"/>
      <c r="U13" s="249"/>
      <c r="V13" s="249"/>
      <c r="IW13" s="531">
        <v>14</v>
      </c>
    </row>
    <row s="1843" customFormat="1" customHeight="1" ht="1.05">
      <c r="A14" s="1179"/>
      <c r="B14" s="1184"/>
      <c r="C14" s="1179"/>
      <c r="D14" s="475"/>
      <c r="E14" s="1179"/>
      <c r="F14" s="1179"/>
      <c r="G14" s="1179"/>
      <c r="H14" s="1179"/>
      <c r="I14" s="1179"/>
      <c r="J14" s="1179"/>
      <c r="K14" s="1179"/>
      <c r="L14" s="1179"/>
      <c r="M14" s="524"/>
      <c r="N14" s="524"/>
      <c r="O14" s="524"/>
      <c r="P14" s="524"/>
      <c r="Q14" s="250"/>
      <c r="R14" s="524"/>
      <c r="S14" s="249"/>
      <c r="T14" s="249"/>
      <c r="U14" s="249"/>
      <c r="V14" s="249"/>
      <c r="IW14" s="531">
        <v>1</v>
      </c>
    </row>
    <row customHeight="1" ht="22.5" hidden="1">
      <c r="A15" s="1179" t="s">
        <v>82</v>
      </c>
      <c r="B15" s="1184">
        <v>0</v>
      </c>
      <c r="C15" s="1179">
        <v>0</v>
      </c>
      <c r="D15" s="475">
        <v>3</v>
      </c>
      <c r="E15" s="1179">
        <v>6</v>
      </c>
      <c r="F15" s="1179">
        <v>27</v>
      </c>
      <c r="G15" s="1179">
        <v>16</v>
      </c>
      <c r="H15" s="1179">
        <v>12</v>
      </c>
      <c r="I15" s="1179">
        <v>32</v>
      </c>
      <c r="J15" s="1179">
        <v>41</v>
      </c>
      <c r="K15" s="1179">
        <v>41</v>
      </c>
      <c r="L15" s="1179">
        <v>89</v>
      </c>
      <c r="M15" s="524">
        <v>3</v>
      </c>
      <c r="N15" s="524">
        <v>8</v>
      </c>
      <c r="O15" s="524">
        <v>8</v>
      </c>
      <c r="P15" s="524">
        <v>8</v>
      </c>
      <c r="Q15" s="250">
        <v>25</v>
      </c>
      <c r="R15" s="524">
        <v>14</v>
      </c>
      <c r="S15" s="249">
        <v>8</v>
      </c>
      <c r="T15" s="249">
        <v>8</v>
      </c>
      <c r="U15" s="249">
        <v>8</v>
      </c>
      <c r="V15" s="249">
        <v>8</v>
      </c>
      <c r="W15" s="1179">
        <v>8</v>
      </c>
      <c r="X15" s="1179">
        <v>8</v>
      </c>
      <c r="Y15" s="1179">
        <v>8</v>
      </c>
      <c r="Z15" s="1179">
        <v>8</v>
      </c>
      <c r="AA15" s="1179">
        <v>8</v>
      </c>
      <c r="AB15" s="1179">
        <v>8</v>
      </c>
      <c r="AC15" s="1179">
        <v>8</v>
      </c>
      <c r="AD15" s="1179">
        <v>8</v>
      </c>
      <c r="AE15" s="1179">
        <v>8</v>
      </c>
      <c r="AF15" s="1179">
        <v>8</v>
      </c>
      <c r="AG15" s="1179">
        <v>8</v>
      </c>
      <c r="AH15" s="1179">
        <v>8</v>
      </c>
      <c r="AI15" s="1179">
        <v>8</v>
      </c>
      <c r="AJ15" s="1179">
        <v>8</v>
      </c>
      <c r="AK15" s="1179">
        <v>8</v>
      </c>
      <c r="AL15" s="1179">
        <v>8</v>
      </c>
      <c r="AM15" s="1179">
        <v>8</v>
      </c>
      <c r="AN15" s="1179">
        <v>8</v>
      </c>
      <c r="AO15" s="1179">
        <v>8</v>
      </c>
      <c r="AP15" s="1179">
        <v>8</v>
      </c>
      <c r="AQ15" s="1179">
        <v>8</v>
      </c>
      <c r="AR15" s="1179">
        <v>8</v>
      </c>
      <c r="AS15" s="1179">
        <v>8</v>
      </c>
      <c r="AT15" s="1179">
        <v>8</v>
      </c>
      <c r="AU15" s="1179">
        <v>8</v>
      </c>
      <c r="AV15" s="1179">
        <v>8</v>
      </c>
      <c r="AW15" s="1179">
        <v>8</v>
      </c>
      <c r="AX15" s="1179">
        <v>8</v>
      </c>
      <c r="AY15" s="1179">
        <v>8</v>
      </c>
      <c r="AZ15" s="1179">
        <v>8</v>
      </c>
      <c r="BA15" s="1179">
        <v>8</v>
      </c>
      <c r="BB15" s="1179">
        <v>8</v>
      </c>
      <c r="BC15" s="1179">
        <v>8</v>
      </c>
      <c r="BD15" s="1179">
        <v>8</v>
      </c>
      <c r="BE15" s="1179">
        <v>8</v>
      </c>
      <c r="BF15" s="1179">
        <v>8</v>
      </c>
      <c r="BG15" s="1179">
        <v>8</v>
      </c>
      <c r="BH15" s="1179">
        <v>8</v>
      </c>
      <c r="BI15" s="1179">
        <v>8</v>
      </c>
      <c r="BJ15" s="1179">
        <v>8</v>
      </c>
      <c r="BK15" s="1179">
        <v>8</v>
      </c>
      <c r="BL15" s="1179">
        <v>8</v>
      </c>
      <c r="BM15" s="1179">
        <v>8</v>
      </c>
      <c r="BN15" s="1179">
        <v>8</v>
      </c>
      <c r="BO15" s="1179">
        <v>8</v>
      </c>
      <c r="BP15" s="1179">
        <v>8</v>
      </c>
      <c r="BQ15" s="1179">
        <v>8</v>
      </c>
      <c r="BR15" s="1179">
        <v>8</v>
      </c>
      <c r="BS15" s="1179">
        <v>8</v>
      </c>
      <c r="BT15" s="1179">
        <v>8</v>
      </c>
      <c r="BU15" s="1179">
        <v>8</v>
      </c>
      <c r="BV15" s="1179">
        <v>8</v>
      </c>
      <c r="BW15" s="1179">
        <v>8</v>
      </c>
      <c r="BX15" s="1179">
        <v>8</v>
      </c>
      <c r="BY15" s="1179">
        <v>8</v>
      </c>
      <c r="BZ15" s="1179">
        <v>8</v>
      </c>
      <c r="CA15" s="1179">
        <v>8</v>
      </c>
      <c r="CB15" s="1179">
        <v>8</v>
      </c>
      <c r="CC15" s="1179">
        <v>8</v>
      </c>
      <c r="CD15" s="1179">
        <v>8</v>
      </c>
      <c r="CE15" s="1179">
        <v>8</v>
      </c>
      <c r="CF15" s="1179">
        <v>8</v>
      </c>
      <c r="CG15" s="1179">
        <v>8</v>
      </c>
      <c r="CH15" s="1179">
        <v>8</v>
      </c>
      <c r="CI15" s="1179">
        <v>8</v>
      </c>
      <c r="CJ15" s="1179">
        <v>8</v>
      </c>
      <c r="CK15" s="1179">
        <v>8</v>
      </c>
      <c r="CL15" s="1179">
        <v>8</v>
      </c>
      <c r="CM15" s="1179">
        <v>8</v>
      </c>
      <c r="CN15" s="1179">
        <v>8</v>
      </c>
      <c r="CO15" s="1179">
        <v>8</v>
      </c>
      <c r="CP15" s="1179">
        <v>8</v>
      </c>
      <c r="CQ15" s="1179">
        <v>8</v>
      </c>
      <c r="CR15" s="1179">
        <v>8</v>
      </c>
      <c r="CS15" s="1179">
        <v>8</v>
      </c>
      <c r="CT15" s="1179">
        <v>8</v>
      </c>
      <c r="CU15" s="1179">
        <v>8</v>
      </c>
      <c r="CV15" s="1179">
        <v>8</v>
      </c>
      <c r="CW15" s="1179">
        <v>8</v>
      </c>
      <c r="CX15" s="1179">
        <v>8</v>
      </c>
      <c r="CY15" s="1179">
        <v>8</v>
      </c>
      <c r="CZ15" s="1179">
        <v>8</v>
      </c>
      <c r="DA15" s="1179">
        <v>8</v>
      </c>
      <c r="DB15" s="1179">
        <v>8</v>
      </c>
      <c r="DC15" s="1179">
        <v>8</v>
      </c>
      <c r="DD15" s="1179">
        <v>8</v>
      </c>
      <c r="DE15" s="1179">
        <v>8</v>
      </c>
      <c r="DF15" s="1179">
        <v>8</v>
      </c>
      <c r="DG15" s="1179">
        <v>8</v>
      </c>
      <c r="DH15" s="1179">
        <v>8</v>
      </c>
      <c r="DI15" s="1179">
        <v>8</v>
      </c>
      <c r="DJ15" s="1179">
        <v>8</v>
      </c>
      <c r="DK15" s="1179">
        <v>8</v>
      </c>
      <c r="DL15" s="1179">
        <v>8</v>
      </c>
      <c r="DM15" s="1179">
        <v>8</v>
      </c>
      <c r="DN15" s="1179">
        <v>8</v>
      </c>
      <c r="DO15" s="1179">
        <v>8</v>
      </c>
      <c r="DP15" s="1179">
        <v>8</v>
      </c>
      <c r="DQ15" s="1179">
        <v>8</v>
      </c>
      <c r="DR15" s="1179">
        <v>8</v>
      </c>
      <c r="DS15" s="1179">
        <v>8</v>
      </c>
      <c r="DT15" s="1179">
        <v>8</v>
      </c>
      <c r="DU15" s="1179">
        <v>8</v>
      </c>
      <c r="DV15" s="1179">
        <v>8</v>
      </c>
      <c r="DW15" s="1179">
        <v>8</v>
      </c>
      <c r="DX15" s="1179">
        <v>8</v>
      </c>
      <c r="DY15" s="1179">
        <v>8</v>
      </c>
      <c r="DZ15" s="1179">
        <v>8</v>
      </c>
      <c r="EA15" s="1179">
        <v>8</v>
      </c>
      <c r="EB15" s="1179">
        <v>8</v>
      </c>
      <c r="EC15" s="1179">
        <v>8</v>
      </c>
      <c r="ED15" s="1179">
        <v>8</v>
      </c>
      <c r="EE15" s="1179">
        <v>8</v>
      </c>
      <c r="EF15" s="1179">
        <v>8</v>
      </c>
      <c r="EG15" s="1179">
        <v>8</v>
      </c>
      <c r="EH15" s="1179">
        <v>8</v>
      </c>
      <c r="EI15" s="1179">
        <v>8</v>
      </c>
      <c r="EJ15" s="1179">
        <v>8</v>
      </c>
      <c r="EK15" s="1179">
        <v>8</v>
      </c>
      <c r="EL15" s="1179">
        <v>8</v>
      </c>
      <c r="EM15" s="1179">
        <v>8</v>
      </c>
      <c r="EN15" s="1179">
        <v>8</v>
      </c>
      <c r="EO15" s="1179">
        <v>8</v>
      </c>
      <c r="EP15" s="1179">
        <v>8</v>
      </c>
      <c r="EQ15" s="1179">
        <v>8</v>
      </c>
      <c r="ER15" s="1179">
        <v>8</v>
      </c>
      <c r="ES15" s="1179">
        <v>8</v>
      </c>
      <c r="ET15" s="1179">
        <v>8</v>
      </c>
      <c r="EU15" s="1179">
        <v>8</v>
      </c>
      <c r="EV15" s="1179">
        <v>8</v>
      </c>
      <c r="EW15" s="1179">
        <v>8</v>
      </c>
      <c r="EX15" s="1179">
        <v>8</v>
      </c>
      <c r="EY15" s="1179">
        <v>8</v>
      </c>
      <c r="EZ15" s="1179">
        <v>8</v>
      </c>
      <c r="FA15" s="1179">
        <v>8</v>
      </c>
      <c r="FB15" s="1179">
        <v>8</v>
      </c>
      <c r="FC15" s="1179">
        <v>8</v>
      </c>
      <c r="FD15" s="1179">
        <v>8</v>
      </c>
      <c r="FE15" s="1179">
        <v>8</v>
      </c>
      <c r="FF15" s="1179">
        <v>8</v>
      </c>
      <c r="FG15" s="1179">
        <v>8</v>
      </c>
      <c r="FH15" s="1179">
        <v>8</v>
      </c>
      <c r="FI15" s="1179">
        <v>8</v>
      </c>
      <c r="FJ15" s="1179">
        <v>8</v>
      </c>
      <c r="FK15" s="1179">
        <v>8</v>
      </c>
      <c r="FL15" s="1179">
        <v>8</v>
      </c>
      <c r="FM15" s="1179">
        <v>8</v>
      </c>
      <c r="FN15" s="1179">
        <v>8</v>
      </c>
      <c r="FO15" s="1179">
        <v>8</v>
      </c>
      <c r="FP15" s="1179">
        <v>8</v>
      </c>
      <c r="FQ15" s="1179">
        <v>8</v>
      </c>
      <c r="FR15" s="1179">
        <v>8</v>
      </c>
      <c r="FS15" s="1179">
        <v>8</v>
      </c>
      <c r="FT15" s="1179">
        <v>8</v>
      </c>
      <c r="FU15" s="1179">
        <v>8</v>
      </c>
      <c r="FV15" s="1179">
        <v>8</v>
      </c>
      <c r="FW15" s="1179">
        <v>8</v>
      </c>
      <c r="FX15" s="1179">
        <v>8</v>
      </c>
      <c r="FY15" s="1179">
        <v>8</v>
      </c>
      <c r="FZ15" s="1179">
        <v>8</v>
      </c>
      <c r="GA15" s="1179">
        <v>8</v>
      </c>
      <c r="GB15" s="1179">
        <v>8</v>
      </c>
      <c r="GC15" s="1179">
        <v>8</v>
      </c>
      <c r="GD15" s="1179">
        <v>8</v>
      </c>
      <c r="GE15" s="1179">
        <v>8</v>
      </c>
      <c r="GF15" s="1179">
        <v>8</v>
      </c>
      <c r="GG15" s="1179">
        <v>8</v>
      </c>
      <c r="GH15" s="1179">
        <v>8</v>
      </c>
      <c r="GI15" s="1179">
        <v>8</v>
      </c>
      <c r="GJ15" s="1179">
        <v>8</v>
      </c>
      <c r="GK15" s="1179">
        <v>8</v>
      </c>
      <c r="GL15" s="1179">
        <v>8</v>
      </c>
      <c r="GM15" s="1179">
        <v>8</v>
      </c>
      <c r="GN15" s="1179">
        <v>8</v>
      </c>
      <c r="GO15" s="1179">
        <v>8</v>
      </c>
      <c r="GP15" s="1179">
        <v>8</v>
      </c>
      <c r="GQ15" s="1179">
        <v>8</v>
      </c>
      <c r="GR15" s="1179">
        <v>8</v>
      </c>
      <c r="GS15" s="1179">
        <v>8</v>
      </c>
      <c r="GT15" s="1179">
        <v>8</v>
      </c>
      <c r="GU15" s="1179">
        <v>8</v>
      </c>
      <c r="GV15" s="1179">
        <v>8</v>
      </c>
      <c r="GW15" s="1179">
        <v>8</v>
      </c>
      <c r="GX15" s="1179">
        <v>8</v>
      </c>
      <c r="GY15" s="1179">
        <v>8</v>
      </c>
      <c r="GZ15" s="1179">
        <v>8</v>
      </c>
      <c r="HA15" s="1179">
        <v>8</v>
      </c>
      <c r="HB15" s="1179">
        <v>8</v>
      </c>
      <c r="HC15" s="1179">
        <v>8</v>
      </c>
      <c r="HD15" s="1179">
        <v>8</v>
      </c>
      <c r="HE15" s="1179">
        <v>8</v>
      </c>
      <c r="HF15" s="1179">
        <v>8</v>
      </c>
      <c r="HG15" s="1179">
        <v>8</v>
      </c>
      <c r="HH15" s="1179">
        <v>8</v>
      </c>
      <c r="HI15" s="1179">
        <v>8</v>
      </c>
      <c r="HJ15" s="1179">
        <v>8</v>
      </c>
      <c r="HK15" s="1179">
        <v>8</v>
      </c>
      <c r="HL15" s="1179">
        <v>8</v>
      </c>
      <c r="HM15" s="1179">
        <v>8</v>
      </c>
      <c r="HN15" s="1179">
        <v>8</v>
      </c>
      <c r="HO15" s="1179">
        <v>8</v>
      </c>
      <c r="HP15" s="1179">
        <v>8</v>
      </c>
      <c r="HQ15" s="1179">
        <v>8</v>
      </c>
      <c r="HR15" s="1179">
        <v>8</v>
      </c>
      <c r="HS15" s="1179">
        <v>8</v>
      </c>
      <c r="HT15" s="1179">
        <v>8</v>
      </c>
      <c r="HU15" s="1179">
        <v>8</v>
      </c>
      <c r="HV15" s="1179">
        <v>8</v>
      </c>
      <c r="HW15" s="1179">
        <v>8</v>
      </c>
      <c r="HX15" s="1179">
        <v>8</v>
      </c>
      <c r="HY15" s="1179">
        <v>8</v>
      </c>
      <c r="HZ15" s="1179">
        <v>8</v>
      </c>
      <c r="IA15" s="1179">
        <v>8</v>
      </c>
      <c r="IB15" s="1179">
        <v>8</v>
      </c>
      <c r="IC15" s="1179">
        <v>8</v>
      </c>
      <c r="ID15" s="1179">
        <v>8</v>
      </c>
      <c r="IE15" s="1179">
        <v>8</v>
      </c>
      <c r="IF15" s="1179">
        <v>8</v>
      </c>
      <c r="IG15" s="1179">
        <v>8</v>
      </c>
      <c r="IH15" s="1179">
        <v>8</v>
      </c>
      <c r="II15" s="1179">
        <v>8</v>
      </c>
      <c r="IJ15" s="1179">
        <v>8</v>
      </c>
      <c r="IK15" s="1179">
        <v>8</v>
      </c>
      <c r="IL15" s="1179">
        <v>8</v>
      </c>
      <c r="IM15" s="1179">
        <v>8</v>
      </c>
      <c r="IN15" s="1179">
        <v>8</v>
      </c>
      <c r="IO15" s="1179">
        <v>8</v>
      </c>
      <c r="IP15" s="1179">
        <v>8</v>
      </c>
      <c r="IQ15" s="1179">
        <v>8</v>
      </c>
      <c r="IR15" s="1179">
        <v>8</v>
      </c>
      <c r="IS15" s="1179">
        <v>8</v>
      </c>
      <c r="IT15" s="1179">
        <v>8</v>
      </c>
      <c r="IU15" s="1179">
        <v>8</v>
      </c>
      <c r="IV15" s="1179">
        <v>8</v>
      </c>
      <c r="IW15" s="1179">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AC2346-094F-F00D-6FF8-0.4D8C778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59" width="9.140625" hidden="1"/>
    <col min="2" max="2" style="1390" width="9.140625" hidden="1"/>
    <col min="3" max="3" style="1659" width="3.7109375" hidden="1" customWidth="1"/>
    <col min="4" max="4" style="1866" width="3.00390625" customWidth="1"/>
    <col min="5" max="5" style="1659" width="6.00390625" customWidth="1"/>
    <col min="6" max="6" style="1659" width="27.00390625" customWidth="1"/>
    <col min="7" max="7" style="1659" width="16.00390625" customWidth="1"/>
    <col min="8" max="8" style="1659" width="12.00390625" customWidth="1"/>
    <col min="9" max="9" style="1659" width="32.00390625" customWidth="1"/>
    <col min="10" max="11" style="1659" width="41.00390625" customWidth="1"/>
    <col min="12" max="12" style="1659" width="89.00390625" customWidth="1"/>
    <col min="13" max="13" style="1648" width="3.00390625" customWidth="1"/>
    <col min="14" max="16" style="1648" width="8.00390625" customWidth="1"/>
    <col min="17" max="17" style="1648" width="25.00390625" customWidth="1"/>
    <col min="18" max="18" style="1648" width="14.00390625" customWidth="1"/>
    <col min="19" max="22" style="249" width="8.00390625" customWidth="1"/>
    <col min="23" max="256" style="1659" width="8.00390625" customWidth="1"/>
    <col min="257" max="257" style="1659" width="9.140625" hidden="1"/>
  </cols>
  <sheetData>
    <row customHeight="1" ht="22.5" hidden="1">
      <c r="IW1" s="1655" t="s">
        <v>14</v>
      </c>
    </row>
    <row s="1874" customFormat="1" customHeight="1" ht="22.5" hidden="1">
      <c r="A2" s="855"/>
      <c r="B2" s="1390">
        <v>1</v>
      </c>
      <c r="C2" s="1390"/>
      <c r="D2" s="1952" t="s">
        <v>104</v>
      </c>
      <c r="E2" s="1928"/>
      <c r="F2" s="1930" t="str">
        <f>IF(ROIV_INFO_NAME="","",ROIV_INFO_NAME)</f>
        <v>АО "ДГК"</v>
      </c>
      <c r="G2" s="1756" t="s">
        <v>22</v>
      </c>
      <c r="H2" s="1940"/>
      <c r="I2" s="1562"/>
      <c r="J2" s="842"/>
      <c r="K2" s="842"/>
      <c r="L2" s="252"/>
      <c r="M2" s="1559">
        <f>MERGEVALUE(F2)</f>
      </c>
      <c r="N2" s="1660"/>
      <c r="O2" s="1660"/>
      <c r="P2" s="1648" t="str">
        <f t="array" ref="P2:P2">IF(ISERROR(MATCH(MID(Q2,1,250),MID(note_ter,1,250),0)),"n","y")</f>
        <v>n</v>
      </c>
      <c r="Q2" s="1660"/>
      <c r="R2" s="1648" t="str">
        <f>G2&amp;"("&amp;L2&amp;")"</f>
        <v>()</v>
      </c>
      <c r="S2" s="1390"/>
      <c r="T2" s="1390"/>
      <c r="U2" s="444"/>
      <c r="V2" s="1390"/>
      <c r="W2" s="1390"/>
      <c r="X2" s="1390"/>
      <c r="Y2" s="857"/>
      <c r="Z2" s="857"/>
      <c r="AA2" s="651"/>
      <c r="AB2" s="651"/>
      <c r="AC2" s="651"/>
      <c r="AD2" s="651"/>
      <c r="AE2" s="651"/>
      <c r="AF2" s="651"/>
      <c r="AG2" s="651"/>
      <c r="AH2" s="651"/>
      <c r="AI2" s="651"/>
      <c r="AJ2" s="651"/>
      <c r="AK2" s="651"/>
      <c r="AL2" s="651"/>
      <c r="AM2" s="651"/>
      <c r="AN2" s="651"/>
      <c r="AO2" s="651"/>
      <c r="AP2" s="651"/>
      <c r="AQ2" s="651"/>
      <c r="AR2" s="651"/>
      <c r="AS2" s="651"/>
      <c r="AT2" s="651"/>
      <c r="AU2" s="651"/>
      <c r="AV2" s="651"/>
      <c r="AW2" s="651"/>
      <c r="AX2" s="651"/>
      <c r="AY2" s="651"/>
      <c r="AZ2" s="651"/>
      <c r="BA2" s="651"/>
      <c r="BB2" s="651"/>
      <c r="BC2" s="651"/>
      <c r="BD2" s="651"/>
      <c r="BE2" s="651"/>
      <c r="BF2" s="651"/>
      <c r="BG2" s="651"/>
      <c r="BH2" s="651"/>
      <c r="BI2" s="651"/>
      <c r="BJ2" s="651"/>
      <c r="BK2" s="651"/>
      <c r="BL2" s="651"/>
      <c r="BM2" s="651"/>
      <c r="BN2" s="651"/>
      <c r="BO2" s="651"/>
      <c r="BP2" s="651"/>
      <c r="BQ2" s="651"/>
      <c r="BR2" s="651"/>
      <c r="BS2" s="651"/>
      <c r="BT2" s="651"/>
      <c r="BU2" s="651"/>
      <c r="BV2" s="857"/>
      <c r="BW2" s="857"/>
      <c r="BX2" s="857"/>
      <c r="BY2" s="857"/>
      <c r="BZ2" s="857"/>
      <c r="CA2" s="857"/>
      <c r="CB2" s="857"/>
      <c r="CC2" s="857"/>
      <c r="CD2" s="857"/>
      <c r="CE2" s="857"/>
      <c r="IW2" s="648">
        <v>0</v>
      </c>
    </row>
    <row s="1666" customFormat="1" customHeight="1" ht="5.25" hidden="1">
      <c r="A3" s="1665"/>
      <c r="D3" s="1917"/>
      <c r="F3" s="272" t="s">
        <v>83</v>
      </c>
      <c r="G3" s="1759" t="s">
        <v>84</v>
      </c>
      <c r="H3" s="1917"/>
      <c r="I3" s="1917"/>
      <c r="J3" s="1917"/>
      <c r="K3" s="1917"/>
      <c r="L3" s="251" t="s">
        <v>85</v>
      </c>
      <c r="M3" s="272" t="s">
        <v>83</v>
      </c>
      <c r="N3" s="272"/>
      <c r="O3" s="272"/>
      <c r="P3" s="272"/>
      <c r="Q3" s="272"/>
      <c r="R3" s="272"/>
      <c r="S3" s="272"/>
      <c r="T3" s="272"/>
      <c r="U3" s="272"/>
      <c r="V3" s="272"/>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c r="HV3" s="251"/>
      <c r="HW3" s="251"/>
      <c r="HX3" s="251"/>
      <c r="HY3" s="251"/>
      <c r="HZ3" s="251"/>
      <c r="IA3" s="251"/>
      <c r="IB3" s="251"/>
      <c r="IC3" s="251"/>
      <c r="ID3" s="251"/>
      <c r="IE3" s="251"/>
      <c r="IF3" s="251"/>
      <c r="IG3" s="251"/>
      <c r="IH3" s="251"/>
      <c r="II3" s="251"/>
      <c r="IJ3" s="251"/>
      <c r="IK3" s="251"/>
      <c r="IL3" s="251"/>
      <c r="IM3" s="251"/>
      <c r="IN3" s="251"/>
      <c r="IO3" s="251"/>
      <c r="IP3" s="251"/>
      <c r="IQ3" s="251"/>
      <c r="IR3" s="251"/>
      <c r="IS3" s="251"/>
      <c r="IT3" s="251"/>
      <c r="IU3" s="251"/>
      <c r="IV3" s="251"/>
      <c r="IW3" s="1660">
        <v>0</v>
      </c>
    </row>
    <row s="1843" customFormat="1" customHeight="1" ht="14.699999999999998">
      <c r="A4" s="1655"/>
      <c r="B4" s="1390"/>
      <c r="C4" s="1655"/>
      <c r="D4" s="1539"/>
      <c r="E4" s="1659"/>
      <c r="F4" s="1659"/>
      <c r="G4" s="1659"/>
      <c r="H4" s="1659"/>
      <c r="I4" s="1659"/>
      <c r="J4" s="1659"/>
      <c r="K4" s="1659"/>
      <c r="L4" s="1919"/>
      <c r="M4" s="272"/>
      <c r="N4" s="1648"/>
      <c r="O4" s="1648"/>
      <c r="P4" s="1648"/>
      <c r="Q4" s="1648"/>
      <c r="R4" s="1648"/>
      <c r="S4" s="249"/>
      <c r="T4" s="249"/>
      <c r="U4" s="249"/>
      <c r="V4" s="249"/>
      <c r="IW4" s="1633">
        <v>14</v>
      </c>
    </row>
    <row s="1843" customFormat="1" customHeight="1" ht="27.299999999999997">
      <c r="A5" s="1655"/>
      <c r="B5" s="1390"/>
      <c r="C5" s="1655"/>
      <c r="D5" s="1539"/>
      <c r="E5" s="212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24"/>
      <c r="G5" s="2124"/>
      <c r="H5" s="2124"/>
      <c r="I5" s="2124"/>
      <c r="J5" s="2124"/>
      <c r="K5" s="2124"/>
      <c r="L5" s="1659"/>
      <c r="M5" s="272"/>
      <c r="N5" s="1648"/>
      <c r="O5" s="1648"/>
      <c r="P5" s="1648"/>
      <c r="Q5" s="1648"/>
      <c r="R5" s="1648"/>
      <c r="S5" s="249"/>
      <c r="T5" s="249"/>
      <c r="U5" s="249"/>
      <c r="V5" s="249"/>
      <c r="IW5" s="1633">
        <v>26</v>
      </c>
    </row>
    <row s="1843" customFormat="1" customHeight="1" ht="14.699999999999998">
      <c r="A6" s="1655"/>
      <c r="B6" s="1390"/>
      <c r="C6" s="1655"/>
      <c r="D6" s="1539"/>
      <c r="E6" s="1659"/>
      <c r="F6" s="640"/>
      <c r="G6" s="640"/>
      <c r="H6" s="640"/>
      <c r="I6" s="640"/>
      <c r="J6" s="640"/>
      <c r="K6" s="640"/>
      <c r="L6" s="1276"/>
      <c r="M6" s="1648"/>
      <c r="N6" s="1648"/>
      <c r="O6" s="1648"/>
      <c r="P6" s="1648"/>
      <c r="Q6" s="1648"/>
      <c r="R6" s="1648"/>
      <c r="S6" s="249"/>
      <c r="T6" s="249"/>
      <c r="U6" s="249"/>
      <c r="V6" s="249"/>
      <c r="IW6" s="1633">
        <v>14</v>
      </c>
    </row>
    <row s="1843" customFormat="1" customHeight="1" ht="14.699999999999998">
      <c r="A7" s="1655"/>
      <c r="B7" s="1390"/>
      <c r="C7" s="1655"/>
      <c r="D7" s="1539"/>
      <c r="E7" s="2125" t="s">
        <v>384</v>
      </c>
      <c r="F7" s="2126"/>
      <c r="G7" s="2126"/>
      <c r="H7" s="2126"/>
      <c r="I7" s="2126"/>
      <c r="J7" s="2126"/>
      <c r="K7" s="2126"/>
      <c r="L7" s="2498" t="s">
        <v>385</v>
      </c>
      <c r="M7" s="1648"/>
      <c r="N7" s="1648"/>
      <c r="O7" s="1648"/>
      <c r="P7" s="1648"/>
      <c r="Q7" s="1648"/>
      <c r="R7" s="1648"/>
      <c r="S7" s="249"/>
      <c r="T7" s="249"/>
      <c r="U7" s="249"/>
      <c r="V7" s="249"/>
      <c r="IW7" s="1633">
        <v>14</v>
      </c>
    </row>
    <row s="1843" customFormat="1" customHeight="1" ht="67.2">
      <c r="A8" s="1655"/>
      <c r="B8" s="1390"/>
      <c r="C8" s="1655"/>
      <c r="D8" s="1539"/>
      <c r="E8" s="2502" t="s">
        <v>88</v>
      </c>
      <c r="F8" s="2502" t="s">
        <v>2214</v>
      </c>
      <c r="G8" s="2504" t="s">
        <v>2215</v>
      </c>
      <c r="H8" s="2505"/>
      <c r="I8" s="2506"/>
      <c r="J8" s="2502" t="s">
        <v>2216</v>
      </c>
      <c r="K8" s="250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00"/>
      <c r="M8" s="1648"/>
      <c r="N8" s="1648"/>
      <c r="O8" s="1648"/>
      <c r="P8" s="1648"/>
      <c r="Q8" s="1648"/>
      <c r="R8" s="1648"/>
      <c r="S8" s="249"/>
      <c r="T8" s="249"/>
      <c r="U8" s="249"/>
      <c r="V8" s="249"/>
      <c r="IW8" s="1633">
        <v>64</v>
      </c>
    </row>
    <row s="1843" customFormat="1" customHeight="1" ht="29.25">
      <c r="A9" s="1655"/>
      <c r="B9" s="1390"/>
      <c r="C9" s="1655"/>
      <c r="D9" s="1539"/>
      <c r="E9" s="2503"/>
      <c r="F9" s="2503"/>
      <c r="G9" s="1918" t="s">
        <v>2210</v>
      </c>
      <c r="H9" s="1918" t="s">
        <v>2211</v>
      </c>
      <c r="I9" s="1918" t="s">
        <v>2212</v>
      </c>
      <c r="J9" s="2503"/>
      <c r="K9" s="2503"/>
      <c r="L9" s="2499"/>
      <c r="M9" s="1648"/>
      <c r="N9" s="1648"/>
      <c r="O9" s="1648"/>
      <c r="P9" s="1648"/>
      <c r="Q9" s="1648"/>
      <c r="R9" s="1648"/>
      <c r="S9" s="249"/>
      <c r="T9" s="249"/>
      <c r="U9" s="249"/>
      <c r="V9" s="249"/>
      <c r="IW9" s="1633">
        <v>28</v>
      </c>
    </row>
    <row s="1874" customFormat="1" customHeight="1" ht="1.05">
      <c r="A10" s="2123"/>
      <c r="B10" s="1390">
        <v>1</v>
      </c>
      <c r="C10" s="1390"/>
      <c r="D10" s="824"/>
      <c r="E10" s="819">
        <v>0</v>
      </c>
      <c r="F10" s="1915" t="str">
        <f>IF(ROIV_INFO_NAME="","",ROIV_INFO_NAME)</f>
        <v>АО "ДГК"</v>
      </c>
      <c r="G10" s="1757" t="s">
        <v>22</v>
      </c>
      <c r="H10" s="1927"/>
      <c r="I10" s="1927"/>
      <c r="J10" s="543"/>
      <c r="K10" s="543"/>
      <c r="L10" s="245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59">
        <f>MERGEVALUE(F10)</f>
      </c>
      <c r="N10" s="1660"/>
      <c r="O10" s="1660"/>
      <c r="P10" s="1648" t="str">
        <f t="array" ref="P10:P10">IF(ISERROR(MATCH(MID(Q10,1,250),MID(note_ter,1,250),0)),"n","y")</f>
        <v>n</v>
      </c>
      <c r="Q10" s="1660"/>
      <c r="R10" s="164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90"/>
      <c r="T10" s="1390"/>
      <c r="U10" s="444"/>
      <c r="V10" s="1390"/>
      <c r="W10" s="1390"/>
      <c r="X10" s="1390"/>
      <c r="Y10" s="857"/>
      <c r="Z10" s="857"/>
      <c r="AA10" s="651"/>
      <c r="AB10" s="651"/>
      <c r="AC10" s="651"/>
      <c r="AD10" s="651"/>
      <c r="AE10" s="651"/>
      <c r="AF10" s="651"/>
      <c r="AG10" s="651"/>
      <c r="AH10" s="651"/>
      <c r="AI10" s="651"/>
      <c r="AJ10" s="651"/>
      <c r="AK10" s="651"/>
      <c r="AL10" s="651"/>
      <c r="AM10" s="651"/>
      <c r="AN10" s="651"/>
      <c r="AO10" s="651"/>
      <c r="AP10" s="651"/>
      <c r="AQ10" s="651"/>
      <c r="AR10" s="651"/>
      <c r="AS10" s="651"/>
      <c r="AT10" s="651"/>
      <c r="AU10" s="651"/>
      <c r="AV10" s="651"/>
      <c r="AW10" s="651"/>
      <c r="AX10" s="651"/>
      <c r="AY10" s="651"/>
      <c r="AZ10" s="651"/>
      <c r="BA10" s="651"/>
      <c r="BB10" s="651"/>
      <c r="BC10" s="651"/>
      <c r="BD10" s="651"/>
      <c r="BE10" s="651"/>
      <c r="BF10" s="651"/>
      <c r="BG10" s="651"/>
      <c r="BH10" s="651"/>
      <c r="BI10" s="651"/>
      <c r="BJ10" s="651"/>
      <c r="BK10" s="651"/>
      <c r="BL10" s="651"/>
      <c r="BM10" s="651"/>
      <c r="BN10" s="651"/>
      <c r="BO10" s="651"/>
      <c r="BP10" s="651"/>
      <c r="BQ10" s="651"/>
      <c r="BR10" s="651"/>
      <c r="BS10" s="651"/>
      <c r="BT10" s="651"/>
      <c r="BU10" s="651"/>
      <c r="BV10" s="857"/>
      <c r="BW10" s="857"/>
      <c r="BX10" s="857"/>
      <c r="BY10" s="857"/>
      <c r="BZ10" s="857"/>
      <c r="CA10" s="857"/>
      <c r="CB10" s="857"/>
      <c r="CC10" s="857"/>
      <c r="CD10" s="857"/>
      <c r="CE10" s="857"/>
      <c r="IW10" s="648">
        <v>1</v>
      </c>
    </row>
    <row s="1874" customFormat="1" customHeight="1" ht="15.75">
      <c r="A11" s="2123"/>
      <c r="B11" s="1390"/>
      <c r="C11" s="436"/>
      <c r="D11" s="825"/>
      <c r="E11" s="445"/>
      <c r="F11" s="675" t="s">
        <v>2213</v>
      </c>
      <c r="G11" s="211"/>
      <c r="H11" s="211"/>
      <c r="I11" s="211"/>
      <c r="J11" s="211"/>
      <c r="K11" s="448"/>
      <c r="L11" s="2501"/>
      <c r="M11" s="1560"/>
      <c r="N11" s="1660"/>
      <c r="O11" s="1660"/>
      <c r="P11" s="1660"/>
      <c r="Q11" s="1648"/>
      <c r="R11" s="1660"/>
      <c r="S11" s="1390"/>
      <c r="T11" s="1390"/>
      <c r="U11" s="444"/>
      <c r="V11" s="1390"/>
      <c r="W11" s="1390"/>
      <c r="X11" s="1390"/>
      <c r="Y11" s="857"/>
      <c r="Z11" s="857"/>
      <c r="AA11" s="651"/>
      <c r="AB11" s="651"/>
      <c r="AC11" s="651"/>
      <c r="AD11" s="651"/>
      <c r="AE11" s="651"/>
      <c r="AF11" s="651"/>
      <c r="AG11" s="651"/>
      <c r="AH11" s="651"/>
      <c r="AI11" s="651"/>
      <c r="AJ11" s="651"/>
      <c r="AK11" s="651"/>
      <c r="AL11" s="651"/>
      <c r="AM11" s="651"/>
      <c r="AN11" s="651"/>
      <c r="AO11" s="651"/>
      <c r="AP11" s="651"/>
      <c r="AQ11" s="651"/>
      <c r="AR11" s="651"/>
      <c r="AS11" s="651"/>
      <c r="AT11" s="651"/>
      <c r="AU11" s="651"/>
      <c r="AV11" s="651"/>
      <c r="AW11" s="651"/>
      <c r="AX11" s="651"/>
      <c r="AY11" s="651"/>
      <c r="AZ11" s="651"/>
      <c r="BA11" s="651"/>
      <c r="BB11" s="651"/>
      <c r="BC11" s="651"/>
      <c r="BD11" s="651"/>
      <c r="BE11" s="651"/>
      <c r="BF11" s="651"/>
      <c r="BG11" s="651"/>
      <c r="BH11" s="651"/>
      <c r="BI11" s="651"/>
      <c r="BJ11" s="651"/>
      <c r="BK11" s="651"/>
      <c r="BL11" s="651"/>
      <c r="BM11" s="651"/>
      <c r="BN11" s="651"/>
      <c r="BO11" s="651"/>
      <c r="BP11" s="651"/>
      <c r="BQ11" s="651"/>
      <c r="BR11" s="651"/>
      <c r="BS11" s="651"/>
      <c r="BT11" s="651"/>
      <c r="BU11" s="651"/>
      <c r="BV11" s="857"/>
      <c r="BW11" s="857"/>
      <c r="BX11" s="857"/>
      <c r="BY11" s="857"/>
      <c r="BZ11" s="857"/>
      <c r="CA11" s="857"/>
      <c r="CB11" s="857"/>
      <c r="CC11" s="857"/>
      <c r="CD11" s="857"/>
      <c r="CE11" s="857"/>
      <c r="IW11" s="648">
        <v>15</v>
      </c>
    </row>
    <row s="1843" customFormat="1" customHeight="1" ht="22.049999999999997">
      <c r="A12" s="1655"/>
      <c r="B12" s="1390"/>
      <c r="C12" s="1655"/>
      <c r="D12" s="1657"/>
      <c r="E12" s="204"/>
      <c r="F12" s="204"/>
      <c r="G12" s="204"/>
      <c r="H12" s="204"/>
      <c r="I12" s="204"/>
      <c r="J12" s="204"/>
      <c r="K12" s="204"/>
      <c r="L12" s="204"/>
      <c r="M12" s="1648"/>
      <c r="N12" s="1648"/>
      <c r="O12" s="1648"/>
      <c r="P12" s="1648"/>
      <c r="Q12" s="1648"/>
      <c r="R12" s="1648"/>
      <c r="S12" s="249"/>
      <c r="T12" s="249"/>
      <c r="U12" s="249"/>
      <c r="V12" s="249"/>
      <c r="IW12" s="1633">
        <v>21</v>
      </c>
    </row>
    <row s="1843" customFormat="1" customHeight="1" ht="14.699999999999998">
      <c r="A13" s="1655"/>
      <c r="B13" s="1390"/>
      <c r="C13" s="1655"/>
      <c r="D13" s="1657"/>
      <c r="E13" s="1655"/>
      <c r="F13" s="1655"/>
      <c r="G13" s="1655"/>
      <c r="H13" s="1655"/>
      <c r="I13" s="1655"/>
      <c r="J13" s="1655"/>
      <c r="K13" s="1655"/>
      <c r="L13" s="1655"/>
      <c r="M13" s="1648"/>
      <c r="N13" s="1648"/>
      <c r="O13" s="1648"/>
      <c r="P13" s="1648"/>
      <c r="Q13" s="1648"/>
      <c r="R13" s="1648"/>
      <c r="S13" s="249"/>
      <c r="T13" s="249"/>
      <c r="U13" s="249"/>
      <c r="V13" s="249"/>
      <c r="IW13" s="1633">
        <v>14</v>
      </c>
    </row>
    <row s="1843" customFormat="1" customHeight="1" ht="1.05">
      <c r="A14" s="1655"/>
      <c r="B14" s="1390"/>
      <c r="C14" s="1655"/>
      <c r="D14" s="1657"/>
      <c r="E14" s="1655"/>
      <c r="F14" s="1655"/>
      <c r="G14" s="1655"/>
      <c r="H14" s="1655"/>
      <c r="I14" s="1655"/>
      <c r="J14" s="1655"/>
      <c r="K14" s="1655"/>
      <c r="L14" s="1655"/>
      <c r="M14" s="1648"/>
      <c r="N14" s="1648"/>
      <c r="O14" s="1648"/>
      <c r="P14" s="1648"/>
      <c r="Q14" s="1648"/>
      <c r="R14" s="1648"/>
      <c r="S14" s="249"/>
      <c r="T14" s="249"/>
      <c r="U14" s="249"/>
      <c r="V14" s="249"/>
      <c r="IW14" s="1633">
        <v>1</v>
      </c>
    </row>
    <row customHeight="1" ht="22.5" hidden="1">
      <c r="A15" s="1655" t="s">
        <v>82</v>
      </c>
      <c r="B15" s="1390">
        <v>0</v>
      </c>
      <c r="C15" s="1655">
        <v>0</v>
      </c>
      <c r="D15" s="1657">
        <v>3</v>
      </c>
      <c r="E15" s="1655">
        <v>6</v>
      </c>
      <c r="F15" s="1655">
        <v>27</v>
      </c>
      <c r="G15" s="1655">
        <v>16</v>
      </c>
      <c r="H15" s="1655">
        <v>12</v>
      </c>
      <c r="I15" s="1655">
        <v>32</v>
      </c>
      <c r="J15" s="1655">
        <v>41</v>
      </c>
      <c r="K15" s="1655">
        <v>41</v>
      </c>
      <c r="L15" s="1655">
        <v>89</v>
      </c>
      <c r="M15" s="1648">
        <v>3</v>
      </c>
      <c r="N15" s="1648">
        <v>8</v>
      </c>
      <c r="O15" s="1648">
        <v>8</v>
      </c>
      <c r="P15" s="1648">
        <v>8</v>
      </c>
      <c r="Q15" s="1648">
        <v>25</v>
      </c>
      <c r="R15" s="1648">
        <v>14</v>
      </c>
      <c r="S15" s="249">
        <v>8</v>
      </c>
      <c r="T15" s="249">
        <v>8</v>
      </c>
      <c r="U15" s="249">
        <v>8</v>
      </c>
      <c r="V15" s="249">
        <v>8</v>
      </c>
      <c r="W15" s="1655">
        <v>8</v>
      </c>
      <c r="X15" s="1655">
        <v>8</v>
      </c>
      <c r="Y15" s="1655">
        <v>8</v>
      </c>
      <c r="Z15" s="1655">
        <v>8</v>
      </c>
      <c r="AA15" s="1655">
        <v>8</v>
      </c>
      <c r="AB15" s="1655">
        <v>8</v>
      </c>
      <c r="AC15" s="1655">
        <v>8</v>
      </c>
      <c r="AD15" s="1655">
        <v>8</v>
      </c>
      <c r="AE15" s="1655">
        <v>8</v>
      </c>
      <c r="AF15" s="1655">
        <v>8</v>
      </c>
      <c r="AG15" s="1655">
        <v>8</v>
      </c>
      <c r="AH15" s="1655">
        <v>8</v>
      </c>
      <c r="AI15" s="1655">
        <v>8</v>
      </c>
      <c r="AJ15" s="1655">
        <v>8</v>
      </c>
      <c r="AK15" s="1655">
        <v>8</v>
      </c>
      <c r="AL15" s="1655">
        <v>8</v>
      </c>
      <c r="AM15" s="1655">
        <v>8</v>
      </c>
      <c r="AN15" s="1655">
        <v>8</v>
      </c>
      <c r="AO15" s="1655">
        <v>8</v>
      </c>
      <c r="AP15" s="1655">
        <v>8</v>
      </c>
      <c r="AQ15" s="1655">
        <v>8</v>
      </c>
      <c r="AR15" s="1655">
        <v>8</v>
      </c>
      <c r="AS15" s="1655">
        <v>8</v>
      </c>
      <c r="AT15" s="1655">
        <v>8</v>
      </c>
      <c r="AU15" s="1655">
        <v>8</v>
      </c>
      <c r="AV15" s="1655">
        <v>8</v>
      </c>
      <c r="AW15" s="1655">
        <v>8</v>
      </c>
      <c r="AX15" s="1655">
        <v>8</v>
      </c>
      <c r="AY15" s="1655">
        <v>8</v>
      </c>
      <c r="AZ15" s="1655">
        <v>8</v>
      </c>
      <c r="BA15" s="1655">
        <v>8</v>
      </c>
      <c r="BB15" s="1655">
        <v>8</v>
      </c>
      <c r="BC15" s="1655">
        <v>8</v>
      </c>
      <c r="BD15" s="1655">
        <v>8</v>
      </c>
      <c r="BE15" s="1655">
        <v>8</v>
      </c>
      <c r="BF15" s="1655">
        <v>8</v>
      </c>
      <c r="BG15" s="1655">
        <v>8</v>
      </c>
      <c r="BH15" s="1655">
        <v>8</v>
      </c>
      <c r="BI15" s="1655">
        <v>8</v>
      </c>
      <c r="BJ15" s="1655">
        <v>8</v>
      </c>
      <c r="BK15" s="1655">
        <v>8</v>
      </c>
      <c r="BL15" s="1655">
        <v>8</v>
      </c>
      <c r="BM15" s="1655">
        <v>8</v>
      </c>
      <c r="BN15" s="1655">
        <v>8</v>
      </c>
      <c r="BO15" s="1655">
        <v>8</v>
      </c>
      <c r="BP15" s="1655">
        <v>8</v>
      </c>
      <c r="BQ15" s="1655">
        <v>8</v>
      </c>
      <c r="BR15" s="1655">
        <v>8</v>
      </c>
      <c r="BS15" s="1655">
        <v>8</v>
      </c>
      <c r="BT15" s="1655">
        <v>8</v>
      </c>
      <c r="BU15" s="1655">
        <v>8</v>
      </c>
      <c r="BV15" s="1655">
        <v>8</v>
      </c>
      <c r="BW15" s="1655">
        <v>8</v>
      </c>
      <c r="BX15" s="1655">
        <v>8</v>
      </c>
      <c r="BY15" s="1655">
        <v>8</v>
      </c>
      <c r="BZ15" s="1655">
        <v>8</v>
      </c>
      <c r="CA15" s="1655">
        <v>8</v>
      </c>
      <c r="CB15" s="1655">
        <v>8</v>
      </c>
      <c r="CC15" s="1655">
        <v>8</v>
      </c>
      <c r="CD15" s="1655">
        <v>8</v>
      </c>
      <c r="CE15" s="1655">
        <v>8</v>
      </c>
      <c r="CF15" s="1655">
        <v>8</v>
      </c>
      <c r="CG15" s="1655">
        <v>8</v>
      </c>
      <c r="CH15" s="1655">
        <v>8</v>
      </c>
      <c r="CI15" s="1655">
        <v>8</v>
      </c>
      <c r="CJ15" s="1655">
        <v>8</v>
      </c>
      <c r="CK15" s="1655">
        <v>8</v>
      </c>
      <c r="CL15" s="1655">
        <v>8</v>
      </c>
      <c r="CM15" s="1655">
        <v>8</v>
      </c>
      <c r="CN15" s="1655">
        <v>8</v>
      </c>
      <c r="CO15" s="1655">
        <v>8</v>
      </c>
      <c r="CP15" s="1655">
        <v>8</v>
      </c>
      <c r="CQ15" s="1655">
        <v>8</v>
      </c>
      <c r="CR15" s="1655">
        <v>8</v>
      </c>
      <c r="CS15" s="1655">
        <v>8</v>
      </c>
      <c r="CT15" s="1655">
        <v>8</v>
      </c>
      <c r="CU15" s="1655">
        <v>8</v>
      </c>
      <c r="CV15" s="1655">
        <v>8</v>
      </c>
      <c r="CW15" s="1655">
        <v>8</v>
      </c>
      <c r="CX15" s="1655">
        <v>8</v>
      </c>
      <c r="CY15" s="1655">
        <v>8</v>
      </c>
      <c r="CZ15" s="1655">
        <v>8</v>
      </c>
      <c r="DA15" s="1655">
        <v>8</v>
      </c>
      <c r="DB15" s="1655">
        <v>8</v>
      </c>
      <c r="DC15" s="1655">
        <v>8</v>
      </c>
      <c r="DD15" s="1655">
        <v>8</v>
      </c>
      <c r="DE15" s="1655">
        <v>8</v>
      </c>
      <c r="DF15" s="1655">
        <v>8</v>
      </c>
      <c r="DG15" s="1655">
        <v>8</v>
      </c>
      <c r="DH15" s="1655">
        <v>8</v>
      </c>
      <c r="DI15" s="1655">
        <v>8</v>
      </c>
      <c r="DJ15" s="1655">
        <v>8</v>
      </c>
      <c r="DK15" s="1655">
        <v>8</v>
      </c>
      <c r="DL15" s="1655">
        <v>8</v>
      </c>
      <c r="DM15" s="1655">
        <v>8</v>
      </c>
      <c r="DN15" s="1655">
        <v>8</v>
      </c>
      <c r="DO15" s="1655">
        <v>8</v>
      </c>
      <c r="DP15" s="1655">
        <v>8</v>
      </c>
      <c r="DQ15" s="1655">
        <v>8</v>
      </c>
      <c r="DR15" s="1655">
        <v>8</v>
      </c>
      <c r="DS15" s="1655">
        <v>8</v>
      </c>
      <c r="DT15" s="1655">
        <v>8</v>
      </c>
      <c r="DU15" s="1655">
        <v>8</v>
      </c>
      <c r="DV15" s="1655">
        <v>8</v>
      </c>
      <c r="DW15" s="1655">
        <v>8</v>
      </c>
      <c r="DX15" s="1655">
        <v>8</v>
      </c>
      <c r="DY15" s="1655">
        <v>8</v>
      </c>
      <c r="DZ15" s="1655">
        <v>8</v>
      </c>
      <c r="EA15" s="1655">
        <v>8</v>
      </c>
      <c r="EB15" s="1655">
        <v>8</v>
      </c>
      <c r="EC15" s="1655">
        <v>8</v>
      </c>
      <c r="ED15" s="1655">
        <v>8</v>
      </c>
      <c r="EE15" s="1655">
        <v>8</v>
      </c>
      <c r="EF15" s="1655">
        <v>8</v>
      </c>
      <c r="EG15" s="1655">
        <v>8</v>
      </c>
      <c r="EH15" s="1655">
        <v>8</v>
      </c>
      <c r="EI15" s="1655">
        <v>8</v>
      </c>
      <c r="EJ15" s="1655">
        <v>8</v>
      </c>
      <c r="EK15" s="1655">
        <v>8</v>
      </c>
      <c r="EL15" s="1655">
        <v>8</v>
      </c>
      <c r="EM15" s="1655">
        <v>8</v>
      </c>
      <c r="EN15" s="1655">
        <v>8</v>
      </c>
      <c r="EO15" s="1655">
        <v>8</v>
      </c>
      <c r="EP15" s="1655">
        <v>8</v>
      </c>
      <c r="EQ15" s="1655">
        <v>8</v>
      </c>
      <c r="ER15" s="1655">
        <v>8</v>
      </c>
      <c r="ES15" s="1655">
        <v>8</v>
      </c>
      <c r="ET15" s="1655">
        <v>8</v>
      </c>
      <c r="EU15" s="1655">
        <v>8</v>
      </c>
      <c r="EV15" s="1655">
        <v>8</v>
      </c>
      <c r="EW15" s="1655">
        <v>8</v>
      </c>
      <c r="EX15" s="1655">
        <v>8</v>
      </c>
      <c r="EY15" s="1655">
        <v>8</v>
      </c>
      <c r="EZ15" s="1655">
        <v>8</v>
      </c>
      <c r="FA15" s="1655">
        <v>8</v>
      </c>
      <c r="FB15" s="1655">
        <v>8</v>
      </c>
      <c r="FC15" s="1655">
        <v>8</v>
      </c>
      <c r="FD15" s="1655">
        <v>8</v>
      </c>
      <c r="FE15" s="1655">
        <v>8</v>
      </c>
      <c r="FF15" s="1655">
        <v>8</v>
      </c>
      <c r="FG15" s="1655">
        <v>8</v>
      </c>
      <c r="FH15" s="1655">
        <v>8</v>
      </c>
      <c r="FI15" s="1655">
        <v>8</v>
      </c>
      <c r="FJ15" s="1655">
        <v>8</v>
      </c>
      <c r="FK15" s="1655">
        <v>8</v>
      </c>
      <c r="FL15" s="1655">
        <v>8</v>
      </c>
      <c r="FM15" s="1655">
        <v>8</v>
      </c>
      <c r="FN15" s="1655">
        <v>8</v>
      </c>
      <c r="FO15" s="1655">
        <v>8</v>
      </c>
      <c r="FP15" s="1655">
        <v>8</v>
      </c>
      <c r="FQ15" s="1655">
        <v>8</v>
      </c>
      <c r="FR15" s="1655">
        <v>8</v>
      </c>
      <c r="FS15" s="1655">
        <v>8</v>
      </c>
      <c r="FT15" s="1655">
        <v>8</v>
      </c>
      <c r="FU15" s="1655">
        <v>8</v>
      </c>
      <c r="FV15" s="1655">
        <v>8</v>
      </c>
      <c r="FW15" s="1655">
        <v>8</v>
      </c>
      <c r="FX15" s="1655">
        <v>8</v>
      </c>
      <c r="FY15" s="1655">
        <v>8</v>
      </c>
      <c r="FZ15" s="1655">
        <v>8</v>
      </c>
      <c r="GA15" s="1655">
        <v>8</v>
      </c>
      <c r="GB15" s="1655">
        <v>8</v>
      </c>
      <c r="GC15" s="1655">
        <v>8</v>
      </c>
      <c r="GD15" s="1655">
        <v>8</v>
      </c>
      <c r="GE15" s="1655">
        <v>8</v>
      </c>
      <c r="GF15" s="1655">
        <v>8</v>
      </c>
      <c r="GG15" s="1655">
        <v>8</v>
      </c>
      <c r="GH15" s="1655">
        <v>8</v>
      </c>
      <c r="GI15" s="1655">
        <v>8</v>
      </c>
      <c r="GJ15" s="1655">
        <v>8</v>
      </c>
      <c r="GK15" s="1655">
        <v>8</v>
      </c>
      <c r="GL15" s="1655">
        <v>8</v>
      </c>
      <c r="GM15" s="1655">
        <v>8</v>
      </c>
      <c r="GN15" s="1655">
        <v>8</v>
      </c>
      <c r="GO15" s="1655">
        <v>8</v>
      </c>
      <c r="GP15" s="1655">
        <v>8</v>
      </c>
      <c r="GQ15" s="1655">
        <v>8</v>
      </c>
      <c r="GR15" s="1655">
        <v>8</v>
      </c>
      <c r="GS15" s="1655">
        <v>8</v>
      </c>
      <c r="GT15" s="1655">
        <v>8</v>
      </c>
      <c r="GU15" s="1655">
        <v>8</v>
      </c>
      <c r="GV15" s="1655">
        <v>8</v>
      </c>
      <c r="GW15" s="1655">
        <v>8</v>
      </c>
      <c r="GX15" s="1655">
        <v>8</v>
      </c>
      <c r="GY15" s="1655">
        <v>8</v>
      </c>
      <c r="GZ15" s="1655">
        <v>8</v>
      </c>
      <c r="HA15" s="1655">
        <v>8</v>
      </c>
      <c r="HB15" s="1655">
        <v>8</v>
      </c>
      <c r="HC15" s="1655">
        <v>8</v>
      </c>
      <c r="HD15" s="1655">
        <v>8</v>
      </c>
      <c r="HE15" s="1655">
        <v>8</v>
      </c>
      <c r="HF15" s="1655">
        <v>8</v>
      </c>
      <c r="HG15" s="1655">
        <v>8</v>
      </c>
      <c r="HH15" s="1655">
        <v>8</v>
      </c>
      <c r="HI15" s="1655">
        <v>8</v>
      </c>
      <c r="HJ15" s="1655">
        <v>8</v>
      </c>
      <c r="HK15" s="1655">
        <v>8</v>
      </c>
      <c r="HL15" s="1655">
        <v>8</v>
      </c>
      <c r="HM15" s="1655">
        <v>8</v>
      </c>
      <c r="HN15" s="1655">
        <v>8</v>
      </c>
      <c r="HO15" s="1655">
        <v>8</v>
      </c>
      <c r="HP15" s="1655">
        <v>8</v>
      </c>
      <c r="HQ15" s="1655">
        <v>8</v>
      </c>
      <c r="HR15" s="1655">
        <v>8</v>
      </c>
      <c r="HS15" s="1655">
        <v>8</v>
      </c>
      <c r="HT15" s="1655">
        <v>8</v>
      </c>
      <c r="HU15" s="1655">
        <v>8</v>
      </c>
      <c r="HV15" s="1655">
        <v>8</v>
      </c>
      <c r="HW15" s="1655">
        <v>8</v>
      </c>
      <c r="HX15" s="1655">
        <v>8</v>
      </c>
      <c r="HY15" s="1655">
        <v>8</v>
      </c>
      <c r="HZ15" s="1655">
        <v>8</v>
      </c>
      <c r="IA15" s="1655">
        <v>8</v>
      </c>
      <c r="IB15" s="1655">
        <v>8</v>
      </c>
      <c r="IC15" s="1655">
        <v>8</v>
      </c>
      <c r="ID15" s="1655">
        <v>8</v>
      </c>
      <c r="IE15" s="1655">
        <v>8</v>
      </c>
      <c r="IF15" s="1655">
        <v>8</v>
      </c>
      <c r="IG15" s="1655">
        <v>8</v>
      </c>
      <c r="IH15" s="1655">
        <v>8</v>
      </c>
      <c r="II15" s="1655">
        <v>8</v>
      </c>
      <c r="IJ15" s="1655">
        <v>8</v>
      </c>
      <c r="IK15" s="1655">
        <v>8</v>
      </c>
      <c r="IL15" s="1655">
        <v>8</v>
      </c>
      <c r="IM15" s="1655">
        <v>8</v>
      </c>
      <c r="IN15" s="1655">
        <v>8</v>
      </c>
      <c r="IO15" s="1655">
        <v>8</v>
      </c>
      <c r="IP15" s="1655">
        <v>8</v>
      </c>
      <c r="IQ15" s="1655">
        <v>8</v>
      </c>
      <c r="IR15" s="1655">
        <v>8</v>
      </c>
      <c r="IS15" s="1655">
        <v>8</v>
      </c>
      <c r="IT15" s="1655">
        <v>8</v>
      </c>
      <c r="IU15" s="1655">
        <v>8</v>
      </c>
      <c r="IV15" s="1655">
        <v>8</v>
      </c>
      <c r="IW15" s="1655">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632E3D-9236-420F-95C6-0.5AC2A73D}"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59" width="9.140625" hidden="1"/>
    <col min="2" max="2" style="1390" width="9.140625" hidden="1"/>
    <col min="3" max="3" style="1659" width="3.7109375" hidden="1" customWidth="1"/>
    <col min="4" max="4" style="1866" width="3.00390625" customWidth="1"/>
    <col min="5" max="5" style="1659" width="6.00390625" customWidth="1"/>
    <col min="6" max="6" style="1659" width="27.00390625" customWidth="1"/>
    <col min="7" max="7" style="1659" width="29.00390625" customWidth="1"/>
    <col min="8" max="8" style="1659" width="25.00390625" customWidth="1"/>
    <col min="9" max="9" style="1659" width="5.00390625" customWidth="1"/>
    <col min="10" max="10" style="1659" width="6.00390625" customWidth="1"/>
    <col min="11" max="11" style="1659" width="41.00390625" customWidth="1"/>
    <col min="12" max="12" style="1659" width="42.00390625" customWidth="1"/>
    <col min="13" max="13" style="1659" width="41.00390625" customWidth="1"/>
    <col min="14" max="14" style="1659" width="89.00390625" customWidth="1"/>
    <col min="15" max="15" style="1648" width="3.00390625" customWidth="1"/>
    <col min="16" max="16" style="1648" width="8.00390625" customWidth="1"/>
    <col min="17" max="17" style="1659" width="9.140625" hidden="1"/>
  </cols>
  <sheetData>
    <row customHeight="1" ht="22.5" hidden="1">
      <c r="Q1" s="1179" t="s">
        <v>14</v>
      </c>
    </row>
    <row s="1874" customFormat="1" customHeight="1" ht="22.5" hidden="1">
      <c r="A2" s="520"/>
      <c r="B2" s="1184">
        <v>1</v>
      </c>
      <c r="C2" s="1184"/>
      <c r="D2" s="1952" t="s">
        <v>104</v>
      </c>
      <c r="E2" s="2151">
        <v>1</v>
      </c>
      <c r="F2" s="2327" t="str">
        <f>IF(region_name="","",region_name)</f>
        <v>Хабаровский край</v>
      </c>
      <c r="G2" s="2507"/>
      <c r="H2" s="2508"/>
      <c r="I2" s="498"/>
      <c r="J2" s="1934">
        <v>1</v>
      </c>
      <c r="K2" s="1936"/>
      <c r="L2" s="1936"/>
      <c r="M2" s="1936"/>
      <c r="N2" s="516"/>
      <c r="O2" s="1559"/>
      <c r="P2" s="535"/>
      <c r="Q2" s="447">
        <v>0</v>
      </c>
    </row>
    <row s="1874" customFormat="1" customHeight="1" ht="22.5" hidden="1">
      <c r="A3" s="855"/>
      <c r="B3" s="1184"/>
      <c r="C3" s="1184"/>
      <c r="D3" s="825"/>
      <c r="E3" s="2151"/>
      <c r="F3" s="2327"/>
      <c r="G3" s="2507"/>
      <c r="H3" s="2509"/>
      <c r="I3" s="445"/>
      <c r="J3" s="1524"/>
      <c r="K3" s="1524" t="s">
        <v>2217</v>
      </c>
      <c r="L3" s="1567"/>
      <c r="M3" s="1944"/>
      <c r="N3" s="1937"/>
      <c r="O3" s="1559"/>
      <c r="P3" s="535"/>
      <c r="Q3" s="447">
        <v>0</v>
      </c>
    </row>
    <row s="1666" customFormat="1" customHeight="1" ht="5.25" hidden="1">
      <c r="A4" s="520"/>
      <c r="D4" s="518"/>
      <c r="F4" s="271" t="s">
        <v>83</v>
      </c>
      <c r="G4" s="518" t="s">
        <v>84</v>
      </c>
      <c r="H4" s="518"/>
      <c r="I4" s="1947"/>
      <c r="J4" s="1568"/>
      <c r="K4" s="1935"/>
      <c r="L4" s="1935"/>
      <c r="M4" s="1935"/>
      <c r="N4" s="1931"/>
      <c r="O4" s="271" t="s">
        <v>83</v>
      </c>
      <c r="P4" s="271"/>
      <c r="Q4" s="535">
        <v>0</v>
      </c>
    </row>
    <row s="1874" customFormat="1" customHeight="1" ht="22.5" hidden="1">
      <c r="A5" s="1665"/>
      <c r="B5" s="1390">
        <v>1</v>
      </c>
      <c r="C5" s="1390"/>
      <c r="D5" s="825"/>
      <c r="E5" s="1937"/>
      <c r="F5" s="1937"/>
      <c r="G5" s="1937"/>
      <c r="H5" s="1948"/>
      <c r="I5" s="1953" t="s">
        <v>104</v>
      </c>
      <c r="J5" s="1946">
        <v>1</v>
      </c>
      <c r="K5" s="1936"/>
      <c r="L5" s="1936"/>
      <c r="M5" s="1936"/>
      <c r="N5" s="516"/>
      <c r="O5" s="1559"/>
      <c r="P5" s="1660"/>
      <c r="Q5" s="648">
        <v>0</v>
      </c>
    </row>
    <row s="1843" customFormat="1" customHeight="1" ht="14.699999999999998">
      <c r="A6" s="1179"/>
      <c r="B6" s="1184"/>
      <c r="C6" s="1179"/>
      <c r="D6" s="1519"/>
      <c r="E6" s="533"/>
      <c r="F6" s="533"/>
      <c r="G6" s="533"/>
      <c r="H6" s="533"/>
      <c r="I6" s="533"/>
      <c r="J6" s="533"/>
      <c r="K6" s="533"/>
      <c r="L6" s="533"/>
      <c r="M6" s="533"/>
      <c r="N6" s="1659"/>
      <c r="O6" s="271"/>
      <c r="P6" s="524"/>
      <c r="Q6" s="531">
        <v>14</v>
      </c>
    </row>
    <row s="1843" customFormat="1" customHeight="1" ht="27.299999999999997">
      <c r="A7" s="1179"/>
      <c r="B7" s="1184"/>
      <c r="C7" s="1179"/>
      <c r="D7" s="1519"/>
      <c r="E7" s="251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14"/>
      <c r="G7" s="2514"/>
      <c r="H7" s="2514"/>
      <c r="I7" s="2514"/>
      <c r="J7" s="2514"/>
      <c r="K7" s="2514"/>
      <c r="L7" s="2514"/>
      <c r="M7" s="2514"/>
      <c r="N7" s="1276"/>
      <c r="O7" s="271"/>
      <c r="P7" s="524"/>
      <c r="Q7" s="531">
        <v>26</v>
      </c>
    </row>
    <row s="1843" customFormat="1" customHeight="1" ht="14.699999999999998">
      <c r="A8" s="1179"/>
      <c r="B8" s="1184"/>
      <c r="C8" s="1179"/>
      <c r="D8" s="1519"/>
      <c r="E8" s="533"/>
      <c r="F8" s="191"/>
      <c r="G8" s="191"/>
      <c r="H8" s="191"/>
      <c r="I8" s="191"/>
      <c r="J8" s="191"/>
      <c r="K8" s="191"/>
      <c r="L8" s="191"/>
      <c r="M8" s="191"/>
      <c r="N8" s="640"/>
      <c r="O8" s="524"/>
      <c r="P8" s="524"/>
      <c r="Q8" s="531">
        <v>14</v>
      </c>
    </row>
    <row s="1570" customFormat="1" customHeight="1" ht="14.25" hidden="1">
      <c r="A9" s="1492"/>
      <c r="B9" s="1502"/>
      <c r="C9" s="1492"/>
      <c r="D9" s="1519"/>
      <c r="E9" s="1938"/>
      <c r="F9" s="1938"/>
      <c r="G9" s="1938"/>
      <c r="H9" s="1938"/>
      <c r="I9" s="2517"/>
      <c r="J9" s="2517"/>
      <c r="K9" s="2517"/>
      <c r="L9" s="1938"/>
      <c r="M9" s="1939"/>
      <c r="O9" s="1569"/>
      <c r="P9" s="1569"/>
      <c r="Q9" s="1570">
        <v>0</v>
      </c>
    </row>
    <row s="1843" customFormat="1" customHeight="1" ht="14.699999999999998">
      <c r="A10" s="1179"/>
      <c r="B10" s="1184"/>
      <c r="C10" s="1179"/>
      <c r="D10" s="1519"/>
      <c r="E10" s="2151" t="s">
        <v>384</v>
      </c>
      <c r="F10" s="2151"/>
      <c r="G10" s="2151"/>
      <c r="H10" s="2151"/>
      <c r="I10" s="2151"/>
      <c r="J10" s="2151"/>
      <c r="K10" s="2151"/>
      <c r="L10" s="2151"/>
      <c r="M10" s="2125"/>
      <c r="N10" s="2502" t="s">
        <v>385</v>
      </c>
      <c r="O10" s="524"/>
      <c r="P10" s="524"/>
      <c r="Q10" s="531">
        <v>14</v>
      </c>
    </row>
    <row s="1843" customFormat="1" customHeight="1" ht="44.25">
      <c r="A11" s="1655"/>
      <c r="B11" s="1390"/>
      <c r="C11" s="1655"/>
      <c r="D11" s="1539"/>
      <c r="E11" s="2516" t="s">
        <v>88</v>
      </c>
      <c r="F11" s="2516" t="s">
        <v>388</v>
      </c>
      <c r="G11" s="2516" t="s">
        <v>2218</v>
      </c>
      <c r="H11" s="2516"/>
      <c r="I11" s="2516" t="s">
        <v>2219</v>
      </c>
      <c r="J11" s="2516"/>
      <c r="K11" s="2516"/>
      <c r="L11" s="2516" t="s">
        <v>2220</v>
      </c>
      <c r="M11" s="2504" t="s">
        <v>2221</v>
      </c>
      <c r="N11" s="2515"/>
      <c r="O11" s="1648"/>
      <c r="P11" s="1648"/>
      <c r="Q11" s="1633">
        <v>42</v>
      </c>
    </row>
    <row s="1843" customFormat="1" customHeight="1" ht="29.25">
      <c r="A12" s="1179"/>
      <c r="B12" s="1184"/>
      <c r="C12" s="1179"/>
      <c r="D12" s="1519"/>
      <c r="E12" s="2502"/>
      <c r="F12" s="2516"/>
      <c r="G12" s="1933" t="s">
        <v>2222</v>
      </c>
      <c r="H12" s="1933" t="s">
        <v>392</v>
      </c>
      <c r="I12" s="2516"/>
      <c r="J12" s="2516"/>
      <c r="K12" s="2516"/>
      <c r="L12" s="2516"/>
      <c r="M12" s="2504"/>
      <c r="N12" s="2503"/>
      <c r="O12" s="524"/>
      <c r="P12" s="524"/>
      <c r="Q12" s="531">
        <v>28</v>
      </c>
    </row>
    <row s="1874" customFormat="1" customHeight="1" ht="23.25">
      <c r="A13" s="2123">
        <v>26379339</v>
      </c>
      <c r="B13" s="1184">
        <v>1</v>
      </c>
      <c r="C13" s="1184"/>
      <c r="D13" s="825"/>
      <c r="E13" s="2151">
        <v>1</v>
      </c>
      <c r="F13" s="2510" t="str">
        <f>IF(region_name="","",region_name)</f>
        <v>Хабаровский край</v>
      </c>
      <c r="G13" s="2511"/>
      <c r="H13" s="2518"/>
      <c r="I13" s="498"/>
      <c r="J13" s="1929">
        <v>1</v>
      </c>
      <c r="K13" s="1942"/>
      <c r="L13" s="1943"/>
      <c r="M13" s="1943"/>
      <c r="N13" s="2512" t="s">
        <v>2223</v>
      </c>
      <c r="O13" s="1559"/>
      <c r="P13" s="535"/>
      <c r="Q13" s="447">
        <v>22</v>
      </c>
    </row>
    <row s="1874" customFormat="1" customHeight="1" ht="23.25">
      <c r="A14" s="2123"/>
      <c r="B14" s="1184"/>
      <c r="C14" s="1184"/>
      <c r="D14" s="825"/>
      <c r="E14" s="2151"/>
      <c r="F14" s="2510"/>
      <c r="G14" s="2511"/>
      <c r="H14" s="2519"/>
      <c r="I14" s="445"/>
      <c r="J14" s="1524"/>
      <c r="K14" s="1524" t="s">
        <v>2217</v>
      </c>
      <c r="L14" s="1567"/>
      <c r="M14" s="1567"/>
      <c r="N14" s="2513"/>
      <c r="O14" s="1559"/>
      <c r="P14" s="535"/>
      <c r="Q14" s="447">
        <v>22</v>
      </c>
    </row>
    <row s="1874" customFormat="1" customHeight="1" ht="23.25">
      <c r="A15" s="2123"/>
      <c r="B15" s="1184"/>
      <c r="C15" s="436"/>
      <c r="D15" s="825"/>
      <c r="E15" s="445"/>
      <c r="F15" s="1524" t="s">
        <v>2209</v>
      </c>
      <c r="G15" s="1566"/>
      <c r="H15" s="1566"/>
      <c r="I15" s="211"/>
      <c r="J15" s="211"/>
      <c r="K15" s="211"/>
      <c r="L15" s="211"/>
      <c r="M15" s="211"/>
      <c r="N15" s="2513"/>
      <c r="O15" s="1560"/>
      <c r="P15" s="535"/>
      <c r="Q15" s="447">
        <v>22</v>
      </c>
    </row>
    <row s="1843" customFormat="1" customHeight="1" ht="22.049999999999997">
      <c r="A16" s="1179"/>
      <c r="B16" s="1184"/>
      <c r="C16" s="1179"/>
      <c r="D16" s="475"/>
      <c r="E16" s="204"/>
      <c r="F16" s="204"/>
      <c r="G16" s="204"/>
      <c r="H16" s="204"/>
      <c r="I16" s="204"/>
      <c r="J16" s="204"/>
      <c r="K16" s="204"/>
      <c r="L16" s="204"/>
      <c r="M16" s="533"/>
      <c r="N16" s="1659"/>
      <c r="O16" s="524"/>
      <c r="P16" s="524"/>
      <c r="Q16" s="531">
        <v>21</v>
      </c>
    </row>
    <row s="1843" customFormat="1" customHeight="1" ht="14.699999999999998">
      <c r="A17" s="1179"/>
      <c r="B17" s="1184"/>
      <c r="C17" s="1179"/>
      <c r="D17" s="475"/>
      <c r="E17" s="1179"/>
      <c r="F17" s="1179"/>
      <c r="G17" s="1179"/>
      <c r="H17" s="1179"/>
      <c r="I17" s="1179"/>
      <c r="J17" s="1179"/>
      <c r="K17" s="1179"/>
      <c r="L17" s="1179"/>
      <c r="M17" s="1179"/>
      <c r="N17" s="1655"/>
      <c r="O17" s="524"/>
      <c r="P17" s="524"/>
      <c r="Q17" s="531">
        <v>14</v>
      </c>
    </row>
    <row s="1843" customFormat="1" customHeight="1" ht="1.05">
      <c r="A18" s="1179"/>
      <c r="B18" s="1184"/>
      <c r="C18" s="1179"/>
      <c r="D18" s="475"/>
      <c r="E18" s="1179"/>
      <c r="F18" s="1179"/>
      <c r="G18" s="1179"/>
      <c r="H18" s="1179"/>
      <c r="I18" s="1179"/>
      <c r="J18" s="1179"/>
      <c r="K18" s="1179"/>
      <c r="L18" s="1179"/>
      <c r="M18" s="1179"/>
      <c r="N18" s="1655"/>
      <c r="O18" s="524"/>
      <c r="P18" s="524"/>
      <c r="Q18" s="531">
        <v>1</v>
      </c>
    </row>
    <row customHeight="1" ht="22.5" hidden="1">
      <c r="A19" s="1179" t="s">
        <v>82</v>
      </c>
      <c r="B19" s="1184">
        <v>0</v>
      </c>
      <c r="C19" s="1179">
        <v>0</v>
      </c>
      <c r="D19" s="475">
        <v>3</v>
      </c>
      <c r="E19" s="1179">
        <v>6</v>
      </c>
      <c r="F19" s="1179">
        <v>27</v>
      </c>
      <c r="G19" s="1179">
        <v>29</v>
      </c>
      <c r="H19" s="1179">
        <v>25</v>
      </c>
      <c r="I19" s="1179">
        <v>5</v>
      </c>
      <c r="J19" s="1179">
        <v>6</v>
      </c>
      <c r="K19" s="1179">
        <v>41</v>
      </c>
      <c r="L19" s="1179">
        <v>42</v>
      </c>
      <c r="M19" s="1179">
        <v>41</v>
      </c>
      <c r="N19" s="1655">
        <v>89</v>
      </c>
      <c r="O19" s="524">
        <v>3</v>
      </c>
      <c r="P19" s="524">
        <v>8</v>
      </c>
      <c r="Q19" s="1179">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687645-D42A-5C8D-9ACE-0.BC9CD3F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82" width="9.140625" hidden="1"/>
    <col min="2" max="2" style="1847" width="9.140625" hidden="1"/>
    <col min="3" max="3" style="144" width="3.00390625" customWidth="1"/>
    <col min="4" max="4" style="1847" width="6.00390625" customWidth="1"/>
    <col min="5" max="5" style="1847" width="22.00390625" customWidth="1"/>
    <col min="6" max="6" style="1847" width="15.00390625" customWidth="1"/>
    <col min="7" max="7" style="1847" width="14.00390625" customWidth="1"/>
    <col min="8" max="8" style="1847" width="47.00390625" customWidth="1"/>
    <col min="9" max="9" style="1847" width="115.00390625" customWidth="1"/>
    <col min="10" max="10" style="1847" width="3.00390625" customWidth="1"/>
    <col min="11" max="12" style="1847" width="8.00390625" customWidth="1"/>
    <col min="13" max="13" style="1847" width="9.140625" hidden="1"/>
  </cols>
  <sheetData>
    <row customHeight="1" ht="14.25" hidden="1">
      <c r="M1" s="145" t="s">
        <v>14</v>
      </c>
    </row>
    <row customHeight="1" ht="14.25" hidden="1">
      <c r="M2" s="145">
        <v>0</v>
      </c>
    </row>
    <row customHeight="1" ht="14.25" hidden="1">
      <c r="M3" s="145">
        <v>0</v>
      </c>
    </row>
    <row customHeight="1" ht="3">
      <c r="M4" s="145">
        <v>3</v>
      </c>
    </row>
    <row s="1659" customFormat="1" customHeight="1" ht="31.5">
      <c r="A5" s="139"/>
      <c r="C5" s="114"/>
      <c r="D5" s="2124" t="s">
        <v>2224</v>
      </c>
      <c r="E5" s="2124"/>
      <c r="F5" s="2124"/>
      <c r="G5" s="2124"/>
      <c r="H5" s="2124"/>
      <c r="I5" s="289"/>
      <c r="M5" s="107">
        <v>30</v>
      </c>
    </row>
    <row customHeight="1" ht="3" hidden="1">
      <c r="D6" s="146"/>
      <c r="E6" s="146"/>
      <c r="F6" s="146"/>
      <c r="G6" s="146"/>
      <c r="H6" s="146"/>
      <c r="I6" s="146"/>
      <c r="M6" s="145">
        <v>0</v>
      </c>
    </row>
    <row s="382" customFormat="1" customHeight="1" ht="14.699999999999998">
      <c r="B7" s="143"/>
      <c r="C7" s="144"/>
      <c r="D7" s="147"/>
      <c r="E7" s="147"/>
      <c r="F7" s="147"/>
      <c r="G7" s="147"/>
      <c r="H7" s="776"/>
      <c r="I7" s="147"/>
      <c r="J7" s="148"/>
      <c r="M7" s="142">
        <v>14</v>
      </c>
    </row>
    <row customHeight="1" ht="14.699999999999998">
      <c r="D8" s="2233" t="s">
        <v>384</v>
      </c>
      <c r="E8" s="2233"/>
      <c r="F8" s="2233"/>
      <c r="G8" s="2233"/>
      <c r="H8" s="2233"/>
      <c r="I8" s="2233" t="s">
        <v>385</v>
      </c>
      <c r="M8" s="145">
        <v>14</v>
      </c>
    </row>
    <row customHeight="1" ht="29.25">
      <c r="D9" s="2233" t="s">
        <v>88</v>
      </c>
      <c r="E9" s="2233" t="s">
        <v>2225</v>
      </c>
      <c r="F9" s="2233"/>
      <c r="G9" s="2233"/>
      <c r="H9" s="2233"/>
      <c r="I9" s="2233"/>
      <c r="M9" s="145">
        <v>28</v>
      </c>
    </row>
    <row customHeight="1" ht="24">
      <c r="D10" s="2233"/>
      <c r="E10" s="151" t="s">
        <v>2226</v>
      </c>
      <c r="F10" s="151" t="s">
        <v>2227</v>
      </c>
      <c r="G10" s="151" t="s">
        <v>2228</v>
      </c>
      <c r="H10" s="151" t="s">
        <v>474</v>
      </c>
      <c r="I10" s="2233"/>
      <c r="M10" s="145">
        <v>23</v>
      </c>
    </row>
    <row customHeight="1" ht="12" hidden="1">
      <c r="D11" s="111" t="s">
        <v>170</v>
      </c>
      <c r="E11" s="111" t="s">
        <v>91</v>
      </c>
      <c r="F11" s="111" t="s">
        <v>119</v>
      </c>
      <c r="G11" s="111" t="s">
        <v>92</v>
      </c>
      <c r="H11" s="111" t="s">
        <v>93</v>
      </c>
      <c r="I11" s="111" t="s">
        <v>143</v>
      </c>
      <c r="M11" s="145">
        <v>0</v>
      </c>
    </row>
    <row s="1847" customFormat="1" customHeight="1" ht="26.25">
      <c r="A12" s="169" t="s">
        <v>90</v>
      </c>
      <c r="B12" s="149" t="s">
        <v>22</v>
      </c>
      <c r="C12" s="150"/>
      <c r="D12" s="152" t="s">
        <v>170</v>
      </c>
      <c r="E12" s="405"/>
      <c r="F12" s="405"/>
      <c r="G12" s="1758" t="s">
        <v>22</v>
      </c>
      <c r="H12" s="406"/>
      <c r="I12" s="2193" t="s">
        <v>2229</v>
      </c>
      <c r="K12" s="296"/>
      <c r="L12" s="297"/>
      <c r="M12" s="141">
        <v>25</v>
      </c>
    </row>
    <row customHeight="1" ht="15.75">
      <c r="A13" s="145"/>
      <c r="B13" s="145"/>
      <c r="C13" s="145"/>
      <c r="D13" s="133"/>
      <c r="E13" s="154" t="s">
        <v>552</v>
      </c>
      <c r="F13" s="153"/>
      <c r="G13" s="153"/>
      <c r="H13" s="238"/>
      <c r="I13" s="2195"/>
      <c r="M13" s="145">
        <v>15</v>
      </c>
    </row>
    <row customHeight="1" ht="3">
      <c r="A14" s="145"/>
      <c r="B14" s="145"/>
      <c r="C14" s="145"/>
      <c r="M14" s="145">
        <v>3</v>
      </c>
    </row>
    <row customHeight="1" ht="29.25">
      <c r="E15" s="2520" t="s">
        <v>2230</v>
      </c>
      <c r="F15" s="2520"/>
      <c r="G15" s="2520"/>
      <c r="H15" s="2520"/>
      <c r="M15" s="145">
        <v>28</v>
      </c>
    </row>
    <row customHeight="1" ht="14.25" hidden="1">
      <c r="A16" s="142" t="s">
        <v>82</v>
      </c>
      <c r="B16" s="143">
        <v>0</v>
      </c>
      <c r="C16" s="144">
        <v>3</v>
      </c>
      <c r="D16" s="145">
        <v>6</v>
      </c>
      <c r="E16" s="145">
        <v>22</v>
      </c>
      <c r="F16" s="145">
        <v>15</v>
      </c>
      <c r="G16" s="145">
        <v>14</v>
      </c>
      <c r="H16" s="145">
        <v>47</v>
      </c>
      <c r="I16" s="145">
        <v>115</v>
      </c>
      <c r="J16" s="145">
        <v>3</v>
      </c>
      <c r="K16" s="145">
        <v>8</v>
      </c>
      <c r="L16" s="145">
        <v>8</v>
      </c>
      <c r="M16" s="145">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5C9BDD-7B0A-1776-B9EA-0.DCFA7CDA}"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88" width="9.140625" hidden="1"/>
    <col min="3" max="3" style="115" width="3.00390625" customWidth="1"/>
    <col min="4" max="4" style="288" width="6.00390625" customWidth="1"/>
    <col min="5" max="5" style="288" width="94.00390625" customWidth="1"/>
    <col min="6" max="9" style="288" width="8.00390625" customWidth="1"/>
    <col min="10" max="10" style="288" width="9.140625" hidden="1"/>
  </cols>
  <sheetData>
    <row customHeight="1" ht="14.25" hidden="1">
      <c r="J1" s="93" t="s">
        <v>14</v>
      </c>
    </row>
    <row customHeight="1" ht="14.25" hidden="1">
      <c r="J2" s="93">
        <v>0</v>
      </c>
    </row>
    <row customHeight="1" ht="14.25" hidden="1">
      <c r="J3" s="93">
        <v>0</v>
      </c>
    </row>
    <row customHeight="1" ht="14.25" hidden="1">
      <c r="J4" s="93">
        <v>0</v>
      </c>
    </row>
    <row customHeight="1" ht="14.25" hidden="1">
      <c r="J5" s="93">
        <v>0</v>
      </c>
    </row>
    <row customHeight="1" ht="3">
      <c r="C6" s="116"/>
      <c r="D6" s="94"/>
      <c r="E6" s="94"/>
      <c r="J6" s="93">
        <v>3</v>
      </c>
    </row>
    <row customHeight="1" ht="23.25">
      <c r="C7" s="116"/>
      <c r="D7" s="2521" t="s">
        <v>2231</v>
      </c>
      <c r="E7" s="2522"/>
      <c r="F7" s="291"/>
      <c r="J7" s="93">
        <v>22</v>
      </c>
    </row>
    <row customHeight="1" ht="3">
      <c r="C8" s="116"/>
      <c r="D8" s="94"/>
      <c r="E8" s="94"/>
      <c r="J8" s="93">
        <v>3</v>
      </c>
    </row>
    <row customHeight="1" ht="16.8">
      <c r="C9" s="116"/>
      <c r="D9" s="129" t="s">
        <v>88</v>
      </c>
      <c r="E9" s="284" t="s">
        <v>2232</v>
      </c>
      <c r="J9" s="93">
        <v>16</v>
      </c>
    </row>
    <row customHeight="1" ht="1.05">
      <c r="C10" s="116"/>
      <c r="D10" s="111"/>
      <c r="E10" s="111"/>
      <c r="J10" s="93">
        <v>1</v>
      </c>
    </row>
    <row customHeight="1" ht="11.25" hidden="1">
      <c r="C11" s="116"/>
      <c r="D11" s="174">
        <v>0</v>
      </c>
      <c r="E11" s="285"/>
      <c r="J11" s="93">
        <v>0</v>
      </c>
    </row>
    <row customHeight="1" ht="15.75">
      <c r="C12" s="160"/>
      <c r="D12" s="137">
        <v>1</v>
      </c>
      <c r="E12" s="401"/>
      <c r="J12" s="93">
        <v>15</v>
      </c>
    </row>
    <row customHeight="1" ht="12.75">
      <c r="C13" s="116"/>
      <c r="D13" s="286"/>
      <c r="E13" s="287" t="s">
        <v>2233</v>
      </c>
      <c r="J13" s="93">
        <v>12</v>
      </c>
    </row>
    <row customHeight="1" ht="3">
      <c r="J14" s="93">
        <v>3</v>
      </c>
    </row>
    <row customHeight="1" ht="23.25">
      <c r="C15" s="161"/>
      <c r="D15" s="2523" t="s">
        <v>2234</v>
      </c>
      <c r="E15" s="2523"/>
      <c r="F15" s="162"/>
      <c r="G15" s="162"/>
      <c r="H15" s="162"/>
      <c r="I15" s="162"/>
      <c r="J15" s="93">
        <v>22</v>
      </c>
    </row>
    <row customHeight="1" ht="14.25" hidden="1">
      <c r="A16" s="93" t="s">
        <v>82</v>
      </c>
      <c r="B16" s="93">
        <v>0</v>
      </c>
      <c r="C16" s="115">
        <v>3</v>
      </c>
      <c r="D16" s="93">
        <v>6</v>
      </c>
      <c r="E16" s="93">
        <v>94</v>
      </c>
      <c r="F16" s="93">
        <v>8</v>
      </c>
      <c r="G16" s="93">
        <v>8</v>
      </c>
      <c r="H16" s="93">
        <v>8</v>
      </c>
      <c r="I16" s="93">
        <v>8</v>
      </c>
      <c r="J16" s="93">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44ECFA-3A4C-177E-1BE6-0.73D6135A}"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88" width="9.140625" hidden="1"/>
    <col min="3" max="3" style="115" width="3.00390625" customWidth="1"/>
    <col min="4" max="4" style="288" width="6.00390625" customWidth="1"/>
    <col min="5" max="5" style="288" width="94.00390625" customWidth="1"/>
    <col min="6" max="12" style="288" width="8.00390625" customWidth="1"/>
    <col min="13" max="13" style="288" width="9.140625" hidden="1"/>
  </cols>
  <sheetData>
    <row customHeight="1" ht="14.25" hidden="1">
      <c r="L1" s="288"/>
      <c r="M1" s="93" t="s">
        <v>14</v>
      </c>
    </row>
    <row customHeight="1" ht="14.25" hidden="1">
      <c r="M2" s="93">
        <v>0</v>
      </c>
    </row>
    <row customHeight="1" ht="14.25" hidden="1">
      <c r="M3" s="93">
        <v>0</v>
      </c>
    </row>
    <row customHeight="1" ht="14.25" hidden="1">
      <c r="M4" s="93">
        <v>0</v>
      </c>
    </row>
    <row customHeight="1" ht="14.25" hidden="1">
      <c r="M5" s="93">
        <v>0</v>
      </c>
    </row>
    <row customHeight="1" ht="3">
      <c r="C6" s="116"/>
      <c r="D6" s="94"/>
      <c r="E6" s="94"/>
      <c r="M6" s="93">
        <v>3</v>
      </c>
    </row>
    <row customHeight="1" ht="23.25">
      <c r="C7" s="116"/>
      <c r="D7" s="2124" t="s">
        <v>2235</v>
      </c>
      <c r="E7" s="2124"/>
      <c r="F7" s="291"/>
      <c r="M7" s="93">
        <v>22</v>
      </c>
    </row>
    <row customHeight="1" ht="3">
      <c r="C8" s="116"/>
      <c r="D8" s="94"/>
      <c r="E8" s="94"/>
      <c r="M8" s="93">
        <v>3</v>
      </c>
    </row>
    <row customHeight="1" ht="16.8">
      <c r="C9" s="116"/>
      <c r="D9" s="129" t="s">
        <v>88</v>
      </c>
      <c r="E9" s="132" t="s">
        <v>371</v>
      </c>
      <c r="M9" s="93">
        <v>16</v>
      </c>
    </row>
    <row customHeight="1" ht="12.75">
      <c r="C10" s="116"/>
      <c r="D10" s="111" t="s">
        <v>170</v>
      </c>
      <c r="E10" s="111" t="s">
        <v>103</v>
      </c>
      <c r="M10" s="93">
        <v>12</v>
      </c>
    </row>
    <row customHeight="1" ht="15" hidden="1">
      <c r="C11" s="116"/>
      <c r="D11" s="137">
        <v>0</v>
      </c>
      <c r="E11" s="173"/>
      <c r="M11" s="93">
        <v>0</v>
      </c>
    </row>
    <row customHeight="1" ht="14.699999999999998">
      <c r="C12" s="116"/>
      <c r="D12" s="133"/>
      <c r="E12" s="131" t="s">
        <v>2233</v>
      </c>
      <c r="M12" s="93">
        <v>14</v>
      </c>
    </row>
    <row customHeight="1" ht="14.25" hidden="1">
      <c r="A13" s="93" t="s">
        <v>82</v>
      </c>
      <c r="B13" s="93">
        <v>0</v>
      </c>
      <c r="C13" s="115">
        <v>3</v>
      </c>
      <c r="D13" s="93">
        <v>6</v>
      </c>
      <c r="E13" s="93">
        <v>94</v>
      </c>
      <c r="F13" s="93">
        <v>8</v>
      </c>
      <c r="G13" s="93">
        <v>8</v>
      </c>
      <c r="H13" s="93">
        <v>8</v>
      </c>
      <c r="I13" s="93">
        <v>8</v>
      </c>
      <c r="J13" s="93">
        <v>8</v>
      </c>
      <c r="K13" s="93">
        <v>8</v>
      </c>
      <c r="L13" s="93">
        <v>8</v>
      </c>
      <c r="M13" s="93">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982AF-A5F1-7269-D1C5-0.B892170D}"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74" width="9.140625" hidden="1"/>
    <col min="3" max="4" style="1874" width="3.00390625" customWidth="1"/>
    <col min="5" max="6" style="1874" width="15.00390625" customWidth="1"/>
    <col min="7" max="7" style="1874" width="11.57421875" customWidth="1"/>
    <col min="8" max="9" style="1874" width="3.00390625" customWidth="1"/>
    <col min="10" max="10" style="1874" width="12.00390625" customWidth="1"/>
    <col min="11" max="11" style="1874" width="0.28125" customWidth="1"/>
    <col min="12" max="13" style="1874" width="10.00390625" customWidth="1"/>
    <col min="14" max="15" style="1874" width="3.00390625" customWidth="1"/>
    <col min="16" max="16" style="1874" width="19.00390625" customWidth="1"/>
    <col min="17" max="17" style="1874" width="0.28125" customWidth="1"/>
    <col min="18" max="19" style="1874" width="10.00390625" customWidth="1"/>
    <col min="20" max="21" style="1874" width="3.00390625" customWidth="1"/>
    <col min="22" max="22" style="1874" width="25.00390625" customWidth="1"/>
    <col min="23" max="23" style="1874" width="0.28125" customWidth="1"/>
    <col min="24" max="25" style="1874" width="10.00390625" customWidth="1"/>
    <col min="26" max="27" style="1874" width="3.00390625" customWidth="1"/>
    <col min="28" max="28" style="1874" width="16.00390625" customWidth="1"/>
    <col min="29" max="29" style="1874" width="0.28125" customWidth="1"/>
    <col min="30" max="31" style="1874" width="10.00390625" customWidth="1"/>
    <col min="32" max="33" style="1874" width="3.00390625" customWidth="1"/>
    <col min="34" max="34" style="1874" width="8.00390625" customWidth="1"/>
    <col min="35" max="35" style="1874" width="21.00390625" customWidth="1"/>
    <col min="36" max="36" style="1874" width="8.00390625" customWidth="1"/>
    <col min="37" max="37" style="382" width="8.00390625" customWidth="1"/>
    <col min="38" max="64" style="1874" width="8.00390625" customWidth="1"/>
    <col min="65" max="65" style="1874" width="9.140625" hidden="1"/>
  </cols>
  <sheetData>
    <row s="1340" customFormat="1" customHeight="1" ht="11.25" hidden="1">
      <c r="AJ1" s="446"/>
      <c r="AK1" s="446"/>
      <c r="AL1" s="446"/>
      <c r="AM1" s="446"/>
      <c r="AN1" s="446"/>
      <c r="AO1" s="446"/>
      <c r="AP1" s="446"/>
      <c r="AQ1" s="446"/>
      <c r="AR1" s="446"/>
      <c r="AS1" s="446"/>
      <c r="AT1" s="446"/>
      <c r="AU1" s="446"/>
      <c r="AV1" s="446"/>
      <c r="AW1" s="446"/>
      <c r="AX1" s="446"/>
      <c r="AY1" s="446"/>
      <c r="AZ1" s="446"/>
      <c r="BA1" s="446"/>
      <c r="BB1" s="446"/>
      <c r="BC1" s="446"/>
      <c r="BD1" s="446"/>
      <c r="BE1" s="446"/>
      <c r="BF1" s="446"/>
      <c r="BG1" s="446"/>
      <c r="BH1" s="446"/>
      <c r="BI1" s="446"/>
      <c r="BJ1" s="446"/>
      <c r="BK1" s="446"/>
      <c r="BL1" s="446"/>
      <c r="BM1" s="443" t="s">
        <v>14</v>
      </c>
    </row>
    <row s="1577" customFormat="1" customHeight="1" ht="11.25" hidden="1">
      <c r="L2" s="1577" t="s">
        <v>363</v>
      </c>
      <c r="M2" s="1577" t="s">
        <v>364</v>
      </c>
      <c r="R2" s="1577" t="s">
        <v>365</v>
      </c>
      <c r="S2" s="1577" t="s">
        <v>364</v>
      </c>
      <c r="X2" s="1577" t="s">
        <v>363</v>
      </c>
      <c r="Y2" s="1577" t="s">
        <v>364</v>
      </c>
      <c r="AD2" s="1577" t="s">
        <v>363</v>
      </c>
      <c r="AE2" s="1577" t="s">
        <v>364</v>
      </c>
      <c r="AJ2" s="1599"/>
      <c r="AK2" s="1599"/>
      <c r="AL2" s="1599"/>
      <c r="AM2" s="1599"/>
      <c r="AN2" s="1599"/>
      <c r="AO2" s="1599"/>
      <c r="AP2" s="1599"/>
      <c r="AQ2" s="1599"/>
      <c r="AR2" s="1599"/>
      <c r="AS2" s="1599"/>
      <c r="AT2" s="1599"/>
      <c r="AU2" s="1599"/>
      <c r="AV2" s="1599"/>
      <c r="AW2" s="1599"/>
      <c r="AX2" s="1599"/>
      <c r="AY2" s="1599"/>
      <c r="AZ2" s="1599"/>
      <c r="BA2" s="1599"/>
      <c r="BB2" s="1599"/>
      <c r="BC2" s="1599"/>
      <c r="BD2" s="1599"/>
      <c r="BE2" s="1599"/>
      <c r="BF2" s="1599"/>
      <c r="BG2" s="1599"/>
      <c r="BH2" s="1599"/>
      <c r="BI2" s="1599"/>
      <c r="BJ2" s="1599"/>
      <c r="BK2" s="1599"/>
      <c r="BL2" s="1599"/>
      <c r="BM2" s="1577">
        <v>0</v>
      </c>
    </row>
    <row s="1578" customFormat="1" customHeight="1" ht="11.549999999999999">
      <c r="AJ3" s="1598"/>
      <c r="AK3" s="330"/>
      <c r="AL3" s="1598"/>
      <c r="AM3" s="1598"/>
      <c r="AN3" s="1598"/>
      <c r="AO3" s="1598"/>
      <c r="AP3" s="1598"/>
      <c r="AQ3" s="1598"/>
      <c r="AR3" s="1598"/>
      <c r="AS3" s="1598"/>
      <c r="AT3" s="1598"/>
      <c r="AU3" s="1598"/>
      <c r="AV3" s="1598"/>
      <c r="AW3" s="1598"/>
      <c r="AX3" s="1598"/>
      <c r="AY3" s="1598"/>
      <c r="AZ3" s="1598"/>
      <c r="BA3" s="1598"/>
      <c r="BB3" s="1598"/>
      <c r="BC3" s="1598"/>
      <c r="BD3" s="1598"/>
      <c r="BE3" s="1598"/>
      <c r="BF3" s="1598"/>
      <c r="BG3" s="1598"/>
      <c r="BH3" s="1598"/>
      <c r="BI3" s="1598"/>
      <c r="BJ3" s="1598"/>
      <c r="BK3" s="1598"/>
      <c r="BL3" s="1598"/>
      <c r="BM3" s="1578">
        <v>11</v>
      </c>
    </row>
    <row s="1843" customFormat="1" customHeight="1" ht="34.5">
      <c r="A4" s="1180"/>
      <c r="B4" s="1179"/>
      <c r="C4" s="1539"/>
      <c r="D4" s="2215" t="s">
        <v>366</v>
      </c>
      <c r="E4" s="2215"/>
      <c r="F4" s="2215"/>
      <c r="G4" s="2215"/>
      <c r="H4" s="2215"/>
      <c r="I4" s="2215"/>
      <c r="J4" s="2215"/>
      <c r="K4" s="723"/>
      <c r="T4" s="1579"/>
      <c r="AJ4" s="1600"/>
      <c r="AK4" s="1601"/>
      <c r="AL4" s="1600"/>
      <c r="AM4" s="1600"/>
      <c r="AN4" s="1600"/>
      <c r="AO4" s="1600"/>
      <c r="AP4" s="1600"/>
      <c r="AQ4" s="1600"/>
      <c r="AR4" s="1600"/>
      <c r="AS4" s="1600"/>
      <c r="AT4" s="1600"/>
      <c r="AU4" s="1600"/>
      <c r="AV4" s="1600"/>
      <c r="AW4" s="1600"/>
      <c r="AX4" s="1600"/>
      <c r="AY4" s="1600"/>
      <c r="AZ4" s="1600"/>
      <c r="BA4" s="1600"/>
      <c r="BB4" s="1600"/>
      <c r="BC4" s="1600"/>
      <c r="BD4" s="1600"/>
      <c r="BE4" s="1600"/>
      <c r="BF4" s="1600"/>
      <c r="BG4" s="1600"/>
      <c r="BH4" s="1600"/>
      <c r="BI4" s="1600"/>
      <c r="BJ4" s="1600"/>
      <c r="BK4" s="1600"/>
      <c r="BL4" s="1600"/>
      <c r="BM4" s="531">
        <v>33</v>
      </c>
    </row>
    <row s="1843" customFormat="1" customHeight="1" ht="14.699999999999998">
      <c r="A5" s="1656"/>
      <c r="B5" s="1655"/>
      <c r="C5" s="1539"/>
      <c r="D5" s="2200" t="str">
        <f>IF(org=0,"Не определено",org)</f>
        <v>АО "ДГК"</v>
      </c>
      <c r="E5" s="2200"/>
      <c r="F5" s="2200"/>
      <c r="G5" s="2200"/>
      <c r="H5" s="2200"/>
      <c r="I5" s="2200"/>
      <c r="J5" s="2200"/>
      <c r="K5" s="723"/>
      <c r="T5" s="1579"/>
      <c r="AJ5" s="1600"/>
      <c r="AK5" s="1601"/>
      <c r="AL5" s="1600"/>
      <c r="AM5" s="1600"/>
      <c r="AN5" s="1600"/>
      <c r="AO5" s="1600"/>
      <c r="AP5" s="1600"/>
      <c r="AQ5" s="1600"/>
      <c r="AR5" s="1600"/>
      <c r="AS5" s="1600"/>
      <c r="AT5" s="1600"/>
      <c r="AU5" s="1600"/>
      <c r="AV5" s="1600"/>
      <c r="AW5" s="1600"/>
      <c r="AX5" s="1600"/>
      <c r="AY5" s="1600"/>
      <c r="AZ5" s="1600"/>
      <c r="BA5" s="1600"/>
      <c r="BB5" s="1600"/>
      <c r="BC5" s="1600"/>
      <c r="BD5" s="1600"/>
      <c r="BE5" s="1600"/>
      <c r="BF5" s="1600"/>
      <c r="BG5" s="1600"/>
      <c r="BH5" s="1600"/>
      <c r="BI5" s="1600"/>
      <c r="BJ5" s="1600"/>
      <c r="BK5" s="1600"/>
      <c r="BL5" s="1600"/>
      <c r="BM5" s="1633">
        <v>14</v>
      </c>
    </row>
    <row s="1843" customFormat="1" customHeight="1" ht="14.699999999999998">
      <c r="A6" s="1180"/>
      <c r="B6" s="1179"/>
      <c r="C6" s="1539"/>
      <c r="D6" s="723"/>
      <c r="E6" s="723"/>
      <c r="F6" s="723"/>
      <c r="G6" s="723"/>
      <c r="H6" s="723"/>
      <c r="I6" s="723"/>
      <c r="J6" s="723"/>
      <c r="K6" s="723"/>
      <c r="T6" s="1579"/>
      <c r="AJ6" s="1600"/>
      <c r="AK6" s="1601"/>
      <c r="AL6" s="1600"/>
      <c r="AM6" s="1600"/>
      <c r="AN6" s="1600"/>
      <c r="AO6" s="1600"/>
      <c r="AP6" s="1600"/>
      <c r="AQ6" s="1600"/>
      <c r="AR6" s="1600"/>
      <c r="AS6" s="1600"/>
      <c r="AT6" s="1600"/>
      <c r="AU6" s="1600"/>
      <c r="AV6" s="1600"/>
      <c r="AW6" s="1600"/>
      <c r="AX6" s="1600"/>
      <c r="AY6" s="1600"/>
      <c r="AZ6" s="1600"/>
      <c r="BA6" s="1600"/>
      <c r="BB6" s="1600"/>
      <c r="BC6" s="1600"/>
      <c r="BD6" s="1600"/>
      <c r="BE6" s="1600"/>
      <c r="BF6" s="1600"/>
      <c r="BG6" s="1600"/>
      <c r="BH6" s="1600"/>
      <c r="BI6" s="1600"/>
      <c r="BJ6" s="1600"/>
      <c r="BK6" s="1600"/>
      <c r="BL6" s="1600"/>
      <c r="BM6" s="531">
        <v>14</v>
      </c>
    </row>
    <row s="1340" customFormat="1" customHeight="1" ht="1.05">
      <c r="AJ7" s="446"/>
      <c r="AK7" s="446"/>
      <c r="AL7" s="446"/>
      <c r="AM7" s="446"/>
      <c r="AN7" s="446"/>
      <c r="AO7" s="446"/>
      <c r="AP7" s="446"/>
      <c r="AQ7" s="446"/>
      <c r="AR7" s="446"/>
      <c r="AS7" s="446"/>
      <c r="AT7" s="446"/>
      <c r="AU7" s="446"/>
      <c r="AV7" s="446"/>
      <c r="AW7" s="446"/>
      <c r="AX7" s="446"/>
      <c r="AY7" s="446"/>
      <c r="AZ7" s="446"/>
      <c r="BA7" s="446"/>
      <c r="BB7" s="446"/>
      <c r="BC7" s="446"/>
      <c r="BD7" s="446"/>
      <c r="BE7" s="446"/>
      <c r="BF7" s="446"/>
      <c r="BG7" s="446"/>
      <c r="BH7" s="446"/>
      <c r="BI7" s="446"/>
      <c r="BJ7" s="446"/>
      <c r="BK7" s="446"/>
      <c r="BL7" s="446"/>
      <c r="BM7" s="443">
        <v>1</v>
      </c>
    </row>
    <row customHeight="1" ht="33.75">
      <c r="D8" s="2151" t="s">
        <v>88</v>
      </c>
      <c r="E8" s="2151" t="s">
        <v>166</v>
      </c>
      <c r="F8" s="2216" t="s">
        <v>210</v>
      </c>
      <c r="G8" s="2217"/>
      <c r="H8" s="2216" t="s">
        <v>88</v>
      </c>
      <c r="I8" s="2217"/>
      <c r="J8" s="2151" t="s">
        <v>211</v>
      </c>
      <c r="K8" s="1580"/>
      <c r="L8" s="2220" t="s">
        <v>367</v>
      </c>
      <c r="M8" s="2220"/>
      <c r="N8" s="2220"/>
      <c r="O8" s="2220"/>
      <c r="P8" s="2220"/>
      <c r="Q8" s="1581"/>
      <c r="R8" s="2120" t="s">
        <v>368</v>
      </c>
      <c r="S8" s="2221"/>
      <c r="T8" s="2221"/>
      <c r="U8" s="2221"/>
      <c r="V8" s="2221"/>
      <c r="W8" s="1581"/>
      <c r="X8" s="2222" t="s">
        <v>369</v>
      </c>
      <c r="Y8" s="2222"/>
      <c r="Z8" s="2222"/>
      <c r="AA8" s="2222"/>
      <c r="AB8" s="2222"/>
      <c r="AC8" s="1582"/>
      <c r="AD8" s="2151" t="s">
        <v>370</v>
      </c>
      <c r="AE8" s="2151"/>
      <c r="AF8" s="2151"/>
      <c r="AG8" s="2151"/>
      <c r="AH8" s="2125"/>
      <c r="AI8" s="2151" t="s">
        <v>371</v>
      </c>
      <c r="AJ8" s="1598"/>
      <c r="BM8" s="317">
        <v>32</v>
      </c>
    </row>
    <row customHeight="1" ht="23.25">
      <c r="D9" s="2151"/>
      <c r="E9" s="2151"/>
      <c r="F9" s="2199" t="s">
        <v>89</v>
      </c>
      <c r="G9" s="2199" t="s">
        <v>216</v>
      </c>
      <c r="H9" s="2218"/>
      <c r="I9" s="2219"/>
      <c r="J9" s="2125"/>
      <c r="K9" s="1583"/>
      <c r="L9" s="2151" t="s">
        <v>372</v>
      </c>
      <c r="M9" s="2125"/>
      <c r="N9" s="2216" t="s">
        <v>88</v>
      </c>
      <c r="O9" s="2217"/>
      <c r="P9" s="2151" t="s">
        <v>217</v>
      </c>
      <c r="Q9" s="1580"/>
      <c r="R9" s="2151" t="s">
        <v>372</v>
      </c>
      <c r="S9" s="2125"/>
      <c r="T9" s="2216" t="s">
        <v>88</v>
      </c>
      <c r="U9" s="2217"/>
      <c r="V9" s="2151" t="s">
        <v>217</v>
      </c>
      <c r="W9" s="1580"/>
      <c r="X9" s="2151" t="s">
        <v>372</v>
      </c>
      <c r="Y9" s="2125"/>
      <c r="Z9" s="2216" t="s">
        <v>88</v>
      </c>
      <c r="AA9" s="2217"/>
      <c r="AB9" s="2151" t="s">
        <v>373</v>
      </c>
      <c r="AC9" s="1580"/>
      <c r="AD9" s="2151" t="s">
        <v>372</v>
      </c>
      <c r="AE9" s="2125"/>
      <c r="AF9" s="2216" t="s">
        <v>88</v>
      </c>
      <c r="AG9" s="2217"/>
      <c r="AH9" s="2125" t="s">
        <v>373</v>
      </c>
      <c r="AI9" s="2151"/>
      <c r="AJ9" s="1598"/>
      <c r="BM9" s="317">
        <v>22</v>
      </c>
    </row>
    <row customHeight="1" ht="24">
      <c r="D10" s="2199"/>
      <c r="E10" s="2199"/>
      <c r="F10" s="2223"/>
      <c r="G10" s="2223"/>
      <c r="H10" s="2224"/>
      <c r="I10" s="2225"/>
      <c r="J10" s="2216"/>
      <c r="K10" s="1583"/>
      <c r="L10" s="1602" t="s">
        <v>374</v>
      </c>
      <c r="M10" s="1597" t="s">
        <v>375</v>
      </c>
      <c r="N10" s="2218"/>
      <c r="O10" s="2219"/>
      <c r="P10" s="2199"/>
      <c r="Q10" s="1580"/>
      <c r="R10" s="1602" t="s">
        <v>374</v>
      </c>
      <c r="S10" s="1597" t="s">
        <v>375</v>
      </c>
      <c r="T10" s="2218"/>
      <c r="U10" s="2219"/>
      <c r="V10" s="2199"/>
      <c r="W10" s="1580"/>
      <c r="X10" s="1602" t="s">
        <v>374</v>
      </c>
      <c r="Y10" s="1597" t="s">
        <v>375</v>
      </c>
      <c r="Z10" s="2218"/>
      <c r="AA10" s="2219"/>
      <c r="AB10" s="2199"/>
      <c r="AC10" s="1580"/>
      <c r="AD10" s="1602" t="s">
        <v>374</v>
      </c>
      <c r="AE10" s="1597" t="s">
        <v>375</v>
      </c>
      <c r="AF10" s="2218"/>
      <c r="AG10" s="2219"/>
      <c r="AH10" s="2216"/>
      <c r="AI10" s="2199"/>
      <c r="AJ10" s="1598"/>
      <c r="AK10" s="278" t="s">
        <v>376</v>
      </c>
      <c r="AL10" s="278" t="s">
        <v>218</v>
      </c>
      <c r="BM10" s="317">
        <v>23</v>
      </c>
    </row>
    <row customHeight="1" ht="15">
      <c r="D11" s="2207" t="s">
        <v>170</v>
      </c>
      <c r="E11" s="2203" t="s">
        <v>377</v>
      </c>
      <c r="F11" s="2203" t="s">
        <v>378</v>
      </c>
      <c r="G11" s="2209" t="s">
        <v>19</v>
      </c>
      <c r="H11" s="1623"/>
      <c r="I11" s="2205"/>
      <c r="J11" s="2176"/>
      <c r="K11" s="1538"/>
      <c r="L11" s="2161"/>
      <c r="M11" s="2161"/>
      <c r="N11" s="1608"/>
      <c r="O11" s="2161"/>
      <c r="P11" s="2176"/>
      <c r="Q11" s="1609"/>
      <c r="R11" s="2161"/>
      <c r="S11" s="2161"/>
      <c r="T11" s="1610"/>
      <c r="U11" s="2161"/>
      <c r="V11" s="2176"/>
      <c r="W11" s="1611"/>
      <c r="X11" s="2161"/>
      <c r="Y11" s="2161"/>
      <c r="Z11" s="1608"/>
      <c r="AA11" s="2161"/>
      <c r="AB11" s="2176"/>
      <c r="AC11" s="1612"/>
      <c r="AD11" s="2161"/>
      <c r="AE11" s="2161"/>
      <c r="AF11" s="1537"/>
      <c r="AG11" s="1537"/>
      <c r="AH11" s="1613"/>
      <c r="AI11" s="1320"/>
      <c r="AJ11" s="1598"/>
      <c r="BM11" s="317">
        <v>14</v>
      </c>
    </row>
    <row customHeight="1" ht="14.699999999999998">
      <c r="D12" s="2207"/>
      <c r="E12" s="2203"/>
      <c r="F12" s="2203"/>
      <c r="G12" s="2210"/>
      <c r="H12" s="1624"/>
      <c r="I12" s="2206"/>
      <c r="J12" s="2177"/>
      <c r="K12" s="1634"/>
      <c r="L12" s="2162"/>
      <c r="M12" s="2162"/>
      <c r="N12" s="1614"/>
      <c r="O12" s="2162"/>
      <c r="P12" s="2177"/>
      <c r="Q12" s="1615"/>
      <c r="R12" s="2162"/>
      <c r="S12" s="2162"/>
      <c r="T12" s="1616"/>
      <c r="U12" s="2162"/>
      <c r="V12" s="2177"/>
      <c r="W12" s="1617"/>
      <c r="X12" s="2162"/>
      <c r="Y12" s="2162"/>
      <c r="Z12" s="1614"/>
      <c r="AA12" s="2162"/>
      <c r="AB12" s="2177"/>
      <c r="AC12" s="1618"/>
      <c r="AD12" s="2162"/>
      <c r="AE12" s="2162"/>
      <c r="AF12" s="1619"/>
      <c r="AG12" s="1619"/>
      <c r="AH12" s="2201"/>
      <c r="AI12" s="2202"/>
      <c r="AJ12" s="1598"/>
      <c r="BM12" s="317">
        <v>14</v>
      </c>
    </row>
    <row customHeight="1" ht="14.699999999999998">
      <c r="D13" s="2207"/>
      <c r="E13" s="2203"/>
      <c r="F13" s="2203"/>
      <c r="G13" s="2210"/>
      <c r="H13" s="1624"/>
      <c r="I13" s="2206"/>
      <c r="J13" s="2177"/>
      <c r="K13" s="1634"/>
      <c r="L13" s="2162"/>
      <c r="M13" s="2162"/>
      <c r="N13" s="1614"/>
      <c r="O13" s="2162"/>
      <c r="P13" s="2177"/>
      <c r="Q13" s="1615"/>
      <c r="R13" s="2162"/>
      <c r="S13" s="2162"/>
      <c r="T13" s="1616"/>
      <c r="U13" s="2162"/>
      <c r="V13" s="2177"/>
      <c r="W13" s="1617"/>
      <c r="X13" s="2162"/>
      <c r="Y13" s="2162"/>
      <c r="Z13" s="1536"/>
      <c r="AA13" s="1619"/>
      <c r="AB13" s="2201"/>
      <c r="AC13" s="2201"/>
      <c r="AD13" s="2201"/>
      <c r="AE13" s="2201"/>
      <c r="AF13" s="2201"/>
      <c r="AG13" s="2201"/>
      <c r="AH13" s="2201"/>
      <c r="AI13" s="2202"/>
      <c r="AJ13" s="1598"/>
      <c r="BM13" s="317">
        <v>14</v>
      </c>
    </row>
    <row customHeight="1" ht="14.699999999999998">
      <c r="D14" s="2207"/>
      <c r="E14" s="2203"/>
      <c r="F14" s="2203"/>
      <c r="G14" s="2210"/>
      <c r="H14" s="1624"/>
      <c r="I14" s="2206"/>
      <c r="J14" s="2177"/>
      <c r="K14" s="1634"/>
      <c r="L14" s="2162"/>
      <c r="M14" s="2162"/>
      <c r="N14" s="1614"/>
      <c r="O14" s="2162"/>
      <c r="P14" s="2177"/>
      <c r="Q14" s="1615"/>
      <c r="R14" s="2162"/>
      <c r="S14" s="2162"/>
      <c r="T14" s="1620"/>
      <c r="U14" s="1621"/>
      <c r="V14" s="2201"/>
      <c r="W14" s="2201"/>
      <c r="X14" s="2201"/>
      <c r="Y14" s="2201"/>
      <c r="Z14" s="2201"/>
      <c r="AA14" s="2201"/>
      <c r="AB14" s="2201"/>
      <c r="AC14" s="2201"/>
      <c r="AD14" s="2201"/>
      <c r="AE14" s="2201"/>
      <c r="AF14" s="2201"/>
      <c r="AG14" s="2201"/>
      <c r="AH14" s="2201"/>
      <c r="AI14" s="2202"/>
      <c r="AJ14" s="1598"/>
      <c r="BM14" s="317">
        <v>14</v>
      </c>
    </row>
    <row customHeight="1" ht="11.549999999999999">
      <c r="D15" s="2207"/>
      <c r="E15" s="2203"/>
      <c r="F15" s="2203"/>
      <c r="G15" s="2210"/>
      <c r="H15" s="1625"/>
      <c r="I15" s="2206"/>
      <c r="J15" s="2177"/>
      <c r="K15" s="1634"/>
      <c r="L15" s="2162"/>
      <c r="M15" s="2162"/>
      <c r="N15" s="1619"/>
      <c r="O15" s="1619"/>
      <c r="P15" s="2201"/>
      <c r="Q15" s="2201"/>
      <c r="R15" s="2201"/>
      <c r="S15" s="2201"/>
      <c r="T15" s="2201"/>
      <c r="U15" s="2201"/>
      <c r="V15" s="2201"/>
      <c r="W15" s="2201"/>
      <c r="X15" s="2201"/>
      <c r="Y15" s="2201"/>
      <c r="Z15" s="2201"/>
      <c r="AA15" s="2201"/>
      <c r="AB15" s="2201"/>
      <c r="AC15" s="2201"/>
      <c r="AD15" s="2201"/>
      <c r="AE15" s="2201"/>
      <c r="AF15" s="2201"/>
      <c r="AG15" s="2201"/>
      <c r="AH15" s="2201"/>
      <c r="AI15" s="2202"/>
      <c r="AJ15" s="1598"/>
      <c r="BM15" s="317">
        <v>11</v>
      </c>
    </row>
    <row s="1578" customFormat="1" customHeight="1" ht="11.549999999999999">
      <c r="D16" s="2213"/>
      <c r="E16" s="2214"/>
      <c r="F16" s="2204"/>
      <c r="G16" s="2136"/>
      <c r="H16" s="1622"/>
      <c r="I16" s="1626"/>
      <c r="J16" s="2211"/>
      <c r="K16" s="2211"/>
      <c r="L16" s="2211"/>
      <c r="M16" s="2211"/>
      <c r="N16" s="2211"/>
      <c r="O16" s="2211"/>
      <c r="P16" s="2211"/>
      <c r="Q16" s="2211"/>
      <c r="R16" s="2211"/>
      <c r="S16" s="2211"/>
      <c r="T16" s="2211"/>
      <c r="U16" s="2211"/>
      <c r="V16" s="2211"/>
      <c r="W16" s="2211"/>
      <c r="X16" s="2211"/>
      <c r="Y16" s="2211"/>
      <c r="Z16" s="2211"/>
      <c r="AA16" s="2211"/>
      <c r="AB16" s="2211"/>
      <c r="AC16" s="2211"/>
      <c r="AD16" s="2211"/>
      <c r="AE16" s="2211"/>
      <c r="AF16" s="2211"/>
      <c r="AG16" s="2211"/>
      <c r="AH16" s="2211"/>
      <c r="AI16" s="2212"/>
      <c r="AJ16" s="1598"/>
      <c r="AK16" s="330"/>
      <c r="AL16" s="1598"/>
      <c r="AM16" s="1598"/>
      <c r="AN16" s="1598"/>
      <c r="AO16" s="1598"/>
      <c r="AP16" s="1598"/>
      <c r="AQ16" s="1598"/>
      <c r="AR16" s="1598"/>
      <c r="AS16" s="1598"/>
      <c r="AT16" s="1598"/>
      <c r="AU16" s="1598"/>
      <c r="AV16" s="1598"/>
      <c r="AW16" s="1598"/>
      <c r="AX16" s="1598"/>
      <c r="AY16" s="1598"/>
      <c r="AZ16" s="1598"/>
      <c r="BA16" s="1598"/>
      <c r="BB16" s="1598"/>
      <c r="BC16" s="1598"/>
      <c r="BD16" s="1598"/>
      <c r="BE16" s="1598"/>
      <c r="BF16" s="1598"/>
      <c r="BG16" s="1598"/>
      <c r="BH16" s="1598"/>
      <c r="BI16" s="1598"/>
      <c r="BJ16" s="1598"/>
      <c r="BK16" s="1598"/>
      <c r="BL16" s="1598"/>
      <c r="BM16" s="1578">
        <v>11</v>
      </c>
    </row>
    <row customHeight="1" ht="15">
      <c r="D17" s="2207" t="s">
        <v>103</v>
      </c>
      <c r="E17" s="2203" t="s">
        <v>377</v>
      </c>
      <c r="F17" s="2203" t="s">
        <v>379</v>
      </c>
      <c r="G17" s="2209" t="s">
        <v>19</v>
      </c>
      <c r="H17" s="1623"/>
      <c r="I17" s="2205"/>
      <c r="J17" s="2176"/>
      <c r="K17" s="1538"/>
      <c r="L17" s="2161"/>
      <c r="M17" s="2161"/>
      <c r="N17" s="1608"/>
      <c r="O17" s="2161"/>
      <c r="P17" s="2176"/>
      <c r="Q17" s="1609"/>
      <c r="R17" s="2161"/>
      <c r="S17" s="2161"/>
      <c r="T17" s="1610"/>
      <c r="U17" s="2161"/>
      <c r="V17" s="2176"/>
      <c r="W17" s="1611"/>
      <c r="X17" s="2161"/>
      <c r="Y17" s="2161"/>
      <c r="Z17" s="1608"/>
      <c r="AA17" s="2161"/>
      <c r="AB17" s="2176"/>
      <c r="AC17" s="1612"/>
      <c r="AD17" s="2161"/>
      <c r="AE17" s="2161"/>
      <c r="AF17" s="1537"/>
      <c r="AG17" s="1537"/>
      <c r="AH17" s="1613"/>
      <c r="AI17" s="1320"/>
      <c r="AJ17" s="1598"/>
      <c r="BM17" s="317">
        <v>14</v>
      </c>
    </row>
    <row customHeight="1" ht="14.699999999999998">
      <c r="D18" s="2207"/>
      <c r="E18" s="2203"/>
      <c r="F18" s="2203"/>
      <c r="G18" s="2210"/>
      <c r="H18" s="1624"/>
      <c r="I18" s="2206"/>
      <c r="J18" s="2177"/>
      <c r="K18" s="1607"/>
      <c r="L18" s="2162"/>
      <c r="M18" s="2162"/>
      <c r="N18" s="1614"/>
      <c r="O18" s="2162"/>
      <c r="P18" s="2177"/>
      <c r="Q18" s="1615"/>
      <c r="R18" s="2162"/>
      <c r="S18" s="2162"/>
      <c r="T18" s="1616"/>
      <c r="U18" s="2162"/>
      <c r="V18" s="2177"/>
      <c r="W18" s="1617"/>
      <c r="X18" s="2162"/>
      <c r="Y18" s="2162"/>
      <c r="Z18" s="1614"/>
      <c r="AA18" s="2162"/>
      <c r="AB18" s="2177"/>
      <c r="AC18" s="1618"/>
      <c r="AD18" s="2162"/>
      <c r="AE18" s="2162"/>
      <c r="AF18" s="1619"/>
      <c r="AG18" s="1619"/>
      <c r="AH18" s="2201"/>
      <c r="AI18" s="2202"/>
      <c r="AJ18" s="1598"/>
      <c r="BM18" s="317">
        <v>14</v>
      </c>
    </row>
    <row customHeight="1" ht="14.699999999999998">
      <c r="D19" s="2207"/>
      <c r="E19" s="2203"/>
      <c r="F19" s="2203"/>
      <c r="G19" s="2210"/>
      <c r="H19" s="1624"/>
      <c r="I19" s="2206"/>
      <c r="J19" s="2177"/>
      <c r="K19" s="1607"/>
      <c r="L19" s="2162"/>
      <c r="M19" s="2162"/>
      <c r="N19" s="1614"/>
      <c r="O19" s="2162"/>
      <c r="P19" s="2177"/>
      <c r="Q19" s="1615"/>
      <c r="R19" s="2162"/>
      <c r="S19" s="2162"/>
      <c r="T19" s="1616"/>
      <c r="U19" s="2162"/>
      <c r="V19" s="2177"/>
      <c r="W19" s="1617"/>
      <c r="X19" s="2162"/>
      <c r="Y19" s="2162"/>
      <c r="Z19" s="1536"/>
      <c r="AA19" s="1619"/>
      <c r="AB19" s="2201"/>
      <c r="AC19" s="2201"/>
      <c r="AD19" s="2201"/>
      <c r="AE19" s="2201"/>
      <c r="AF19" s="2201"/>
      <c r="AG19" s="2201"/>
      <c r="AH19" s="2201"/>
      <c r="AI19" s="2202"/>
      <c r="AJ19" s="1598"/>
      <c r="BM19" s="317">
        <v>14</v>
      </c>
    </row>
    <row customHeight="1" ht="14.699999999999998">
      <c r="D20" s="2207"/>
      <c r="E20" s="2203"/>
      <c r="F20" s="2203"/>
      <c r="G20" s="2210"/>
      <c r="H20" s="1624"/>
      <c r="I20" s="2206"/>
      <c r="J20" s="2177"/>
      <c r="K20" s="1607"/>
      <c r="L20" s="2162"/>
      <c r="M20" s="2162"/>
      <c r="N20" s="1614"/>
      <c r="O20" s="2162"/>
      <c r="P20" s="2177"/>
      <c r="Q20" s="1615"/>
      <c r="R20" s="2162"/>
      <c r="S20" s="2162"/>
      <c r="T20" s="1620"/>
      <c r="U20" s="1621"/>
      <c r="V20" s="2201"/>
      <c r="W20" s="2201"/>
      <c r="X20" s="2201"/>
      <c r="Y20" s="2201"/>
      <c r="Z20" s="2201"/>
      <c r="AA20" s="2201"/>
      <c r="AB20" s="2201"/>
      <c r="AC20" s="2201"/>
      <c r="AD20" s="2201"/>
      <c r="AE20" s="2201"/>
      <c r="AF20" s="2201"/>
      <c r="AG20" s="2201"/>
      <c r="AH20" s="2201"/>
      <c r="AI20" s="2202"/>
      <c r="AJ20" s="1598"/>
      <c r="BM20" s="317">
        <v>14</v>
      </c>
    </row>
    <row customHeight="1" ht="11.549999999999999">
      <c r="D21" s="2207"/>
      <c r="E21" s="2203"/>
      <c r="F21" s="2203"/>
      <c r="G21" s="2210"/>
      <c r="H21" s="1625"/>
      <c r="I21" s="2206"/>
      <c r="J21" s="2177"/>
      <c r="K21" s="1607"/>
      <c r="L21" s="2162"/>
      <c r="M21" s="2162"/>
      <c r="N21" s="1619"/>
      <c r="O21" s="1619"/>
      <c r="P21" s="2201"/>
      <c r="Q21" s="2201"/>
      <c r="R21" s="2201"/>
      <c r="S21" s="2201"/>
      <c r="T21" s="2201"/>
      <c r="U21" s="2201"/>
      <c r="V21" s="2201"/>
      <c r="W21" s="2201"/>
      <c r="X21" s="2201"/>
      <c r="Y21" s="2201"/>
      <c r="Z21" s="2201"/>
      <c r="AA21" s="2201"/>
      <c r="AB21" s="2201"/>
      <c r="AC21" s="2201"/>
      <c r="AD21" s="2201"/>
      <c r="AE21" s="2201"/>
      <c r="AF21" s="2201"/>
      <c r="AG21" s="2201"/>
      <c r="AH21" s="2201"/>
      <c r="AI21" s="2202"/>
      <c r="AJ21" s="1598"/>
      <c r="BM21" s="317">
        <v>11</v>
      </c>
    </row>
    <row s="1578" customFormat="1" customHeight="1" ht="11.549999999999999">
      <c r="D22" s="2213"/>
      <c r="E22" s="2214"/>
      <c r="F22" s="2204"/>
      <c r="G22" s="2136"/>
      <c r="H22" s="1622"/>
      <c r="I22" s="1626"/>
      <c r="J22" s="2211"/>
      <c r="K22" s="2211"/>
      <c r="L22" s="2211"/>
      <c r="M22" s="2211"/>
      <c r="N22" s="2211"/>
      <c r="O22" s="2211"/>
      <c r="P22" s="2211"/>
      <c r="Q22" s="2211"/>
      <c r="R22" s="2211"/>
      <c r="S22" s="2211"/>
      <c r="T22" s="2211"/>
      <c r="U22" s="2211"/>
      <c r="V22" s="2211"/>
      <c r="W22" s="2211"/>
      <c r="X22" s="2211"/>
      <c r="Y22" s="2211"/>
      <c r="Z22" s="2211"/>
      <c r="AA22" s="2211"/>
      <c r="AB22" s="2211"/>
      <c r="AC22" s="2211"/>
      <c r="AD22" s="2211"/>
      <c r="AE22" s="2211"/>
      <c r="AF22" s="2211"/>
      <c r="AG22" s="2211"/>
      <c r="AH22" s="2211"/>
      <c r="AI22" s="2212"/>
      <c r="AJ22" s="1598"/>
      <c r="AK22" s="330"/>
      <c r="AL22" s="1598"/>
      <c r="AM22" s="1598"/>
      <c r="AN22" s="1598"/>
      <c r="AO22" s="1598"/>
      <c r="AP22" s="1598"/>
      <c r="AQ22" s="1598"/>
      <c r="AR22" s="1598"/>
      <c r="AS22" s="1598"/>
      <c r="AT22" s="1598"/>
      <c r="AU22" s="1598"/>
      <c r="AV22" s="1598"/>
      <c r="AW22" s="1598"/>
      <c r="AX22" s="1598"/>
      <c r="AY22" s="1598"/>
      <c r="AZ22" s="1598"/>
      <c r="BA22" s="1598"/>
      <c r="BB22" s="1598"/>
      <c r="BC22" s="1598"/>
      <c r="BD22" s="1598"/>
      <c r="BE22" s="1598"/>
      <c r="BF22" s="1598"/>
      <c r="BG22" s="1598"/>
      <c r="BH22" s="1598"/>
      <c r="BI22" s="1598"/>
      <c r="BJ22" s="1598"/>
      <c r="BK22" s="1598"/>
      <c r="BL22" s="1598"/>
      <c r="BM22" s="1578">
        <v>11</v>
      </c>
    </row>
    <row customHeight="1" ht="15">
      <c r="D23" s="2207" t="s">
        <v>90</v>
      </c>
      <c r="E23" s="2203" t="s">
        <v>377</v>
      </c>
      <c r="F23" s="2203" t="s">
        <v>380</v>
      </c>
      <c r="G23" s="2209" t="s">
        <v>19</v>
      </c>
      <c r="H23" s="1623"/>
      <c r="I23" s="2205"/>
      <c r="J23" s="2176"/>
      <c r="K23" s="1538"/>
      <c r="L23" s="2161"/>
      <c r="M23" s="2161"/>
      <c r="N23" s="1608"/>
      <c r="O23" s="2161"/>
      <c r="P23" s="2176"/>
      <c r="Q23" s="1609"/>
      <c r="R23" s="2161"/>
      <c r="S23" s="2161"/>
      <c r="T23" s="1610"/>
      <c r="U23" s="2161"/>
      <c r="V23" s="2176"/>
      <c r="W23" s="1611"/>
      <c r="X23" s="2161"/>
      <c r="Y23" s="2161"/>
      <c r="Z23" s="1608"/>
      <c r="AA23" s="2161"/>
      <c r="AB23" s="2176"/>
      <c r="AC23" s="1612"/>
      <c r="AD23" s="2161"/>
      <c r="AE23" s="2161"/>
      <c r="AF23" s="1537"/>
      <c r="AG23" s="1537"/>
      <c r="AH23" s="1613"/>
      <c r="AI23" s="1320"/>
      <c r="AJ23" s="1598"/>
      <c r="AK23" s="330" t="s">
        <v>98</v>
      </c>
      <c r="BM23" s="317">
        <v>14</v>
      </c>
    </row>
    <row customHeight="1" ht="14.699999999999998">
      <c r="D24" s="2207"/>
      <c r="E24" s="2203"/>
      <c r="F24" s="2203"/>
      <c r="G24" s="2210"/>
      <c r="H24" s="1624"/>
      <c r="I24" s="2206"/>
      <c r="J24" s="2177"/>
      <c r="K24" s="1634"/>
      <c r="L24" s="2162"/>
      <c r="M24" s="2162"/>
      <c r="N24" s="1614"/>
      <c r="O24" s="2162"/>
      <c r="P24" s="2177"/>
      <c r="Q24" s="1615"/>
      <c r="R24" s="2162"/>
      <c r="S24" s="2162"/>
      <c r="T24" s="1616"/>
      <c r="U24" s="2162"/>
      <c r="V24" s="2177"/>
      <c r="W24" s="1617"/>
      <c r="X24" s="2162"/>
      <c r="Y24" s="2162"/>
      <c r="Z24" s="1614"/>
      <c r="AA24" s="2162"/>
      <c r="AB24" s="2177"/>
      <c r="AC24" s="1618"/>
      <c r="AD24" s="2162"/>
      <c r="AE24" s="2162"/>
      <c r="AF24" s="1619"/>
      <c r="AG24" s="1619"/>
      <c r="AH24" s="2201"/>
      <c r="AI24" s="2202"/>
      <c r="AJ24" s="1598"/>
      <c r="BM24" s="317">
        <v>14</v>
      </c>
    </row>
    <row customHeight="1" ht="14.699999999999998">
      <c r="D25" s="2207"/>
      <c r="E25" s="2203"/>
      <c r="F25" s="2203"/>
      <c r="G25" s="2210"/>
      <c r="H25" s="1624"/>
      <c r="I25" s="2206"/>
      <c r="J25" s="2177"/>
      <c r="K25" s="1634"/>
      <c r="L25" s="2162"/>
      <c r="M25" s="2162"/>
      <c r="N25" s="1614"/>
      <c r="O25" s="2162"/>
      <c r="P25" s="2177"/>
      <c r="Q25" s="1615"/>
      <c r="R25" s="2162"/>
      <c r="S25" s="2162"/>
      <c r="T25" s="1616"/>
      <c r="U25" s="2162"/>
      <c r="V25" s="2177"/>
      <c r="W25" s="1617"/>
      <c r="X25" s="2162"/>
      <c r="Y25" s="2162"/>
      <c r="Z25" s="1536"/>
      <c r="AA25" s="1619"/>
      <c r="AB25" s="2201"/>
      <c r="AC25" s="2201"/>
      <c r="AD25" s="2201"/>
      <c r="AE25" s="2201"/>
      <c r="AF25" s="2201"/>
      <c r="AG25" s="2201"/>
      <c r="AH25" s="2201"/>
      <c r="AI25" s="2202"/>
      <c r="AJ25" s="1598"/>
      <c r="BM25" s="317">
        <v>14</v>
      </c>
    </row>
    <row customHeight="1" ht="14.699999999999998">
      <c r="D26" s="2207"/>
      <c r="E26" s="2203"/>
      <c r="F26" s="2203"/>
      <c r="G26" s="2210"/>
      <c r="H26" s="1624"/>
      <c r="I26" s="2206"/>
      <c r="J26" s="2177"/>
      <c r="K26" s="1634"/>
      <c r="L26" s="2162"/>
      <c r="M26" s="2162"/>
      <c r="N26" s="1614"/>
      <c r="O26" s="2162"/>
      <c r="P26" s="2177"/>
      <c r="Q26" s="1615"/>
      <c r="R26" s="2162"/>
      <c r="S26" s="2162"/>
      <c r="T26" s="1620"/>
      <c r="U26" s="1621"/>
      <c r="V26" s="2201"/>
      <c r="W26" s="2201"/>
      <c r="X26" s="2201"/>
      <c r="Y26" s="2201"/>
      <c r="Z26" s="2201"/>
      <c r="AA26" s="2201"/>
      <c r="AB26" s="2201"/>
      <c r="AC26" s="2201"/>
      <c r="AD26" s="2201"/>
      <c r="AE26" s="2201"/>
      <c r="AF26" s="2201"/>
      <c r="AG26" s="2201"/>
      <c r="AH26" s="2201"/>
      <c r="AI26" s="2202"/>
      <c r="AJ26" s="1598"/>
      <c r="BM26" s="317">
        <v>14</v>
      </c>
    </row>
    <row customHeight="1" ht="11.549999999999999">
      <c r="D27" s="2207"/>
      <c r="E27" s="2203"/>
      <c r="F27" s="2203"/>
      <c r="G27" s="2210"/>
      <c r="H27" s="1625"/>
      <c r="I27" s="2206"/>
      <c r="J27" s="2177"/>
      <c r="K27" s="1634"/>
      <c r="L27" s="2162"/>
      <c r="M27" s="2162"/>
      <c r="N27" s="1619"/>
      <c r="O27" s="1619"/>
      <c r="P27" s="2201"/>
      <c r="Q27" s="2201"/>
      <c r="R27" s="2201"/>
      <c r="S27" s="2201"/>
      <c r="T27" s="2201"/>
      <c r="U27" s="2201"/>
      <c r="V27" s="2201"/>
      <c r="W27" s="2201"/>
      <c r="X27" s="2201"/>
      <c r="Y27" s="2201"/>
      <c r="Z27" s="2201"/>
      <c r="AA27" s="2201"/>
      <c r="AB27" s="2201"/>
      <c r="AC27" s="2201"/>
      <c r="AD27" s="2201"/>
      <c r="AE27" s="2201"/>
      <c r="AF27" s="2201"/>
      <c r="AG27" s="2201"/>
      <c r="AH27" s="2201"/>
      <c r="AI27" s="2202"/>
      <c r="AJ27" s="1598"/>
      <c r="BM27" s="317">
        <v>11</v>
      </c>
    </row>
    <row s="1578" customFormat="1" customHeight="1" ht="11.549999999999999">
      <c r="D28" s="2213"/>
      <c r="E28" s="2214"/>
      <c r="F28" s="2204"/>
      <c r="G28" s="2136"/>
      <c r="H28" s="1622"/>
      <c r="I28" s="1626"/>
      <c r="J28" s="2211"/>
      <c r="K28" s="2211"/>
      <c r="L28" s="2211"/>
      <c r="M28" s="2211"/>
      <c r="N28" s="2211"/>
      <c r="O28" s="2211"/>
      <c r="P28" s="2211"/>
      <c r="Q28" s="2211"/>
      <c r="R28" s="2211"/>
      <c r="S28" s="2211"/>
      <c r="T28" s="2211"/>
      <c r="U28" s="2211"/>
      <c r="V28" s="2211"/>
      <c r="W28" s="2211"/>
      <c r="X28" s="2211"/>
      <c r="Y28" s="2211"/>
      <c r="Z28" s="2211"/>
      <c r="AA28" s="2211"/>
      <c r="AB28" s="2211"/>
      <c r="AC28" s="2211"/>
      <c r="AD28" s="2211"/>
      <c r="AE28" s="2211"/>
      <c r="AF28" s="2211"/>
      <c r="AG28" s="2211"/>
      <c r="AH28" s="2211"/>
      <c r="AI28" s="2212"/>
      <c r="AJ28" s="1598"/>
      <c r="AK28" s="330"/>
      <c r="AL28" s="1598"/>
      <c r="AM28" s="1598"/>
      <c r="AN28" s="1598"/>
      <c r="AO28" s="1598"/>
      <c r="AP28" s="1598"/>
      <c r="AQ28" s="1598"/>
      <c r="AR28" s="1598"/>
      <c r="AS28" s="1598"/>
      <c r="AT28" s="1598"/>
      <c r="AU28" s="1598"/>
      <c r="AV28" s="1598"/>
      <c r="AW28" s="1598"/>
      <c r="AX28" s="1598"/>
      <c r="AY28" s="1598"/>
      <c r="AZ28" s="1598"/>
      <c r="BA28" s="1598"/>
      <c r="BB28" s="1598"/>
      <c r="BC28" s="1598"/>
      <c r="BD28" s="1598"/>
      <c r="BE28" s="1598"/>
      <c r="BF28" s="1598"/>
      <c r="BG28" s="1598"/>
      <c r="BH28" s="1598"/>
      <c r="BI28" s="1598"/>
      <c r="BJ28" s="1598"/>
      <c r="BK28" s="1598"/>
      <c r="BL28" s="1598"/>
      <c r="BM28" s="1578">
        <v>11</v>
      </c>
    </row>
    <row customHeight="1" ht="15">
      <c r="D29" s="2207" t="s">
        <v>91</v>
      </c>
      <c r="E29" s="2203" t="s">
        <v>377</v>
      </c>
      <c r="F29" s="2203" t="s">
        <v>381</v>
      </c>
      <c r="G29" s="2209" t="s">
        <v>19</v>
      </c>
      <c r="H29" s="1623"/>
      <c r="I29" s="2205"/>
      <c r="J29" s="2176"/>
      <c r="K29" s="1538"/>
      <c r="L29" s="2161"/>
      <c r="M29" s="2161"/>
      <c r="N29" s="1608"/>
      <c r="O29" s="2161"/>
      <c r="P29" s="2176"/>
      <c r="Q29" s="1609"/>
      <c r="R29" s="2161"/>
      <c r="S29" s="2161"/>
      <c r="T29" s="1610"/>
      <c r="U29" s="2161"/>
      <c r="V29" s="2176"/>
      <c r="W29" s="1611"/>
      <c r="X29" s="2161"/>
      <c r="Y29" s="2161"/>
      <c r="Z29" s="1608"/>
      <c r="AA29" s="2161"/>
      <c r="AB29" s="2176"/>
      <c r="AC29" s="1612"/>
      <c r="AD29" s="2161"/>
      <c r="AE29" s="2161"/>
      <c r="AF29" s="1537"/>
      <c r="AG29" s="1537"/>
      <c r="AH29" s="1613"/>
      <c r="AI29" s="1320"/>
      <c r="AJ29" s="1598"/>
      <c r="BM29" s="317">
        <v>14</v>
      </c>
    </row>
    <row customHeight="1" ht="14.699999999999998">
      <c r="D30" s="2207"/>
      <c r="E30" s="2203"/>
      <c r="F30" s="2203"/>
      <c r="G30" s="2210"/>
      <c r="H30" s="1624"/>
      <c r="I30" s="2206"/>
      <c r="J30" s="2177"/>
      <c r="K30" s="1607"/>
      <c r="L30" s="2162"/>
      <c r="M30" s="2162"/>
      <c r="N30" s="1614"/>
      <c r="O30" s="2162"/>
      <c r="P30" s="2177"/>
      <c r="Q30" s="1615"/>
      <c r="R30" s="2162"/>
      <c r="S30" s="2162"/>
      <c r="T30" s="1616"/>
      <c r="U30" s="2162"/>
      <c r="V30" s="2177"/>
      <c r="W30" s="1617"/>
      <c r="X30" s="2162"/>
      <c r="Y30" s="2162"/>
      <c r="Z30" s="1614"/>
      <c r="AA30" s="2162"/>
      <c r="AB30" s="2177"/>
      <c r="AC30" s="1618"/>
      <c r="AD30" s="2162"/>
      <c r="AE30" s="2162"/>
      <c r="AF30" s="1619"/>
      <c r="AG30" s="1619"/>
      <c r="AH30" s="2201"/>
      <c r="AI30" s="2202"/>
      <c r="AJ30" s="1598"/>
      <c r="BM30" s="317">
        <v>14</v>
      </c>
    </row>
    <row customHeight="1" ht="14.699999999999998">
      <c r="D31" s="2207"/>
      <c r="E31" s="2203"/>
      <c r="F31" s="2203"/>
      <c r="G31" s="2210"/>
      <c r="H31" s="1624"/>
      <c r="I31" s="2206"/>
      <c r="J31" s="2177"/>
      <c r="K31" s="1607"/>
      <c r="L31" s="2162"/>
      <c r="M31" s="2162"/>
      <c r="N31" s="1614"/>
      <c r="O31" s="2162"/>
      <c r="P31" s="2177"/>
      <c r="Q31" s="1615"/>
      <c r="R31" s="2162"/>
      <c r="S31" s="2162"/>
      <c r="T31" s="1616"/>
      <c r="U31" s="2162"/>
      <c r="V31" s="2177"/>
      <c r="W31" s="1617"/>
      <c r="X31" s="2162"/>
      <c r="Y31" s="2162"/>
      <c r="Z31" s="1536"/>
      <c r="AA31" s="1619"/>
      <c r="AB31" s="2201"/>
      <c r="AC31" s="2201"/>
      <c r="AD31" s="2201"/>
      <c r="AE31" s="2201"/>
      <c r="AF31" s="2201"/>
      <c r="AG31" s="2201"/>
      <c r="AH31" s="2201"/>
      <c r="AI31" s="2202"/>
      <c r="AJ31" s="1598"/>
      <c r="BM31" s="317">
        <v>14</v>
      </c>
    </row>
    <row customHeight="1" ht="14.699999999999998">
      <c r="D32" s="2207"/>
      <c r="E32" s="2203"/>
      <c r="F32" s="2203"/>
      <c r="G32" s="2210"/>
      <c r="H32" s="1624"/>
      <c r="I32" s="2206"/>
      <c r="J32" s="2177"/>
      <c r="K32" s="1607"/>
      <c r="L32" s="2162"/>
      <c r="M32" s="2162"/>
      <c r="N32" s="1614"/>
      <c r="O32" s="2162"/>
      <c r="P32" s="2177"/>
      <c r="Q32" s="1615"/>
      <c r="R32" s="2162"/>
      <c r="S32" s="2162"/>
      <c r="T32" s="1620"/>
      <c r="U32" s="1621"/>
      <c r="V32" s="2201"/>
      <c r="W32" s="2201"/>
      <c r="X32" s="2201"/>
      <c r="Y32" s="2201"/>
      <c r="Z32" s="2201"/>
      <c r="AA32" s="2201"/>
      <c r="AB32" s="2201"/>
      <c r="AC32" s="2201"/>
      <c r="AD32" s="2201"/>
      <c r="AE32" s="2201"/>
      <c r="AF32" s="2201"/>
      <c r="AG32" s="2201"/>
      <c r="AH32" s="2201"/>
      <c r="AI32" s="2202"/>
      <c r="AJ32" s="1598"/>
      <c r="BM32" s="317">
        <v>14</v>
      </c>
    </row>
    <row customHeight="1" ht="11.549999999999999">
      <c r="D33" s="2207"/>
      <c r="E33" s="2203"/>
      <c r="F33" s="2203"/>
      <c r="G33" s="2210"/>
      <c r="H33" s="1625"/>
      <c r="I33" s="2206"/>
      <c r="J33" s="2177"/>
      <c r="K33" s="1607"/>
      <c r="L33" s="2162"/>
      <c r="M33" s="2162"/>
      <c r="N33" s="1619"/>
      <c r="O33" s="1619"/>
      <c r="P33" s="2201"/>
      <c r="Q33" s="2201"/>
      <c r="R33" s="2201"/>
      <c r="S33" s="2201"/>
      <c r="T33" s="2201"/>
      <c r="U33" s="2201"/>
      <c r="V33" s="2201"/>
      <c r="W33" s="2201"/>
      <c r="X33" s="2201"/>
      <c r="Y33" s="2201"/>
      <c r="Z33" s="2201"/>
      <c r="AA33" s="2201"/>
      <c r="AB33" s="2201"/>
      <c r="AC33" s="2201"/>
      <c r="AD33" s="2201"/>
      <c r="AE33" s="2201"/>
      <c r="AF33" s="2201"/>
      <c r="AG33" s="2201"/>
      <c r="AH33" s="2201"/>
      <c r="AI33" s="2202"/>
      <c r="AJ33" s="1598"/>
      <c r="BM33" s="317">
        <v>11</v>
      </c>
    </row>
    <row s="1578" customFormat="1" customHeight="1" ht="11.549999999999999">
      <c r="D34" s="2213"/>
      <c r="E34" s="2214"/>
      <c r="F34" s="2204"/>
      <c r="G34" s="2136"/>
      <c r="H34" s="1622"/>
      <c r="I34" s="1626"/>
      <c r="J34" s="2211"/>
      <c r="K34" s="2211"/>
      <c r="L34" s="2211"/>
      <c r="M34" s="2211"/>
      <c r="N34" s="2211"/>
      <c r="O34" s="2211"/>
      <c r="P34" s="2211"/>
      <c r="Q34" s="2211"/>
      <c r="R34" s="2211"/>
      <c r="S34" s="2211"/>
      <c r="T34" s="2211"/>
      <c r="U34" s="2211"/>
      <c r="V34" s="2211"/>
      <c r="W34" s="2211"/>
      <c r="X34" s="2211"/>
      <c r="Y34" s="2211"/>
      <c r="Z34" s="2211"/>
      <c r="AA34" s="2211"/>
      <c r="AB34" s="2211"/>
      <c r="AC34" s="2211"/>
      <c r="AD34" s="2211"/>
      <c r="AE34" s="2211"/>
      <c r="AF34" s="2211"/>
      <c r="AG34" s="2211"/>
      <c r="AH34" s="2211"/>
      <c r="AI34" s="2212"/>
      <c r="AJ34" s="1598"/>
      <c r="AK34" s="330"/>
      <c r="AL34" s="1598"/>
      <c r="AM34" s="1598"/>
      <c r="AN34" s="1598"/>
      <c r="AO34" s="1598"/>
      <c r="AP34" s="1598"/>
      <c r="AQ34" s="1598"/>
      <c r="AR34" s="1598"/>
      <c r="AS34" s="1598"/>
      <c r="AT34" s="1598"/>
      <c r="AU34" s="1598"/>
      <c r="AV34" s="1598"/>
      <c r="AW34" s="1598"/>
      <c r="AX34" s="1598"/>
      <c r="AY34" s="1598"/>
      <c r="AZ34" s="1598"/>
      <c r="BA34" s="1598"/>
      <c r="BB34" s="1598"/>
      <c r="BC34" s="1598"/>
      <c r="BD34" s="1598"/>
      <c r="BE34" s="1598"/>
      <c r="BF34" s="1598"/>
      <c r="BG34" s="1598"/>
      <c r="BH34" s="1598"/>
      <c r="BI34" s="1598"/>
      <c r="BJ34" s="1598"/>
      <c r="BK34" s="1598"/>
      <c r="BL34" s="1598"/>
      <c r="BM34" s="1578">
        <v>11</v>
      </c>
    </row>
    <row customHeight="1" ht="15">
      <c r="D35" s="2207" t="s">
        <v>119</v>
      </c>
      <c r="E35" s="2203" t="s">
        <v>377</v>
      </c>
      <c r="F35" s="2203" t="s">
        <v>382</v>
      </c>
      <c r="G35" s="2209" t="s">
        <v>19</v>
      </c>
      <c r="H35" s="1623"/>
      <c r="I35" s="2205"/>
      <c r="J35" s="2176"/>
      <c r="K35" s="1538"/>
      <c r="L35" s="2161"/>
      <c r="M35" s="2161"/>
      <c r="N35" s="1608"/>
      <c r="O35" s="2161"/>
      <c r="P35" s="2176"/>
      <c r="Q35" s="1609"/>
      <c r="R35" s="2161"/>
      <c r="S35" s="2161"/>
      <c r="T35" s="1610"/>
      <c r="U35" s="2161"/>
      <c r="V35" s="2176"/>
      <c r="W35" s="1611"/>
      <c r="X35" s="2161"/>
      <c r="Y35" s="2161"/>
      <c r="Z35" s="1608"/>
      <c r="AA35" s="2161"/>
      <c r="AB35" s="2176"/>
      <c r="AC35" s="1612"/>
      <c r="AD35" s="2161"/>
      <c r="AE35" s="2161"/>
      <c r="AF35" s="1537"/>
      <c r="AG35" s="1537"/>
      <c r="AH35" s="1613"/>
      <c r="AI35" s="1320"/>
      <c r="AJ35" s="1598"/>
      <c r="BM35" s="317">
        <v>14</v>
      </c>
    </row>
    <row customHeight="1" ht="14.699999999999998">
      <c r="D36" s="2207"/>
      <c r="E36" s="2203"/>
      <c r="F36" s="2203"/>
      <c r="G36" s="2210"/>
      <c r="H36" s="1624"/>
      <c r="I36" s="2206"/>
      <c r="J36" s="2177"/>
      <c r="K36" s="1607"/>
      <c r="L36" s="2162"/>
      <c r="M36" s="2162"/>
      <c r="N36" s="1614"/>
      <c r="O36" s="2162"/>
      <c r="P36" s="2177"/>
      <c r="Q36" s="1615"/>
      <c r="R36" s="2162"/>
      <c r="S36" s="2162"/>
      <c r="T36" s="1616"/>
      <c r="U36" s="2162"/>
      <c r="V36" s="2177"/>
      <c r="W36" s="1617"/>
      <c r="X36" s="2162"/>
      <c r="Y36" s="2162"/>
      <c r="Z36" s="1614"/>
      <c r="AA36" s="2162"/>
      <c r="AB36" s="2177"/>
      <c r="AC36" s="1618"/>
      <c r="AD36" s="2162"/>
      <c r="AE36" s="2162"/>
      <c r="AF36" s="1619"/>
      <c r="AG36" s="1619"/>
      <c r="AH36" s="2201"/>
      <c r="AI36" s="2202"/>
      <c r="AJ36" s="1598"/>
      <c r="BM36" s="317">
        <v>14</v>
      </c>
    </row>
    <row customHeight="1" ht="14.699999999999998">
      <c r="D37" s="2207"/>
      <c r="E37" s="2203"/>
      <c r="F37" s="2203"/>
      <c r="G37" s="2210"/>
      <c r="H37" s="1624"/>
      <c r="I37" s="2206"/>
      <c r="J37" s="2177"/>
      <c r="K37" s="1607"/>
      <c r="L37" s="2162"/>
      <c r="M37" s="2162"/>
      <c r="N37" s="1614"/>
      <c r="O37" s="2162"/>
      <c r="P37" s="2177"/>
      <c r="Q37" s="1615"/>
      <c r="R37" s="2162"/>
      <c r="S37" s="2162"/>
      <c r="T37" s="1616"/>
      <c r="U37" s="2162"/>
      <c r="V37" s="2177"/>
      <c r="W37" s="1617"/>
      <c r="X37" s="2162"/>
      <c r="Y37" s="2162"/>
      <c r="Z37" s="1536"/>
      <c r="AA37" s="1619"/>
      <c r="AB37" s="2201"/>
      <c r="AC37" s="2201"/>
      <c r="AD37" s="2201"/>
      <c r="AE37" s="2201"/>
      <c r="AF37" s="2201"/>
      <c r="AG37" s="2201"/>
      <c r="AH37" s="2201"/>
      <c r="AI37" s="2202"/>
      <c r="AJ37" s="1598"/>
      <c r="BM37" s="317">
        <v>14</v>
      </c>
    </row>
    <row customHeight="1" ht="14.699999999999998">
      <c r="D38" s="2207"/>
      <c r="E38" s="2203"/>
      <c r="F38" s="2203"/>
      <c r="G38" s="2210"/>
      <c r="H38" s="1624"/>
      <c r="I38" s="2206"/>
      <c r="J38" s="2177"/>
      <c r="K38" s="1607"/>
      <c r="L38" s="2162"/>
      <c r="M38" s="2162"/>
      <c r="N38" s="1614"/>
      <c r="O38" s="2162"/>
      <c r="P38" s="2177"/>
      <c r="Q38" s="1615"/>
      <c r="R38" s="2162"/>
      <c r="S38" s="2162"/>
      <c r="T38" s="1620"/>
      <c r="U38" s="1621"/>
      <c r="V38" s="2201"/>
      <c r="W38" s="2201"/>
      <c r="X38" s="2201"/>
      <c r="Y38" s="2201"/>
      <c r="Z38" s="2201"/>
      <c r="AA38" s="2201"/>
      <c r="AB38" s="2201"/>
      <c r="AC38" s="2201"/>
      <c r="AD38" s="2201"/>
      <c r="AE38" s="2201"/>
      <c r="AF38" s="2201"/>
      <c r="AG38" s="2201"/>
      <c r="AH38" s="2201"/>
      <c r="AI38" s="2202"/>
      <c r="AJ38" s="1598"/>
      <c r="BM38" s="317">
        <v>14</v>
      </c>
    </row>
    <row customHeight="1" ht="11.549999999999999">
      <c r="D39" s="2207"/>
      <c r="E39" s="2203"/>
      <c r="F39" s="2203"/>
      <c r="G39" s="2210"/>
      <c r="H39" s="1625"/>
      <c r="I39" s="2206"/>
      <c r="J39" s="2177"/>
      <c r="K39" s="1607"/>
      <c r="L39" s="2162"/>
      <c r="M39" s="2162"/>
      <c r="N39" s="1619"/>
      <c r="O39" s="1619"/>
      <c r="P39" s="2201"/>
      <c r="Q39" s="2201"/>
      <c r="R39" s="2201"/>
      <c r="S39" s="2201"/>
      <c r="T39" s="2201"/>
      <c r="U39" s="2201"/>
      <c r="V39" s="2201"/>
      <c r="W39" s="2201"/>
      <c r="X39" s="2201"/>
      <c r="Y39" s="2201"/>
      <c r="Z39" s="2201"/>
      <c r="AA39" s="2201"/>
      <c r="AB39" s="2201"/>
      <c r="AC39" s="2201"/>
      <c r="AD39" s="2201"/>
      <c r="AE39" s="2201"/>
      <c r="AF39" s="2201"/>
      <c r="AG39" s="2201"/>
      <c r="AH39" s="2201"/>
      <c r="AI39" s="2202"/>
      <c r="AJ39" s="1598"/>
      <c r="BM39" s="317">
        <v>11</v>
      </c>
    </row>
    <row s="1578" customFormat="1" customHeight="1" ht="11.549999999999999">
      <c r="D40" s="2207"/>
      <c r="E40" s="2203"/>
      <c r="F40" s="2208"/>
      <c r="G40" s="2136"/>
      <c r="H40" s="1622"/>
      <c r="I40" s="1626"/>
      <c r="J40" s="2211"/>
      <c r="K40" s="2211"/>
      <c r="L40" s="2211"/>
      <c r="M40" s="2211"/>
      <c r="N40" s="2211"/>
      <c r="O40" s="2211"/>
      <c r="P40" s="2211"/>
      <c r="Q40" s="2211"/>
      <c r="R40" s="2211"/>
      <c r="S40" s="2211"/>
      <c r="T40" s="2211"/>
      <c r="U40" s="2211"/>
      <c r="V40" s="2211"/>
      <c r="W40" s="2211"/>
      <c r="X40" s="2211"/>
      <c r="Y40" s="2211"/>
      <c r="Z40" s="2211"/>
      <c r="AA40" s="2211"/>
      <c r="AB40" s="2211"/>
      <c r="AC40" s="2211"/>
      <c r="AD40" s="2211"/>
      <c r="AE40" s="2211"/>
      <c r="AF40" s="2211"/>
      <c r="AG40" s="2211"/>
      <c r="AH40" s="2211"/>
      <c r="AI40" s="2212"/>
      <c r="AJ40" s="1598"/>
      <c r="AK40" s="330"/>
      <c r="AL40" s="1598"/>
      <c r="AM40" s="1598"/>
      <c r="AN40" s="1598"/>
      <c r="AO40" s="1598"/>
      <c r="AP40" s="1598"/>
      <c r="AQ40" s="1598"/>
      <c r="AR40" s="1598"/>
      <c r="AS40" s="1598"/>
      <c r="AT40" s="1598"/>
      <c r="AU40" s="1598"/>
      <c r="AV40" s="1598"/>
      <c r="AW40" s="1598"/>
      <c r="AX40" s="1598"/>
      <c r="AY40" s="1598"/>
      <c r="AZ40" s="1598"/>
      <c r="BA40" s="1598"/>
      <c r="BB40" s="1598"/>
      <c r="BC40" s="1598"/>
      <c r="BD40" s="1598"/>
      <c r="BE40" s="1598"/>
      <c r="BF40" s="1598"/>
      <c r="BG40" s="1598"/>
      <c r="BH40" s="1598"/>
      <c r="BI40" s="1598"/>
      <c r="BJ40" s="1598"/>
      <c r="BK40" s="1598"/>
      <c r="BL40" s="1598"/>
      <c r="BM40" s="1578">
        <v>11</v>
      </c>
    </row>
    <row customHeight="1" ht="11.549999999999999">
      <c r="AK41" s="447"/>
      <c r="BM41" s="317">
        <v>11</v>
      </c>
    </row>
    <row customHeight="1" ht="11.549999999999999">
      <c r="AK42" s="447"/>
      <c r="BM42" s="317">
        <v>11</v>
      </c>
    </row>
    <row customHeight="1" ht="11.549999999999999">
      <c r="AK43" s="447"/>
      <c r="BM43" s="317">
        <v>11</v>
      </c>
    </row>
    <row customHeight="1" ht="11.549999999999999">
      <c r="AK44" s="447"/>
      <c r="BM44" s="317">
        <v>11</v>
      </c>
    </row>
    <row customHeight="1" ht="11.549999999999999">
      <c r="AK45" s="447"/>
      <c r="BM45" s="317">
        <v>11</v>
      </c>
    </row>
    <row customHeight="1" ht="11.549999999999999">
      <c r="AK46" s="447"/>
      <c r="BM46" s="317">
        <v>11</v>
      </c>
    </row>
    <row customHeight="1" ht="11.549999999999999">
      <c r="AK47" s="447"/>
      <c r="BM47" s="317">
        <v>11</v>
      </c>
    </row>
    <row customHeight="1" ht="11.549999999999999">
      <c r="AK48" s="447"/>
      <c r="BM48" s="317">
        <v>11</v>
      </c>
    </row>
    <row customHeight="1" ht="11.549999999999999">
      <c r="AK49" s="447"/>
      <c r="BM49" s="317">
        <v>11</v>
      </c>
    </row>
    <row customHeight="1" ht="11.25" hidden="1">
      <c r="A50" s="317" t="s">
        <v>82</v>
      </c>
      <c r="B50" s="317">
        <v>0</v>
      </c>
      <c r="C50" s="317">
        <v>3</v>
      </c>
      <c r="D50" s="317">
        <v>3</v>
      </c>
      <c r="E50" s="317">
        <v>15</v>
      </c>
      <c r="F50" s="317">
        <v>15</v>
      </c>
      <c r="G50" s="317">
        <v>11</v>
      </c>
      <c r="H50" s="317">
        <v>3</v>
      </c>
      <c r="I50" s="317">
        <v>3</v>
      </c>
      <c r="J50" s="317">
        <v>12</v>
      </c>
      <c r="K50" s="317">
        <v>0</v>
      </c>
      <c r="L50" s="317">
        <v>10</v>
      </c>
      <c r="M50" s="317">
        <v>10</v>
      </c>
      <c r="N50" s="317">
        <v>3</v>
      </c>
      <c r="O50" s="317">
        <v>3</v>
      </c>
      <c r="P50" s="317">
        <v>19</v>
      </c>
      <c r="Q50" s="317">
        <v>0</v>
      </c>
      <c r="R50" s="317">
        <v>10</v>
      </c>
      <c r="S50" s="317">
        <v>10</v>
      </c>
      <c r="T50" s="317">
        <v>3</v>
      </c>
      <c r="U50" s="317">
        <v>3</v>
      </c>
      <c r="V50" s="317">
        <v>25</v>
      </c>
      <c r="W50" s="317">
        <v>0</v>
      </c>
      <c r="X50" s="317">
        <v>10</v>
      </c>
      <c r="Y50" s="317">
        <v>10</v>
      </c>
      <c r="Z50" s="317">
        <v>3</v>
      </c>
      <c r="AA50" s="317">
        <v>3</v>
      </c>
      <c r="AB50" s="317">
        <v>16</v>
      </c>
      <c r="AC50" s="317">
        <v>0</v>
      </c>
      <c r="AD50" s="317">
        <v>10</v>
      </c>
      <c r="AE50" s="317">
        <v>10</v>
      </c>
      <c r="AF50" s="317">
        <v>3</v>
      </c>
      <c r="AG50" s="317">
        <v>3</v>
      </c>
      <c r="AH50" s="317">
        <v>8</v>
      </c>
      <c r="AI50" s="317">
        <v>21</v>
      </c>
      <c r="AJ50" s="447">
        <v>8</v>
      </c>
      <c r="AK50" s="330">
        <v>8</v>
      </c>
      <c r="AL50" s="447">
        <v>8</v>
      </c>
      <c r="AM50" s="447">
        <v>8</v>
      </c>
      <c r="AN50" s="447">
        <v>8</v>
      </c>
      <c r="AO50" s="447">
        <v>8</v>
      </c>
      <c r="AP50" s="447">
        <v>8</v>
      </c>
      <c r="AQ50" s="447">
        <v>8</v>
      </c>
      <c r="AR50" s="447">
        <v>8</v>
      </c>
      <c r="AS50" s="447">
        <v>8</v>
      </c>
      <c r="AT50" s="447">
        <v>8</v>
      </c>
      <c r="AU50" s="447">
        <v>8</v>
      </c>
      <c r="AV50" s="447">
        <v>8</v>
      </c>
      <c r="AW50" s="447">
        <v>8</v>
      </c>
      <c r="AX50" s="447">
        <v>8</v>
      </c>
      <c r="AY50" s="447">
        <v>8</v>
      </c>
      <c r="AZ50" s="447">
        <v>8</v>
      </c>
      <c r="BA50" s="447">
        <v>8</v>
      </c>
      <c r="BB50" s="447">
        <v>8</v>
      </c>
      <c r="BC50" s="447">
        <v>8</v>
      </c>
      <c r="BD50" s="447">
        <v>8</v>
      </c>
      <c r="BE50" s="447">
        <v>8</v>
      </c>
      <c r="BF50" s="447">
        <v>8</v>
      </c>
      <c r="BG50" s="447">
        <v>8</v>
      </c>
      <c r="BH50" s="447">
        <v>8</v>
      </c>
      <c r="BI50" s="447">
        <v>8</v>
      </c>
      <c r="BJ50" s="447">
        <v>8</v>
      </c>
      <c r="BK50" s="447">
        <v>8</v>
      </c>
      <c r="BL50" s="447">
        <v>8</v>
      </c>
      <c r="BM50" s="317">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C5731B-93DB-5A9C-53C7-0.D063E55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74" width="1.7109375" customWidth="1"/>
    <col min="2" max="2" style="1874" width="34.57421875" customWidth="1"/>
    <col min="3" max="3" style="1874" width="85.00390625" customWidth="1"/>
    <col min="4" max="4" style="1874" width="17.00390625" customWidth="1"/>
    <col min="5" max="5" style="1874" width="8.00390625" customWidth="1"/>
    <col min="6" max="6" style="1874" width="9.140625" hidden="1"/>
  </cols>
  <sheetData>
    <row customHeight="1" ht="3">
      <c r="F1" s="113" t="s">
        <v>14</v>
      </c>
    </row>
    <row customHeight="1" ht="22.5">
      <c r="B2" s="2637" t="s">
        <v>2236</v>
      </c>
      <c r="C2" s="2524"/>
      <c r="D2" s="2524"/>
      <c r="E2" s="292"/>
      <c r="F2" s="113">
        <v>22</v>
      </c>
    </row>
    <row customHeight="1" ht="3">
      <c r="F3" s="113">
        <v>3</v>
      </c>
    </row>
    <row customHeight="1" ht="23.25">
      <c r="B4" s="2638" t="s">
        <v>2237</v>
      </c>
      <c r="C4" s="407" t="s">
        <v>2238</v>
      </c>
      <c r="D4" s="407" t="s">
        <v>2239</v>
      </c>
      <c r="F4" s="113">
        <v>22</v>
      </c>
    </row>
    <row customHeight="1" ht="11.25" hidden="1">
      <c r="A5" s="113" t="s">
        <v>82</v>
      </c>
      <c r="B5" s="113">
        <v>34</v>
      </c>
      <c r="C5" s="113">
        <v>85</v>
      </c>
      <c r="D5" s="113">
        <v>17</v>
      </c>
      <c r="E5" s="113">
        <v>8</v>
      </c>
      <c r="F5" s="113">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1C98DB-61D2-58FD-B60D-0.74E36B4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74" width="26.57421875" customWidth="1"/>
    <col min="2" max="2" style="1874" width="10.00390625" customWidth="1"/>
    <col min="3" max="3" style="1874" width="9.140625"/>
    <col min="4" max="4" style="1874" width="11.140625" customWidth="1"/>
    <col min="5" max="5" style="1874" width="16.57421875" customWidth="1"/>
    <col min="6" max="6" style="1874" width="16.28125" customWidth="1"/>
    <col min="7" max="7" style="1874" width="19.140625" customWidth="1"/>
    <col min="8" max="11" style="1874" width="10.00390625" customWidth="1"/>
    <col min="12" max="12" style="1874" width="12.7109375" customWidth="1"/>
    <col min="13" max="13" style="1874" width="61.28125" customWidth="1"/>
    <col min="14" max="14" style="1874" width="10.00390625" customWidth="1"/>
    <col min="15" max="17" style="1874" width="23.7109375" customWidth="1"/>
    <col min="18" max="18" style="1874" width="11.7109375" customWidth="1"/>
    <col min="19" max="19" style="1874" width="8.57421875" customWidth="1"/>
    <col min="20" max="20" style="1874" width="11.7109375" customWidth="1"/>
    <col min="21" max="21" style="1874" width="8.57421875" customWidth="1"/>
    <col min="22" max="22" style="1874" width="4.7109375" customWidth="1"/>
    <col min="23" max="23" style="1874" width="115.7109375" customWidth="1"/>
    <col min="24" max="24" style="1874" width="115.28125" customWidth="1"/>
    <col min="25" max="27" style="1874" width="9.140625"/>
    <col min="28" max="28" style="1874" width="115.7109375" customWidth="1"/>
    <col min="29" max="29" style="1874" width="9.140625"/>
    <col min="30" max="90" style="1874" width="115.7109375" customWidth="1"/>
    <col min="91" max="184" style="1874" width="9.140625"/>
  </cols>
  <sheetData>
    <row r="2" s="1839" customFormat="1" customHeight="1" ht="17.25">
      <c r="A2" s="1839" t="s">
        <v>2240</v>
      </c>
    </row>
    <row r="4" s="288" customFormat="1" customHeight="1" ht="15">
      <c r="C4" s="1840"/>
      <c r="D4" s="137"/>
      <c r="E4" s="401"/>
    </row>
    <row r="6" s="1839" customFormat="1" customHeight="1" ht="17.25">
      <c r="A6" s="1839" t="s">
        <v>2241</v>
      </c>
    </row>
    <row r="8" s="288" customFormat="1" customHeight="1" ht="17.25">
      <c r="C8" s="1841"/>
      <c r="D8" s="137"/>
      <c r="E8" s="138"/>
    </row>
    <row r="11" s="1839" customFormat="1" customHeight="1" ht="17.25">
      <c r="A11" s="1839" t="s">
        <v>2242</v>
      </c>
    </row>
    <row r="13" s="1843" customFormat="1" customHeight="1" ht="15">
      <c r="A13" s="2241">
        <v>1</v>
      </c>
      <c r="B13" s="1184"/>
      <c r="C13" s="825" t="s">
        <v>104</v>
      </c>
      <c r="D13" s="1842"/>
      <c r="E13" s="1829">
        <f>A13</f>
        <v>1</v>
      </c>
      <c r="F13" s="828"/>
      <c r="G13" s="564" t="str">
        <f>"Территория "&amp;E13</f>
        <v>Территория 1</v>
      </c>
      <c r="H13" s="816"/>
      <c r="I13" s="816"/>
      <c r="J13" s="813"/>
      <c r="K13" s="1648"/>
      <c r="L13" s="1648"/>
      <c r="M13" s="1648"/>
      <c r="N13" s="250"/>
      <c r="O13" s="1648"/>
      <c r="P13" s="249"/>
      <c r="Q13" s="249"/>
      <c r="R13" s="249"/>
      <c r="S13" s="249"/>
    </row>
    <row s="1874" customFormat="1" customHeight="1" ht="15">
      <c r="A14" s="2241"/>
      <c r="B14" s="1184">
        <v>1</v>
      </c>
      <c r="C14" s="1184"/>
      <c r="D14" s="824"/>
      <c r="E14" s="1837" t="str">
        <f>A13&amp;"."&amp;B14</f>
        <v>1.1</v>
      </c>
      <c r="F14" s="827">
        <f>$F$20</f>
        <v>0</v>
      </c>
      <c r="G14" s="817"/>
      <c r="H14" s="817"/>
      <c r="I14" s="815"/>
      <c r="J14" s="1648"/>
      <c r="K14" s="1660"/>
      <c r="L14" s="1660"/>
      <c r="M14" s="1648" t="str">
        <f t="array" ref="M14:M14">IF(ISERROR(MATCH(MID(N14,1,250),MID(note_ter,1,250),0)),"n","y")</f>
        <v>n</v>
      </c>
      <c r="N14" s="1660"/>
      <c r="O14" s="1648" t="str">
        <f>H14&amp;"("&amp;I14&amp;")"</f>
        <v>()</v>
      </c>
      <c r="P14" s="1184"/>
      <c r="Q14" s="1184"/>
      <c r="R14" s="444"/>
      <c r="S14" s="1184"/>
      <c r="T14" s="1184"/>
      <c r="U14" s="1184"/>
      <c r="V14" s="446"/>
      <c r="W14" s="446"/>
      <c r="X14" s="443"/>
      <c r="Y14" s="443"/>
      <c r="Z14" s="443"/>
      <c r="AA14" s="443"/>
      <c r="AB14" s="443"/>
      <c r="AC14" s="443"/>
      <c r="AD14" s="443"/>
      <c r="AE14" s="443"/>
      <c r="AF14" s="443"/>
      <c r="AG14" s="443"/>
      <c r="AH14" s="443"/>
      <c r="AI14" s="443"/>
      <c r="AJ14" s="443"/>
      <c r="AK14" s="443"/>
      <c r="AL14" s="443"/>
      <c r="AM14" s="443"/>
      <c r="AN14" s="443"/>
      <c r="AO14" s="443"/>
      <c r="AP14" s="443"/>
      <c r="AQ14" s="443"/>
      <c r="AR14" s="443"/>
      <c r="AS14" s="443"/>
      <c r="AT14" s="443"/>
      <c r="AU14" s="443"/>
      <c r="AV14" s="443"/>
      <c r="AW14" s="443"/>
      <c r="AX14" s="443"/>
      <c r="AY14" s="443"/>
      <c r="AZ14" s="443"/>
      <c r="BA14" s="443"/>
      <c r="BB14" s="443"/>
      <c r="BC14" s="443"/>
      <c r="BD14" s="443"/>
      <c r="BE14" s="443"/>
      <c r="BF14" s="443"/>
      <c r="BG14" s="443"/>
      <c r="BH14" s="443"/>
      <c r="BI14" s="443"/>
      <c r="BJ14" s="443"/>
      <c r="BK14" s="443"/>
      <c r="BL14" s="443"/>
      <c r="BM14" s="443"/>
      <c r="BN14" s="443"/>
      <c r="BO14" s="443"/>
      <c r="BP14" s="443"/>
      <c r="BQ14" s="443"/>
      <c r="BR14" s="443"/>
      <c r="BS14" s="446"/>
      <c r="BT14" s="446"/>
      <c r="BU14" s="446"/>
      <c r="BV14" s="446"/>
      <c r="BW14" s="446"/>
      <c r="BX14" s="446"/>
      <c r="BY14" s="446"/>
      <c r="BZ14" s="446"/>
      <c r="CA14" s="446"/>
      <c r="CB14" s="446"/>
    </row>
    <row s="1874" customFormat="1" customHeight="1" ht="15">
      <c r="A15" s="2241"/>
      <c r="B15" s="1184"/>
      <c r="C15" s="436"/>
      <c r="D15" s="825"/>
      <c r="E15" s="445"/>
      <c r="F15" s="201"/>
      <c r="G15" s="439" t="s">
        <v>102</v>
      </c>
      <c r="H15" s="211"/>
      <c r="I15" s="448"/>
      <c r="J15" s="1660"/>
      <c r="K15" s="1660"/>
      <c r="L15" s="1660"/>
      <c r="M15" s="1660"/>
      <c r="N15" s="1648"/>
      <c r="O15" s="1660"/>
      <c r="P15" s="1184"/>
      <c r="Q15" s="1184"/>
      <c r="R15" s="444"/>
      <c r="S15" s="1184"/>
      <c r="T15" s="1184"/>
      <c r="U15" s="1184"/>
      <c r="V15" s="446"/>
      <c r="W15" s="446"/>
      <c r="X15" s="443"/>
      <c r="Y15" s="443"/>
      <c r="Z15" s="443"/>
      <c r="AA15" s="443"/>
      <c r="AB15" s="443"/>
      <c r="AC15" s="443"/>
      <c r="AD15" s="443"/>
      <c r="AE15" s="443"/>
      <c r="AF15" s="443"/>
      <c r="AG15" s="443"/>
      <c r="AH15" s="443"/>
      <c r="AI15" s="443"/>
      <c r="AJ15" s="443"/>
      <c r="AK15" s="443"/>
      <c r="AL15" s="443"/>
      <c r="AM15" s="443"/>
      <c r="AN15" s="443"/>
      <c r="AO15" s="443"/>
      <c r="AP15" s="443"/>
      <c r="AQ15" s="443"/>
      <c r="AR15" s="443"/>
      <c r="AS15" s="443"/>
      <c r="AT15" s="443"/>
      <c r="AU15" s="443"/>
      <c r="AV15" s="443"/>
      <c r="AW15" s="443"/>
      <c r="AX15" s="443"/>
      <c r="AY15" s="443"/>
      <c r="AZ15" s="443"/>
      <c r="BA15" s="443"/>
      <c r="BB15" s="443"/>
      <c r="BC15" s="443"/>
      <c r="BD15" s="443"/>
      <c r="BE15" s="443"/>
      <c r="BF15" s="443"/>
      <c r="BG15" s="443"/>
      <c r="BH15" s="443"/>
      <c r="BI15" s="443"/>
      <c r="BJ15" s="443"/>
      <c r="BK15" s="443"/>
      <c r="BL15" s="443"/>
      <c r="BM15" s="443"/>
      <c r="BN15" s="443"/>
      <c r="BO15" s="443"/>
      <c r="BP15" s="443"/>
      <c r="BQ15" s="443"/>
      <c r="BR15" s="443"/>
      <c r="BS15" s="446"/>
      <c r="BT15" s="446"/>
      <c r="BU15" s="446"/>
      <c r="BV15" s="446"/>
      <c r="BW15" s="446"/>
      <c r="BX15" s="446"/>
      <c r="BY15" s="446"/>
      <c r="BZ15" s="446"/>
      <c r="CA15" s="446"/>
      <c r="CB15" s="446"/>
    </row>
    <row r="17" s="1839" customFormat="1" customHeight="1" ht="17.25">
      <c r="A17" s="1839" t="s">
        <v>2243</v>
      </c>
    </row>
    <row r="19" s="1874" customFormat="1" customHeight="1" ht="15">
      <c r="A19" s="1906"/>
      <c r="B19" s="1390">
        <v>1</v>
      </c>
      <c r="C19" s="1390"/>
      <c r="D19" s="824" t="s">
        <v>104</v>
      </c>
      <c r="E19" s="1902"/>
      <c r="F19" s="1907">
        <f>$F$20</f>
        <v>0</v>
      </c>
      <c r="G19" s="1911"/>
      <c r="H19" s="1911"/>
      <c r="I19" s="1909"/>
      <c r="J19" s="1648"/>
      <c r="K19" s="1660"/>
      <c r="L19" s="1660"/>
      <c r="M19" s="1648" t="str">
        <f t="array" ref="M19:M19">IF(ISERROR(MATCH(MID(N19,1,250),MID(note_ter,1,250),0)),"n","y")</f>
        <v>n</v>
      </c>
      <c r="N19" s="1660"/>
      <c r="O19" s="1648" t="str">
        <f>H19&amp;"("&amp;I19&amp;")"</f>
        <v>()</v>
      </c>
      <c r="P19" s="1390"/>
      <c r="Q19" s="1390"/>
      <c r="R19" s="444"/>
      <c r="S19" s="1390"/>
      <c r="T19" s="1390"/>
      <c r="U19" s="1390"/>
      <c r="V19" s="857"/>
      <c r="W19" s="857"/>
      <c r="X19" s="651"/>
      <c r="Y19" s="651"/>
      <c r="Z19" s="651"/>
      <c r="AA19" s="651"/>
      <c r="AB19" s="651"/>
      <c r="AC19" s="651"/>
      <c r="AD19" s="651"/>
      <c r="AE19" s="651"/>
      <c r="AF19" s="651"/>
      <c r="AG19" s="651"/>
      <c r="AH19" s="651"/>
      <c r="AI19" s="651"/>
      <c r="AJ19" s="651"/>
      <c r="AK19" s="651"/>
      <c r="AL19" s="651"/>
      <c r="AM19" s="651"/>
      <c r="AN19" s="651"/>
      <c r="AO19" s="651"/>
      <c r="AP19" s="651"/>
      <c r="AQ19" s="651"/>
      <c r="AR19" s="651"/>
      <c r="AS19" s="651"/>
      <c r="AT19" s="651"/>
      <c r="AU19" s="651"/>
      <c r="AV19" s="651"/>
      <c r="AW19" s="651"/>
      <c r="AX19" s="651"/>
      <c r="AY19" s="651"/>
      <c r="AZ19" s="651"/>
      <c r="BA19" s="651"/>
      <c r="BB19" s="651"/>
      <c r="BC19" s="651"/>
      <c r="BD19" s="651"/>
      <c r="BE19" s="651"/>
      <c r="BF19" s="651"/>
      <c r="BG19" s="651"/>
      <c r="BH19" s="651"/>
      <c r="BI19" s="651"/>
      <c r="BJ19" s="651"/>
      <c r="BK19" s="651"/>
      <c r="BL19" s="651"/>
      <c r="BM19" s="651"/>
      <c r="BN19" s="651"/>
      <c r="BO19" s="651"/>
      <c r="BP19" s="651"/>
      <c r="BQ19" s="651"/>
      <c r="BR19" s="651"/>
      <c r="BS19" s="857"/>
      <c r="BT19" s="857"/>
      <c r="BU19" s="857"/>
      <c r="BV19" s="857"/>
      <c r="BW19" s="857"/>
      <c r="BX19" s="857"/>
      <c r="BY19" s="857"/>
      <c r="BZ19" s="857"/>
      <c r="CA19" s="857"/>
      <c r="CB19" s="857"/>
    </row>
    <row r="21" s="1874" customFormat="1" customHeight="1" ht="15">
      <c r="A21" s="1839" t="s">
        <v>2244</v>
      </c>
      <c r="B21" s="1839"/>
      <c r="C21" s="1839"/>
      <c r="D21" s="1839"/>
      <c r="E21" s="1839"/>
      <c r="F21" s="1839"/>
      <c r="G21" s="1839"/>
      <c r="H21" s="1839"/>
      <c r="I21" s="1839"/>
      <c r="J21" s="1839"/>
      <c r="K21" s="1839"/>
      <c r="L21" s="1839"/>
      <c r="M21" s="1839"/>
      <c r="N21" s="1839"/>
      <c r="O21" s="1839"/>
      <c r="P21" s="1839"/>
      <c r="Q21" s="1839"/>
      <c r="R21" s="1839"/>
      <c r="S21" s="1839"/>
      <c r="T21" s="1839"/>
      <c r="U21" s="208"/>
      <c r="V21" s="1839"/>
      <c r="W21" s="1839"/>
    </row>
    <row s="1874" customFormat="1" customHeight="1" ht="15">
      <c r="U22" s="209"/>
    </row>
    <row s="1877" customFormat="1" customHeight="1" ht="15">
      <c r="A23" s="447"/>
      <c r="B23" s="447"/>
      <c r="C23" s="1752" t="s">
        <v>104</v>
      </c>
      <c r="D23" s="2132" t="s">
        <v>170</v>
      </c>
      <c r="E23" s="2133"/>
      <c r="F23" s="2131" t="s">
        <v>19</v>
      </c>
      <c r="G23" s="2581"/>
      <c r="H23" s="2151">
        <v>1</v>
      </c>
      <c r="I23" s="2583" t="str">
        <f>IF(U23="","",INDEX(TERRITORY_MR_LIST,MATCH(U23,TERRITORY_LIST_ID,0)))</f>
        <v/>
      </c>
      <c r="J23" s="2131" t="s">
        <v>19</v>
      </c>
      <c r="K23" s="856"/>
      <c r="L23" s="1806" t="s">
        <v>170</v>
      </c>
      <c r="M23" s="627"/>
      <c r="N23" s="628"/>
      <c r="O23" s="628"/>
      <c r="P23" s="628"/>
      <c r="Q23" s="628"/>
      <c r="R23" s="628"/>
      <c r="S23" s="628"/>
      <c r="T23" s="628"/>
      <c r="U23" s="629"/>
      <c r="V23" s="628"/>
      <c r="W23" s="628"/>
      <c r="X23" s="619"/>
      <c r="Y23" s="619" t="s">
        <v>178</v>
      </c>
      <c r="Z23" s="619">
        <v>1705000</v>
      </c>
      <c r="AA23" s="619"/>
      <c r="AB23" s="619"/>
      <c r="AC23" s="619"/>
      <c r="AD23" s="619"/>
      <c r="AE23" s="619"/>
      <c r="AF23" s="619"/>
      <c r="AG23" s="619"/>
      <c r="AH23" s="619"/>
      <c r="AI23" s="619"/>
      <c r="AJ23" s="619"/>
      <c r="AK23" s="619"/>
      <c r="AL23" s="619"/>
    </row>
    <row s="1877" customFormat="1" customHeight="1" ht="15">
      <c r="A24" s="447"/>
      <c r="B24" s="447"/>
      <c r="C24" s="200"/>
      <c r="D24" s="2132"/>
      <c r="E24" s="2134"/>
      <c r="F24" s="2131"/>
      <c r="G24" s="2582"/>
      <c r="H24" s="2151"/>
      <c r="I24" s="2584"/>
      <c r="J24" s="2131"/>
      <c r="K24" s="445"/>
      <c r="L24" s="201"/>
      <c r="M24" s="631" t="s">
        <v>179</v>
      </c>
      <c r="N24" s="628"/>
      <c r="O24" s="628"/>
      <c r="P24" s="628"/>
      <c r="Q24" s="628"/>
      <c r="R24" s="628"/>
      <c r="S24" s="628"/>
      <c r="T24" s="628"/>
      <c r="U24" s="629"/>
      <c r="V24" s="628"/>
      <c r="W24" s="628"/>
      <c r="X24" s="619"/>
      <c r="Y24" s="619"/>
      <c r="Z24" s="619"/>
      <c r="AA24" s="619"/>
      <c r="AB24" s="619"/>
      <c r="AC24" s="619"/>
      <c r="AD24" s="619"/>
      <c r="AE24" s="619"/>
      <c r="AF24" s="619"/>
      <c r="AG24" s="619"/>
      <c r="AH24" s="619"/>
      <c r="AI24" s="619"/>
      <c r="AJ24" s="619"/>
      <c r="AK24" s="619"/>
      <c r="AL24" s="619"/>
    </row>
    <row s="1877" customFormat="1" customHeight="1" ht="15">
      <c r="A25" s="447"/>
      <c r="B25" s="447"/>
      <c r="C25" s="200"/>
      <c r="D25" s="2132"/>
      <c r="E25" s="2135"/>
      <c r="F25" s="2131"/>
      <c r="G25" s="445"/>
      <c r="H25" s="201"/>
      <c r="I25" s="604" t="s">
        <v>208</v>
      </c>
      <c r="J25" s="201"/>
      <c r="K25" s="201"/>
      <c r="L25" s="201"/>
      <c r="M25" s="632"/>
      <c r="N25" s="628"/>
      <c r="O25" s="628"/>
      <c r="P25" s="628"/>
      <c r="Q25" s="628"/>
      <c r="R25" s="628"/>
      <c r="S25" s="628"/>
      <c r="T25" s="628"/>
      <c r="U25" s="629"/>
      <c r="V25" s="628"/>
      <c r="W25" s="628"/>
      <c r="X25" s="619"/>
      <c r="Y25" s="619"/>
      <c r="Z25" s="619"/>
      <c r="AA25" s="619"/>
      <c r="AB25" s="619"/>
      <c r="AC25" s="619"/>
      <c r="AD25" s="619"/>
      <c r="AE25" s="619"/>
      <c r="AF25" s="619"/>
      <c r="AG25" s="619"/>
      <c r="AH25" s="619"/>
      <c r="AI25" s="619"/>
      <c r="AJ25" s="619"/>
      <c r="AK25" s="619"/>
      <c r="AL25" s="619"/>
    </row>
    <row s="1874" customFormat="1" customHeight="1" ht="15">
      <c r="U26" s="209"/>
    </row>
    <row s="1874" customFormat="1" customHeight="1" ht="15">
      <c r="A27" s="1839" t="s">
        <v>2245</v>
      </c>
      <c r="B27" s="1839"/>
      <c r="C27" s="1839"/>
      <c r="D27" s="1839"/>
      <c r="E27" s="1839"/>
      <c r="F27" s="1839"/>
      <c r="G27" s="1839"/>
      <c r="H27" s="1839"/>
      <c r="I27" s="1839"/>
      <c r="J27" s="1839"/>
      <c r="K27" s="1839"/>
      <c r="L27" s="1839"/>
      <c r="M27" s="1839"/>
      <c r="N27" s="1839"/>
      <c r="O27" s="1839"/>
      <c r="P27" s="1839"/>
      <c r="Q27" s="1839"/>
      <c r="R27" s="1839"/>
      <c r="S27" s="1839"/>
      <c r="T27" s="1839"/>
      <c r="U27" s="208"/>
      <c r="V27" s="1839"/>
      <c r="W27" s="1839"/>
    </row>
    <row s="1874" customFormat="1" customHeight="1" ht="15">
      <c r="U28" s="209"/>
    </row>
    <row s="1877" customFormat="1" customHeight="1" ht="15">
      <c r="A29" s="447"/>
      <c r="B29" s="447"/>
      <c r="C29" s="200"/>
      <c r="D29" s="1845"/>
      <c r="E29" s="1845"/>
      <c r="F29" s="1845"/>
      <c r="G29" s="2585" t="s">
        <v>104</v>
      </c>
      <c r="H29" s="2127">
        <v>1</v>
      </c>
      <c r="I29" s="2586" t="str">
        <f>IF(U29="","",INDEX(TERRITORY_MR_LIST,MATCH(U29,TERRITORY_LIST_ID,0)))</f>
        <v/>
      </c>
      <c r="J29" s="2131" t="s">
        <v>19</v>
      </c>
      <c r="K29" s="856"/>
      <c r="L29" s="1806" t="s">
        <v>170</v>
      </c>
      <c r="M29" s="627"/>
      <c r="N29" s="628"/>
      <c r="O29" s="628"/>
      <c r="P29" s="628"/>
      <c r="Q29" s="628"/>
      <c r="R29" s="628"/>
      <c r="S29" s="628"/>
      <c r="T29" s="628"/>
      <c r="U29" s="629"/>
      <c r="V29" s="628"/>
      <c r="W29" s="628"/>
      <c r="X29" s="619"/>
      <c r="Y29" s="619" t="s">
        <v>178</v>
      </c>
      <c r="Z29" s="619">
        <v>1705000</v>
      </c>
      <c r="AA29" s="619"/>
      <c r="AB29" s="619"/>
      <c r="AC29" s="619"/>
      <c r="AD29" s="619"/>
      <c r="AE29" s="619"/>
      <c r="AF29" s="619"/>
      <c r="AG29" s="619"/>
      <c r="AH29" s="619"/>
      <c r="AI29" s="619"/>
      <c r="AJ29" s="619"/>
      <c r="AK29" s="619"/>
      <c r="AL29" s="619"/>
    </row>
    <row s="1877" customFormat="1" customHeight="1" ht="15">
      <c r="A30" s="447"/>
      <c r="B30" s="447"/>
      <c r="C30" s="200"/>
      <c r="D30" s="1845"/>
      <c r="E30" s="1845"/>
      <c r="F30" s="1845"/>
      <c r="G30" s="2585"/>
      <c r="H30" s="2127"/>
      <c r="I30" s="2586"/>
      <c r="J30" s="2131"/>
      <c r="K30" s="445"/>
      <c r="L30" s="201"/>
      <c r="M30" s="631" t="s">
        <v>179</v>
      </c>
      <c r="N30" s="628"/>
      <c r="O30" s="628"/>
      <c r="P30" s="628"/>
      <c r="Q30" s="628"/>
      <c r="R30" s="628"/>
      <c r="S30" s="628"/>
      <c r="T30" s="628"/>
      <c r="U30" s="629"/>
      <c r="V30" s="628"/>
      <c r="W30" s="628"/>
      <c r="X30" s="619"/>
      <c r="Y30" s="619"/>
      <c r="Z30" s="619"/>
      <c r="AA30" s="619"/>
      <c r="AB30" s="619"/>
      <c r="AC30" s="619"/>
      <c r="AD30" s="619"/>
      <c r="AE30" s="619"/>
      <c r="AF30" s="619"/>
      <c r="AG30" s="619"/>
      <c r="AH30" s="619"/>
      <c r="AI30" s="619"/>
      <c r="AJ30" s="619"/>
      <c r="AK30" s="619"/>
      <c r="AL30" s="619"/>
    </row>
    <row s="1874" customFormat="1" customHeight="1" ht="15">
      <c r="U31" s="209"/>
    </row>
    <row s="1874" customFormat="1" customHeight="1" ht="15">
      <c r="A32" s="1839" t="s">
        <v>2246</v>
      </c>
      <c r="B32" s="1839"/>
      <c r="C32" s="1839"/>
      <c r="D32" s="1839"/>
      <c r="E32" s="1839"/>
      <c r="F32" s="1839"/>
      <c r="G32" s="1839"/>
      <c r="H32" s="1839"/>
      <c r="I32" s="1839"/>
      <c r="J32" s="1839"/>
      <c r="K32" s="1839"/>
      <c r="L32" s="1839"/>
      <c r="M32" s="1839"/>
      <c r="N32" s="1839"/>
      <c r="O32" s="1839"/>
      <c r="P32" s="1839"/>
      <c r="Q32" s="1839"/>
      <c r="R32" s="1839"/>
      <c r="S32" s="1839"/>
      <c r="T32" s="1839"/>
      <c r="U32" s="208"/>
      <c r="V32" s="1839"/>
      <c r="W32" s="1839"/>
    </row>
    <row s="1874" customFormat="1" customHeight="1" ht="15">
      <c r="U33" s="209"/>
    </row>
    <row s="1877" customFormat="1" customHeight="1" ht="15">
      <c r="A34" s="447"/>
      <c r="B34" s="447"/>
      <c r="C34" s="200"/>
      <c r="D34" s="1845"/>
      <c r="E34" s="1845"/>
      <c r="F34" s="1845"/>
      <c r="G34" s="1845"/>
      <c r="H34" s="1845"/>
      <c r="I34" s="1845"/>
      <c r="J34" s="1845"/>
      <c r="K34" s="1823" t="s">
        <v>104</v>
      </c>
      <c r="L34" s="1753" t="s">
        <v>170</v>
      </c>
      <c r="M34" s="835"/>
      <c r="N34" s="836"/>
      <c r="O34" s="628"/>
      <c r="P34" s="628"/>
      <c r="Q34" s="628"/>
      <c r="R34" s="628"/>
      <c r="S34" s="628"/>
      <c r="T34" s="628"/>
      <c r="U34" s="629"/>
      <c r="V34" s="628"/>
      <c r="W34" s="628"/>
      <c r="X34" s="619"/>
      <c r="Y34" s="619" t="s">
        <v>178</v>
      </c>
      <c r="Z34" s="619">
        <v>1705000</v>
      </c>
      <c r="AA34" s="619"/>
      <c r="AB34" s="619"/>
      <c r="AC34" s="619"/>
      <c r="AD34" s="619"/>
      <c r="AE34" s="619"/>
      <c r="AF34" s="619"/>
      <c r="AG34" s="619"/>
      <c r="AH34" s="619"/>
      <c r="AI34" s="619"/>
      <c r="AJ34" s="619"/>
      <c r="AK34" s="619"/>
      <c r="AL34" s="619"/>
    </row>
    <row s="1874" customFormat="1" customHeight="1" ht="15">
      <c r="U35" s="209"/>
    </row>
    <row s="1874" customFormat="1" customHeight="1" ht="15">
      <c r="U36" s="209"/>
    </row>
    <row s="1839" customFormat="1" customHeight="1" ht="11.25">
      <c r="A37" s="1839" t="s">
        <v>2247</v>
      </c>
    </row>
    <row customHeight="1" ht="11.25"/>
    <row s="479" customFormat="1" customHeight="1" ht="22.5">
      <c r="A39" s="1815"/>
      <c r="B39" s="481"/>
      <c r="C39" s="883"/>
      <c r="D39" s="464"/>
      <c r="E39" s="884"/>
      <c r="F39" s="1836"/>
      <c r="G39" s="1846"/>
      <c r="H39" s="499"/>
    </row>
    <row customHeight="1" ht="11.25"/>
    <row s="1839" customFormat="1" customHeight="1" ht="11.25">
      <c r="A41" s="1839" t="s">
        <v>2248</v>
      </c>
    </row>
    <row customHeight="1" ht="11.25"/>
    <row s="479" customFormat="1" customHeight="1" ht="22.5">
      <c r="A43" s="481"/>
      <c r="B43" s="481"/>
      <c r="C43" s="481"/>
      <c r="D43" s="464"/>
      <c r="E43" s="884"/>
      <c r="F43" s="885"/>
      <c r="G43" s="1846"/>
      <c r="H43" s="499"/>
    </row>
    <row customHeight="1" ht="11.25"/>
    <row s="1839" customFormat="1" customHeight="1" ht="11.25">
      <c r="A45" s="1839" t="s">
        <v>2249</v>
      </c>
    </row>
    <row customHeight="1" ht="11.25"/>
    <row s="479" customFormat="1" customHeight="1" ht="24">
      <c r="A47" s="2226" t="s">
        <v>397</v>
      </c>
      <c r="B47" s="526"/>
      <c r="C47" s="2237"/>
      <c r="D47" s="469" t="str">
        <f>A47</f>
        <v>5.1</v>
      </c>
      <c r="E47" s="466" t="s">
        <v>398</v>
      </c>
      <c r="F47" s="2000" t="s">
        <v>390</v>
      </c>
      <c r="G47" s="468" t="s">
        <v>399</v>
      </c>
      <c r="H47" s="499"/>
      <c r="I47" s="876"/>
    </row>
    <row s="479" customFormat="1" customHeight="1" ht="22.5">
      <c r="A48" s="2226"/>
      <c r="B48" s="526"/>
      <c r="C48" s="2237"/>
      <c r="D48" s="464" t="str">
        <f>D47&amp;".1"</f>
        <v>5.1.1</v>
      </c>
      <c r="E48" s="463" t="s">
        <v>400</v>
      </c>
      <c r="F48" s="2001" t="s">
        <v>22</v>
      </c>
      <c r="G48" s="498"/>
      <c r="H48" s="499"/>
      <c r="I48" s="876"/>
    </row>
    <row s="479" customFormat="1" customHeight="1" ht="22.5">
      <c r="A49" s="2226"/>
      <c r="B49" s="526"/>
      <c r="C49" s="2237"/>
      <c r="D49" s="464" t="str">
        <f>D47&amp;".2"</f>
        <v>5.1.2</v>
      </c>
      <c r="E49" s="463" t="s">
        <v>401</v>
      </c>
      <c r="F49" s="1756" t="s">
        <v>22</v>
      </c>
      <c r="G49" s="468" t="s">
        <v>402</v>
      </c>
      <c r="H49" s="499"/>
      <c r="I49" s="876"/>
    </row>
    <row s="479" customFormat="1" customHeight="1" ht="22.5">
      <c r="A50" s="2226"/>
      <c r="B50" s="526"/>
      <c r="C50" s="2237"/>
      <c r="D50" s="464" t="str">
        <f>D47&amp;".3"</f>
        <v>5.1.3</v>
      </c>
      <c r="E50" s="463" t="s">
        <v>403</v>
      </c>
      <c r="F50" s="2001" t="s">
        <v>22</v>
      </c>
      <c r="G50" s="498"/>
      <c r="H50" s="499"/>
      <c r="I50" s="876"/>
    </row>
    <row s="479" customFormat="1" customHeight="1" ht="22.5">
      <c r="A51" s="2226"/>
      <c r="B51" s="526"/>
      <c r="C51" s="2237"/>
      <c r="D51" s="464" t="str">
        <f>D47&amp;".4"</f>
        <v>5.1.4</v>
      </c>
      <c r="E51" s="463" t="s">
        <v>404</v>
      </c>
      <c r="F51" s="2001" t="s">
        <v>22</v>
      </c>
      <c r="G51" s="468" t="s">
        <v>405</v>
      </c>
      <c r="H51" s="499"/>
      <c r="I51" s="876"/>
    </row>
    <row r="54" s="1839" customFormat="1" customHeight="1" ht="17.25">
      <c r="A54" s="1839" t="s">
        <v>2250</v>
      </c>
    </row>
    <row r="56" s="1636" customFormat="1" customHeight="1" ht="18.75">
      <c r="A56" s="113"/>
      <c r="B56" s="1847"/>
      <c r="C56" s="1847"/>
      <c r="D56" s="1848"/>
      <c r="E56" s="1833"/>
      <c r="F56" s="892">
        <v>13</v>
      </c>
      <c r="G56" s="891"/>
      <c r="H56" s="817"/>
      <c r="I56" s="815"/>
      <c r="J56" s="544" t="s">
        <v>66</v>
      </c>
      <c r="K56" s="1849" t="s">
        <v>22</v>
      </c>
      <c r="L56" s="113"/>
      <c r="M56" s="1660"/>
      <c r="N56" s="1660"/>
      <c r="O56" s="1660"/>
      <c r="P56" s="540" t="s">
        <v>476</v>
      </c>
      <c r="Q56" s="540" t="s">
        <v>477</v>
      </c>
      <c r="R56" s="541" t="s">
        <v>478</v>
      </c>
      <c r="S56" s="1660" t="s">
        <v>479</v>
      </c>
      <c r="T56" s="1660"/>
      <c r="U56" s="1660"/>
      <c r="V56" s="1660"/>
    </row>
    <row r="58" s="1839" customFormat="1" customHeight="1" ht="11.25">
      <c r="A58" s="1839" t="s">
        <v>2251</v>
      </c>
    </row>
    <row r="60" s="1659" customFormat="1" customHeight="1" ht="14.25">
      <c r="C60" s="1712"/>
      <c r="D60" s="1893"/>
      <c r="E60" s="1801" t="s">
        <v>22</v>
      </c>
      <c r="F60" s="1892"/>
      <c r="G60" s="880"/>
      <c r="H60" s="1802"/>
      <c r="I60" s="1802"/>
      <c r="J60" s="457"/>
      <c r="K60" s="1887"/>
      <c r="L60" s="456"/>
      <c r="M60" s="1887"/>
      <c r="N60" s="457"/>
      <c r="O60" s="1887"/>
      <c r="P60" s="457"/>
      <c r="Q60" s="1887"/>
      <c r="R60" s="457"/>
      <c r="S60" s="878"/>
      <c r="T60" s="1802"/>
      <c r="U60" s="457"/>
      <c r="V60" s="457"/>
      <c r="W60" s="1891"/>
      <c r="X60" s="1802"/>
      <c r="Y60" s="457"/>
      <c r="Z60" s="457"/>
      <c r="AA60" s="1891"/>
      <c r="AB60" s="1802"/>
      <c r="AC60" s="457"/>
      <c r="AD60" s="1891"/>
      <c r="AE60" s="113"/>
      <c r="AF60" s="113"/>
      <c r="AG60" s="113"/>
      <c r="AH60" s="113"/>
      <c r="AJ60" s="1660"/>
      <c r="AK60" s="1660"/>
      <c r="AL60" s="1660"/>
      <c r="AM60" s="1660"/>
      <c r="AN60" s="1660"/>
      <c r="AO60" s="1660"/>
      <c r="AP60" s="1648" t="s">
        <v>465</v>
      </c>
      <c r="AQ60" s="1648" t="s">
        <v>465</v>
      </c>
      <c r="AR60" s="1660"/>
      <c r="AS60" s="1660"/>
    </row>
    <row r="62" s="1839" customFormat="1" customHeight="1" ht="11.25">
      <c r="A62" s="1839" t="s">
        <v>2252</v>
      </c>
    </row>
    <row r="64" s="1847" customFormat="1" customHeight="1" ht="15">
      <c r="A64" s="169" t="s">
        <v>90</v>
      </c>
      <c r="B64" s="149" t="s">
        <v>22</v>
      </c>
      <c r="C64" s="1850"/>
      <c r="D64" s="152"/>
      <c r="E64" s="405"/>
      <c r="F64" s="405"/>
      <c r="G64" s="1827"/>
      <c r="H64" s="1849"/>
      <c r="I64" s="1828"/>
      <c r="K64" s="296"/>
      <c r="L64" s="297"/>
    </row>
    <row r="66" s="1839" customFormat="1" customHeight="1" ht="11.25">
      <c r="A66" s="1839" t="s">
        <v>2253</v>
      </c>
    </row>
    <row r="68" s="1659" customFormat="1" customHeight="1" ht="14.25">
      <c r="A68" s="367"/>
      <c r="B68" s="1184"/>
      <c r="C68" s="400"/>
      <c r="D68" s="1834"/>
      <c r="E68" s="910"/>
      <c r="F68" s="1849"/>
      <c r="G68" s="113"/>
      <c r="I68" s="1648"/>
      <c r="J68" s="1648"/>
    </row>
    <row r="70" s="1839" customFormat="1" customHeight="1" ht="11.25">
      <c r="A70" s="1839" t="s">
        <v>2254</v>
      </c>
    </row>
    <row r="72" s="1659" customFormat="1" customHeight="1" ht="27">
      <c r="A72" s="1190"/>
      <c r="B72" s="1190"/>
      <c r="C72" s="1190"/>
      <c r="D72" s="1184"/>
      <c r="E72" s="1851"/>
      <c r="F72" s="2605"/>
      <c r="G72" s="2606"/>
      <c r="H72" s="2607" t="s">
        <v>66</v>
      </c>
      <c r="I72" s="2609"/>
      <c r="J72" s="2572"/>
      <c r="K72" s="2611"/>
      <c r="L72" s="2574"/>
      <c r="M72" s="2574"/>
      <c r="N72" s="2575"/>
      <c r="O72" s="2575"/>
      <c r="P72" s="2576">
        <f>DATEDIF(DATEVALUE(N72),DATEVALUE(O72),"y")&amp;"г. "&amp;DATEDIF(DATEVALUE(N72),DATEVALUE(O72),"ym")&amp;"мес. "&amp;DATEVALUE(O72)-DATE(YEAR(DATEVALUE(O72)),MONTH(DATEVALUE(O72)),1)&amp;"дн. "</f>
      </c>
      <c r="Q72" s="2571"/>
      <c r="R72" s="2571"/>
      <c r="S72" s="2571"/>
      <c r="T72" s="2572"/>
      <c r="U72" s="2571"/>
      <c r="V72" s="2571"/>
      <c r="W72" s="2571"/>
      <c r="X72" s="2572"/>
      <c r="Y72" s="2569" t="s">
        <v>66</v>
      </c>
      <c r="Z72" s="1832"/>
      <c r="AA72" s="1816">
        <v>1</v>
      </c>
      <c r="AB72" s="1266"/>
      <c r="AD72" s="1660" t="s">
        <v>2255</v>
      </c>
    </row>
    <row s="1659" customFormat="1" customHeight="1" ht="10.5">
      <c r="A73" s="1190"/>
      <c r="B73" s="1190"/>
      <c r="C73" s="1190"/>
      <c r="D73" s="1184"/>
      <c r="E73" s="971"/>
      <c r="F73" s="2605"/>
      <c r="G73" s="2606"/>
      <c r="H73" s="2608"/>
      <c r="I73" s="2610"/>
      <c r="J73" s="2573"/>
      <c r="K73" s="2611"/>
      <c r="L73" s="2574"/>
      <c r="M73" s="2574"/>
      <c r="N73" s="2575"/>
      <c r="O73" s="2575"/>
      <c r="P73" s="2576"/>
      <c r="Q73" s="2571"/>
      <c r="R73" s="2571"/>
      <c r="S73" s="2571"/>
      <c r="T73" s="2573"/>
      <c r="U73" s="2571"/>
      <c r="V73" s="2571"/>
      <c r="W73" s="2571"/>
      <c r="X73" s="2573"/>
      <c r="Y73" s="2570"/>
      <c r="Z73" s="371"/>
      <c r="AA73" s="596"/>
      <c r="AB73" s="676" t="s">
        <v>2256</v>
      </c>
    </row>
    <row r="75" s="1839" customFormat="1" customHeight="1" ht="11.25">
      <c r="A75" s="1839" t="s">
        <v>2257</v>
      </c>
    </row>
    <row r="77" s="1659" customFormat="1" customHeight="1" ht="27">
      <c r="A77" s="1190"/>
      <c r="B77" s="1190"/>
      <c r="C77" s="1190"/>
      <c r="D77" s="1184"/>
      <c r="E77" s="1851"/>
      <c r="F77" s="1821"/>
      <c r="G77" s="1771"/>
      <c r="H77" s="1772"/>
      <c r="I77" s="1773"/>
      <c r="J77" s="1774"/>
      <c r="K77" s="1775"/>
      <c r="L77" s="1776"/>
      <c r="M77" s="1776"/>
      <c r="N77" s="1777"/>
      <c r="O77" s="1777"/>
      <c r="P77" s="1778"/>
      <c r="Q77" s="1779"/>
      <c r="R77" s="1779"/>
      <c r="S77" s="1779"/>
      <c r="T77" s="1774"/>
      <c r="U77" s="1779"/>
      <c r="V77" s="1779"/>
      <c r="W77" s="1779"/>
      <c r="X77" s="1774"/>
      <c r="Y77" s="1772"/>
      <c r="Z77" s="1832"/>
      <c r="AA77" s="1816">
        <v>1</v>
      </c>
      <c r="AB77" s="1266"/>
      <c r="AD77" s="1660" t="s">
        <v>2255</v>
      </c>
    </row>
    <row r="79" s="1839" customFormat="1" customHeight="1" ht="11.25">
      <c r="A79" s="1839" t="s">
        <v>2258</v>
      </c>
    </row>
    <row customHeight="1" ht="17.25"/>
    <row s="1659" customFormat="1" customHeight="1" ht="21">
      <c r="A81" s="1191"/>
      <c r="B81" s="1190"/>
      <c r="C81" s="1190"/>
      <c r="D81" s="1184"/>
      <c r="E81" s="1194"/>
      <c r="F81" s="1146">
        <f>INDEX(IP_MAIN_LIST_NAME_IP,MATCH(A81,IP_MAIN_LIST_IP_ID,0))&amp;" ("&amp;INDEX(IP_MAIN_START_DATE,MATCH(A81,IP_MAIN_LIST_IP_ID,0))&amp;"-"&amp;INDEX(IP_MAIN_END_DATE,MATCH(A81,IP_MAIN_LIST_IP_ID,0))&amp;")"</f>
      </c>
      <c r="G81" s="1147"/>
      <c r="H81" s="1147"/>
      <c r="I81" s="1209"/>
      <c r="J81" s="1209"/>
      <c r="K81" s="1210"/>
      <c r="L81" s="1210"/>
      <c r="M81" s="1210"/>
      <c r="N81" s="1211"/>
      <c r="O81" s="1211"/>
      <c r="P81" s="1211"/>
      <c r="Q81" s="1211"/>
      <c r="R81" s="1211"/>
      <c r="S81" s="1211"/>
      <c r="T81" s="1211"/>
      <c r="U81" s="1211"/>
      <c r="V81" s="1211"/>
      <c r="W81" s="1211"/>
      <c r="X81" s="1211"/>
      <c r="Y81" s="1211"/>
      <c r="Z81" s="1211"/>
      <c r="AA81" s="1211"/>
      <c r="AB81" s="1211"/>
      <c r="AC81" s="1211"/>
      <c r="AD81" s="1211"/>
      <c r="AE81" s="1212"/>
      <c r="AF81" s="1210"/>
      <c r="AG81" s="1210"/>
      <c r="AH81" s="1210"/>
      <c r="AI81" s="1210"/>
      <c r="AJ81" s="1210"/>
      <c r="AK81" s="1210"/>
      <c r="AL81" s="2012"/>
      <c r="AM81" s="1847"/>
      <c r="AN81" s="1847"/>
      <c r="AO81" s="1847"/>
      <c r="AP81" s="1847"/>
      <c r="AQ81" s="1847"/>
      <c r="AR81" s="1847"/>
      <c r="AS81" s="1847"/>
      <c r="AT81" s="1847"/>
      <c r="AU81" s="1847"/>
      <c r="AV81" s="1847"/>
      <c r="AW81" s="1847"/>
      <c r="AX81" s="1847"/>
      <c r="AY81" s="1847"/>
      <c r="AZ81" s="1847"/>
      <c r="BA81" s="1847"/>
      <c r="BB81" s="1847"/>
      <c r="BC81" s="1847"/>
      <c r="BD81" s="1847"/>
      <c r="BE81" s="1847"/>
      <c r="BF81" s="1847"/>
    </row>
    <row s="1659" customFormat="1" customHeight="1" ht="0.75">
      <c r="A82" s="1190"/>
      <c r="B82" s="1190"/>
      <c r="C82" s="1190"/>
      <c r="D82" s="1184"/>
      <c r="E82" s="1194"/>
      <c r="F82" s="2560"/>
      <c r="G82" s="2539"/>
      <c r="H82" s="2564" t="s">
        <v>460</v>
      </c>
      <c r="I82" s="2565"/>
      <c r="J82" s="2566"/>
      <c r="K82" s="2566"/>
      <c r="L82" s="2558"/>
      <c r="M82" s="2292"/>
      <c r="N82" s="2060"/>
      <c r="O82" s="2059"/>
      <c r="P82" s="2060"/>
      <c r="Q82" s="2060"/>
      <c r="R82" s="2060"/>
      <c r="S82" s="2060"/>
      <c r="T82" s="2060"/>
      <c r="U82" s="2060"/>
      <c r="V82" s="2060"/>
      <c r="W82" s="2060"/>
      <c r="X82" s="2060"/>
      <c r="Y82" s="2060"/>
      <c r="Z82" s="2060"/>
      <c r="AA82" s="2060"/>
      <c r="AB82" s="2060"/>
      <c r="AC82" s="2060"/>
      <c r="AD82" s="2060"/>
      <c r="AE82" s="2060"/>
      <c r="AF82" s="2562"/>
      <c r="AG82" s="2558"/>
      <c r="AH82" s="2558"/>
      <c r="AI82" s="2562"/>
      <c r="AJ82" s="2558"/>
      <c r="AK82" s="2558"/>
      <c r="AL82" s="2012"/>
      <c r="AM82" s="1847"/>
      <c r="AN82" s="1847"/>
      <c r="AO82" s="1847"/>
      <c r="AP82" s="1847"/>
      <c r="AQ82" s="1847"/>
      <c r="AR82" s="1847"/>
      <c r="AS82" s="1847"/>
      <c r="AT82" s="1847"/>
      <c r="AU82" s="1847"/>
      <c r="AV82" s="1847"/>
      <c r="AW82" s="1847"/>
      <c r="AX82" s="1847"/>
      <c r="AY82" s="1847"/>
      <c r="AZ82" s="1847"/>
      <c r="BA82" s="1847"/>
      <c r="BB82" s="1847"/>
      <c r="BC82" s="1847"/>
      <c r="BD82" s="1847"/>
      <c r="BE82" s="1847"/>
      <c r="BF82" s="1847"/>
    </row>
    <row s="1659" customFormat="1" customHeight="1" ht="0.75">
      <c r="A83" s="1190"/>
      <c r="B83" s="1190"/>
      <c r="C83" s="1190"/>
      <c r="D83" s="1184"/>
      <c r="E83" s="1194"/>
      <c r="F83" s="2560"/>
      <c r="G83" s="2539"/>
      <c r="H83" s="2564"/>
      <c r="I83" s="2565"/>
      <c r="J83" s="2566"/>
      <c r="K83" s="2566"/>
      <c r="L83" s="2558"/>
      <c r="M83" s="2292"/>
      <c r="N83" s="2567"/>
      <c r="O83" s="2568"/>
      <c r="P83" s="2612"/>
      <c r="Q83" s="2563"/>
      <c r="R83" s="2563"/>
      <c r="S83" s="2563"/>
      <c r="T83" s="2563"/>
      <c r="U83" s="2563"/>
      <c r="V83" s="2563"/>
      <c r="W83" s="2563"/>
      <c r="X83" s="2563"/>
      <c r="Y83" s="2563"/>
      <c r="Z83" s="2061"/>
      <c r="AA83" s="2062"/>
      <c r="AB83" s="2062"/>
      <c r="AC83" s="2063"/>
      <c r="AD83" s="2063"/>
      <c r="AE83" s="2064"/>
      <c r="AF83" s="2562"/>
      <c r="AG83" s="2558"/>
      <c r="AH83" s="2558"/>
      <c r="AI83" s="2562"/>
      <c r="AJ83" s="2558"/>
      <c r="AK83" s="2558"/>
      <c r="AL83" s="2012"/>
      <c r="AM83" s="1847"/>
      <c r="AN83" s="1847"/>
      <c r="AO83" s="1847"/>
      <c r="AP83" s="1847"/>
      <c r="AQ83" s="1847"/>
      <c r="AR83" s="1847"/>
      <c r="AS83" s="1847"/>
      <c r="AT83" s="1847"/>
      <c r="AU83" s="1847"/>
      <c r="AV83" s="1847"/>
      <c r="AW83" s="1847"/>
      <c r="AX83" s="1847"/>
      <c r="AY83" s="1847"/>
      <c r="AZ83" s="1847"/>
      <c r="BA83" s="1847"/>
      <c r="BB83" s="1847"/>
      <c r="BC83" s="1847"/>
      <c r="BD83" s="1847"/>
      <c r="BE83" s="1847"/>
      <c r="BF83" s="1847"/>
    </row>
    <row s="1659" customFormat="1" customHeight="1" ht="0.75">
      <c r="A84" s="1190"/>
      <c r="B84" s="1190"/>
      <c r="C84" s="1190"/>
      <c r="D84" s="1184"/>
      <c r="E84" s="1194"/>
      <c r="F84" s="2560"/>
      <c r="G84" s="2539"/>
      <c r="H84" s="2564"/>
      <c r="I84" s="2565"/>
      <c r="J84" s="2566"/>
      <c r="K84" s="2566"/>
      <c r="L84" s="2558"/>
      <c r="M84" s="2292"/>
      <c r="N84" s="2567"/>
      <c r="O84" s="2568"/>
      <c r="P84" s="2613"/>
      <c r="Q84" s="2563"/>
      <c r="R84" s="2563"/>
      <c r="S84" s="2563"/>
      <c r="T84" s="2563"/>
      <c r="U84" s="2563"/>
      <c r="V84" s="2563"/>
      <c r="W84" s="2563"/>
      <c r="X84" s="2563"/>
      <c r="Y84" s="2563"/>
      <c r="Z84" s="2065"/>
      <c r="AA84" s="2066"/>
      <c r="AB84" s="2067"/>
      <c r="AC84" s="2068"/>
      <c r="AD84" s="2067"/>
      <c r="AE84" s="2068"/>
      <c r="AF84" s="2562"/>
      <c r="AG84" s="2558"/>
      <c r="AH84" s="2558"/>
      <c r="AI84" s="2562"/>
      <c r="AJ84" s="2558"/>
      <c r="AK84" s="2558"/>
      <c r="AL84" s="2012"/>
      <c r="AM84" s="1847"/>
      <c r="AN84" s="1847"/>
      <c r="AO84" s="1847"/>
      <c r="AP84" s="1847"/>
      <c r="AQ84" s="1847"/>
      <c r="AR84" s="1847"/>
      <c r="AS84" s="1847"/>
      <c r="AT84" s="1847"/>
      <c r="AU84" s="1847"/>
      <c r="AV84" s="1847"/>
      <c r="AW84" s="1847"/>
      <c r="AX84" s="1847"/>
      <c r="AY84" s="1847"/>
      <c r="AZ84" s="1847"/>
      <c r="BA84" s="1847"/>
      <c r="BB84" s="1847"/>
      <c r="BC84" s="1847"/>
      <c r="BD84" s="1847"/>
      <c r="BE84" s="1847"/>
      <c r="BF84" s="1847"/>
    </row>
    <row s="1659" customFormat="1" customHeight="1" ht="0.75">
      <c r="A85" s="1190"/>
      <c r="B85" s="1190"/>
      <c r="C85" s="1190"/>
      <c r="D85" s="1184"/>
      <c r="E85" s="1194"/>
      <c r="F85" s="2560"/>
      <c r="G85" s="2539"/>
      <c r="H85" s="2564"/>
      <c r="I85" s="2565"/>
      <c r="J85" s="2566"/>
      <c r="K85" s="2566"/>
      <c r="L85" s="2558"/>
      <c r="M85" s="2292"/>
      <c r="N85" s="2567"/>
      <c r="O85" s="2568"/>
      <c r="P85" s="2614"/>
      <c r="Q85" s="2563"/>
      <c r="R85" s="2563"/>
      <c r="S85" s="2563"/>
      <c r="T85" s="2563"/>
      <c r="U85" s="2563"/>
      <c r="V85" s="2563"/>
      <c r="W85" s="2563"/>
      <c r="X85" s="2563"/>
      <c r="Y85" s="2563"/>
      <c r="Z85" s="2061"/>
      <c r="AA85" s="2062"/>
      <c r="AB85" s="2069"/>
      <c r="AC85" s="2063"/>
      <c r="AD85" s="2063"/>
      <c r="AE85" s="2070"/>
      <c r="AF85" s="2562"/>
      <c r="AG85" s="2558"/>
      <c r="AH85" s="2558"/>
      <c r="AI85" s="2562"/>
      <c r="AJ85" s="2558"/>
      <c r="AK85" s="2558"/>
      <c r="AL85" s="2012"/>
      <c r="AM85" s="1847"/>
      <c r="AN85" s="1847"/>
      <c r="AO85" s="1847"/>
      <c r="AP85" s="1847"/>
      <c r="AQ85" s="1847"/>
      <c r="AR85" s="1847"/>
      <c r="AS85" s="1847"/>
      <c r="AT85" s="1847"/>
      <c r="AU85" s="1847"/>
      <c r="AV85" s="1847"/>
      <c r="AW85" s="1847"/>
      <c r="AX85" s="1847"/>
      <c r="AY85" s="1847"/>
      <c r="AZ85" s="1847"/>
      <c r="BA85" s="1847"/>
      <c r="BB85" s="1847"/>
      <c r="BC85" s="1847"/>
      <c r="BD85" s="1847"/>
      <c r="BE85" s="1847"/>
      <c r="BF85" s="1847"/>
    </row>
    <row s="1659" customFormat="1" customHeight="1" ht="0.75">
      <c r="A86" s="1190"/>
      <c r="B86" s="1190"/>
      <c r="C86" s="1190"/>
      <c r="D86" s="1184"/>
      <c r="E86" s="1194"/>
      <c r="F86" s="2560"/>
      <c r="G86" s="2539"/>
      <c r="H86" s="2564"/>
      <c r="I86" s="2565"/>
      <c r="J86" s="2566"/>
      <c r="K86" s="2566"/>
      <c r="L86" s="2558"/>
      <c r="M86" s="2292"/>
      <c r="N86" s="2062"/>
      <c r="O86" s="2062"/>
      <c r="P86" s="2069"/>
      <c r="Q86" s="2062"/>
      <c r="R86" s="2062"/>
      <c r="S86" s="2062"/>
      <c r="T86" s="2062"/>
      <c r="U86" s="2062"/>
      <c r="V86" s="2062"/>
      <c r="W86" s="2062"/>
      <c r="X86" s="2062"/>
      <c r="Y86" s="2062"/>
      <c r="Z86" s="2062"/>
      <c r="AA86" s="2062"/>
      <c r="AB86" s="2062"/>
      <c r="AC86" s="2062"/>
      <c r="AD86" s="2062"/>
      <c r="AE86" s="2071"/>
      <c r="AF86" s="2562"/>
      <c r="AG86" s="2558"/>
      <c r="AH86" s="2558"/>
      <c r="AI86" s="2562"/>
      <c r="AJ86" s="2558"/>
      <c r="AK86" s="2558"/>
      <c r="AL86" s="2012"/>
      <c r="AM86" s="1847"/>
      <c r="AN86" s="1847"/>
      <c r="AO86" s="1847"/>
      <c r="AP86" s="1847"/>
      <c r="AQ86" s="1847"/>
      <c r="AR86" s="1847"/>
      <c r="AS86" s="1847"/>
      <c r="AT86" s="1847"/>
      <c r="AU86" s="1847"/>
      <c r="AV86" s="1847"/>
      <c r="AW86" s="1847"/>
      <c r="AX86" s="1847"/>
      <c r="AY86" s="1847"/>
      <c r="AZ86" s="1847"/>
      <c r="BA86" s="1847"/>
      <c r="BB86" s="1847"/>
      <c r="BC86" s="1847"/>
      <c r="BD86" s="1847"/>
      <c r="BE86" s="1847"/>
      <c r="BF86" s="1847"/>
    </row>
    <row s="1659" customFormat="1" customHeight="1" ht="12">
      <c r="A87" s="1190"/>
      <c r="B87" s="1190"/>
      <c r="C87" s="1190"/>
      <c r="D87" s="1184"/>
      <c r="E87" s="1194"/>
      <c r="F87" s="2561"/>
      <c r="G87" s="1214"/>
      <c r="H87" s="1214"/>
      <c r="I87" s="2559" t="s">
        <v>2259</v>
      </c>
      <c r="J87" s="2559"/>
      <c r="K87" s="2559"/>
      <c r="L87" s="1197"/>
      <c r="M87" s="1197"/>
      <c r="N87" s="1198"/>
      <c r="O87" s="1198"/>
      <c r="P87" s="1198"/>
      <c r="Q87" s="1198"/>
      <c r="R87" s="1198"/>
      <c r="S87" s="1198"/>
      <c r="T87" s="1198"/>
      <c r="U87" s="1198"/>
      <c r="V87" s="1198"/>
      <c r="W87" s="1198"/>
      <c r="X87" s="1198"/>
      <c r="Y87" s="1198"/>
      <c r="Z87" s="1198"/>
      <c r="AA87" s="1198"/>
      <c r="AB87" s="1198"/>
      <c r="AC87" s="1198"/>
      <c r="AD87" s="1198"/>
      <c r="AE87" s="1198"/>
      <c r="AF87" s="1198"/>
      <c r="AG87" s="1197"/>
      <c r="AH87" s="1197"/>
      <c r="AI87" s="1198"/>
      <c r="AJ87" s="1197"/>
      <c r="AK87" s="1198"/>
      <c r="AL87" s="2012"/>
      <c r="AM87" s="1847"/>
      <c r="AN87" s="1847"/>
      <c r="AO87" s="1847"/>
      <c r="AP87" s="1847"/>
      <c r="AQ87" s="1847"/>
      <c r="AR87" s="1847"/>
      <c r="AS87" s="1847"/>
      <c r="AT87" s="1847"/>
      <c r="AU87" s="1847"/>
      <c r="AV87" s="1847"/>
      <c r="AW87" s="1847"/>
      <c r="AX87" s="1847"/>
      <c r="AY87" s="1847"/>
      <c r="AZ87" s="1847"/>
      <c r="BA87" s="1847"/>
      <c r="BB87" s="1847"/>
      <c r="BC87" s="1847"/>
      <c r="BD87" s="1847"/>
      <c r="BE87" s="1847"/>
      <c r="BF87" s="1847"/>
    </row>
    <row r="89" s="1839" customFormat="1" customHeight="1" ht="11.25">
      <c r="A89" s="1839" t="s">
        <v>2260</v>
      </c>
    </row>
    <row r="91" s="1659" customFormat="1" customHeight="1" ht="11.25">
      <c r="A91" s="1190"/>
      <c r="B91" s="1190"/>
      <c r="C91" s="1190"/>
      <c r="D91" s="1184"/>
      <c r="E91" s="1194"/>
      <c r="F91" s="1853"/>
      <c r="G91" s="1854"/>
      <c r="H91" s="1854"/>
      <c r="I91" s="1788"/>
      <c r="J91" s="1788"/>
      <c r="K91" s="1855"/>
      <c r="L91" s="1788"/>
      <c r="M91" s="1854"/>
      <c r="N91" s="2532"/>
      <c r="O91" s="2615">
        <v>1</v>
      </c>
      <c r="P91" s="2534" t="s">
        <v>19</v>
      </c>
      <c r="Q91" s="2537" t="s">
        <v>22</v>
      </c>
      <c r="R91" s="2537" t="s">
        <v>22</v>
      </c>
      <c r="S91" s="2537" t="s">
        <v>22</v>
      </c>
      <c r="T91" s="2537" t="s">
        <v>22</v>
      </c>
      <c r="U91" s="2537" t="s">
        <v>22</v>
      </c>
      <c r="V91" s="2537" t="s">
        <v>22</v>
      </c>
      <c r="W91" s="2537" t="s">
        <v>22</v>
      </c>
      <c r="X91" s="2537" t="s">
        <v>22</v>
      </c>
      <c r="Y91" s="2537"/>
      <c r="Z91" s="1199"/>
      <c r="AA91" s="1200"/>
      <c r="AB91" s="1200"/>
      <c r="AC91" s="1204"/>
      <c r="AD91" s="1204"/>
      <c r="AE91" s="1204"/>
      <c r="AF91" s="1856"/>
      <c r="AG91" s="1783"/>
      <c r="AH91" s="1783"/>
      <c r="AI91" s="1856"/>
      <c r="AJ91" s="1783"/>
      <c r="AK91" s="2011"/>
      <c r="AL91" s="2012"/>
      <c r="AM91" s="1847"/>
      <c r="AN91" s="1847"/>
      <c r="AO91" s="1847"/>
      <c r="AP91" s="1847"/>
      <c r="AQ91" s="1847"/>
      <c r="AR91" s="1847"/>
      <c r="AS91" s="1847"/>
      <c r="AT91" s="1847"/>
      <c r="AU91" s="1847"/>
      <c r="AV91" s="1847"/>
      <c r="AW91" s="1847"/>
      <c r="AX91" s="1847"/>
      <c r="AY91" s="1847"/>
      <c r="AZ91" s="1847"/>
      <c r="BA91" s="1847"/>
      <c r="BB91" s="1847"/>
      <c r="BC91" s="1847"/>
      <c r="BD91" s="1847"/>
      <c r="BE91" s="1847"/>
      <c r="BF91" s="1847"/>
    </row>
    <row s="1659" customFormat="1" customHeight="1" ht="11.25">
      <c r="A92" s="1190"/>
      <c r="B92" s="1190"/>
      <c r="C92" s="1190"/>
      <c r="D92" s="1184"/>
      <c r="E92" s="1194"/>
      <c r="F92" s="1853"/>
      <c r="G92" s="1854"/>
      <c r="H92" s="1854"/>
      <c r="I92" s="1789"/>
      <c r="J92" s="1789"/>
      <c r="K92" s="1855"/>
      <c r="L92" s="1789"/>
      <c r="M92" s="1854"/>
      <c r="N92" s="2532"/>
      <c r="O92" s="2615"/>
      <c r="P92" s="2535"/>
      <c r="Q92" s="2537"/>
      <c r="R92" s="2537"/>
      <c r="S92" s="2538"/>
      <c r="T92" s="2537"/>
      <c r="U92" s="2537"/>
      <c r="V92" s="2537"/>
      <c r="W92" s="2537"/>
      <c r="X92" s="2537"/>
      <c r="Y92" s="2537"/>
      <c r="Z92" s="1852"/>
      <c r="AA92" s="1818">
        <v>1</v>
      </c>
      <c r="AB92" s="1203"/>
      <c r="AC92" s="1193"/>
      <c r="AD92" s="1203">
        <f>AB92</f>
        <v>0</v>
      </c>
      <c r="AE92" s="748"/>
      <c r="AF92" s="1855"/>
      <c r="AG92" s="1783"/>
      <c r="AH92" s="1783"/>
      <c r="AI92" s="1855"/>
      <c r="AJ92" s="1783"/>
      <c r="AK92" s="2011"/>
      <c r="AL92" s="2012"/>
      <c r="AM92" s="1847"/>
      <c r="AN92" s="1847"/>
      <c r="AO92" s="1847"/>
      <c r="AP92" s="1847"/>
      <c r="AQ92" s="1847"/>
      <c r="AR92" s="1847"/>
      <c r="AS92" s="1847"/>
      <c r="AT92" s="1847"/>
      <c r="AU92" s="1847"/>
      <c r="AV92" s="1847"/>
      <c r="AW92" s="1847"/>
      <c r="AX92" s="1847"/>
      <c r="AY92" s="1847"/>
      <c r="AZ92" s="1847"/>
      <c r="BA92" s="1847"/>
      <c r="BB92" s="1847"/>
      <c r="BC92" s="1847"/>
      <c r="BD92" s="1847"/>
      <c r="BE92" s="1847"/>
      <c r="BF92" s="1847"/>
    </row>
    <row s="1659" customFormat="1" customHeight="1" ht="11.25">
      <c r="A93" s="1190"/>
      <c r="B93" s="1190"/>
      <c r="C93" s="1190"/>
      <c r="D93" s="1184"/>
      <c r="E93" s="1194"/>
      <c r="F93" s="1853"/>
      <c r="G93" s="1854"/>
      <c r="H93" s="1854"/>
      <c r="I93" s="1790"/>
      <c r="J93" s="1790"/>
      <c r="K93" s="1855"/>
      <c r="L93" s="1790"/>
      <c r="M93" s="1854"/>
      <c r="N93" s="2532"/>
      <c r="O93" s="2615"/>
      <c r="P93" s="2536"/>
      <c r="Q93" s="2537"/>
      <c r="R93" s="2537"/>
      <c r="S93" s="2538"/>
      <c r="T93" s="2537"/>
      <c r="U93" s="2537"/>
      <c r="V93" s="2537"/>
      <c r="W93" s="2537"/>
      <c r="X93" s="2537"/>
      <c r="Y93" s="2537"/>
      <c r="Z93" s="1199"/>
      <c r="AA93" s="1200"/>
      <c r="AB93" s="1265" t="s">
        <v>2261</v>
      </c>
      <c r="AC93" s="1204"/>
      <c r="AD93" s="1204"/>
      <c r="AE93" s="1204"/>
      <c r="AF93" s="1857"/>
      <c r="AG93" s="1783"/>
      <c r="AH93" s="1783"/>
      <c r="AI93" s="1857"/>
      <c r="AJ93" s="1783"/>
      <c r="AK93" s="2011"/>
      <c r="AL93" s="2012"/>
      <c r="AM93" s="1847"/>
      <c r="AN93" s="1847"/>
      <c r="AO93" s="1847"/>
      <c r="AP93" s="1847"/>
      <c r="AQ93" s="1847"/>
      <c r="AR93" s="1847"/>
      <c r="AS93" s="1847"/>
      <c r="AT93" s="1847"/>
      <c r="AU93" s="1847"/>
      <c r="AV93" s="1847"/>
      <c r="AW93" s="1847"/>
      <c r="AX93" s="1847"/>
      <c r="AY93" s="1847"/>
      <c r="AZ93" s="1847"/>
      <c r="BA93" s="1847"/>
      <c r="BB93" s="1847"/>
      <c r="BC93" s="1847"/>
      <c r="BD93" s="1847"/>
      <c r="BE93" s="1847"/>
      <c r="BF93" s="1847"/>
    </row>
    <row r="95" s="1839" customFormat="1" customHeight="1" ht="11.25">
      <c r="A95" s="1839" t="s">
        <v>2262</v>
      </c>
    </row>
    <row r="97" s="1659" customFormat="1" customHeight="1" ht="11.25">
      <c r="A97" s="1190"/>
      <c r="B97" s="1190"/>
      <c r="C97" s="1190"/>
      <c r="D97" s="1184"/>
      <c r="E97" s="1194"/>
      <c r="F97" s="1854"/>
      <c r="G97" s="1854"/>
      <c r="H97" s="1854"/>
      <c r="I97" s="1854"/>
      <c r="J97" s="1854"/>
      <c r="K97" s="1854"/>
      <c r="L97" s="1854"/>
      <c r="M97" s="1854"/>
      <c r="N97" s="1854"/>
      <c r="O97" s="1854"/>
      <c r="P97" s="1854"/>
      <c r="Q97" s="1854"/>
      <c r="R97" s="1854"/>
      <c r="S97" s="1854"/>
      <c r="T97" s="1854"/>
      <c r="U97" s="1854"/>
      <c r="V97" s="1854"/>
      <c r="W97" s="1854"/>
      <c r="X97" s="1854"/>
      <c r="Y97" s="1854"/>
      <c r="Z97" s="1858"/>
      <c r="AA97" s="1838">
        <v>1</v>
      </c>
      <c r="AB97" s="1203"/>
      <c r="AC97" s="1193"/>
      <c r="AD97" s="1203">
        <f>AB97</f>
        <v>0</v>
      </c>
      <c r="AE97" s="1193"/>
      <c r="AF97" s="1855"/>
      <c r="AG97" s="1783"/>
      <c r="AH97" s="1783"/>
      <c r="AI97" s="1855"/>
      <c r="AJ97" s="1783"/>
      <c r="AK97" s="2011"/>
      <c r="AL97" s="2012"/>
      <c r="AM97" s="1847"/>
      <c r="AN97" s="1847"/>
      <c r="AO97" s="1847"/>
      <c r="AP97" s="1847"/>
      <c r="AQ97" s="1847"/>
      <c r="AR97" s="1847"/>
      <c r="AS97" s="1847"/>
      <c r="AT97" s="1847"/>
      <c r="AU97" s="1847"/>
      <c r="AV97" s="1847"/>
      <c r="AW97" s="1847"/>
      <c r="AX97" s="1847"/>
      <c r="AY97" s="1847"/>
      <c r="AZ97" s="1847"/>
      <c r="BA97" s="1847"/>
      <c r="BB97" s="1847"/>
      <c r="BC97" s="1847"/>
      <c r="BD97" s="1847"/>
      <c r="BE97" s="1847"/>
      <c r="BF97" s="1847"/>
    </row>
    <row r="99" s="1839" customFormat="1" customHeight="1" ht="11.25">
      <c r="A99" s="1839" t="s">
        <v>2263</v>
      </c>
    </row>
    <row r="101" s="1659" customFormat="1" customHeight="1" ht="11.25">
      <c r="A101" s="1190"/>
      <c r="B101" s="1190"/>
      <c r="C101" s="1190"/>
      <c r="D101" s="1184"/>
      <c r="E101" s="1194"/>
      <c r="F101" s="1853"/>
      <c r="G101" s="1854"/>
      <c r="H101" s="2539" t="s">
        <v>170</v>
      </c>
      <c r="I101" s="2540"/>
      <c r="J101" s="2509"/>
      <c r="K101" s="2541"/>
      <c r="L101" s="2131" t="s">
        <v>19</v>
      </c>
      <c r="M101" s="2132"/>
      <c r="N101" s="2010"/>
      <c r="O101" s="1201" t="s">
        <v>460</v>
      </c>
      <c r="P101" s="1202"/>
      <c r="Q101" s="1202"/>
      <c r="R101" s="1202"/>
      <c r="S101" s="1202"/>
      <c r="T101" s="1202"/>
      <c r="U101" s="1202"/>
      <c r="V101" s="1202"/>
      <c r="W101" s="1202"/>
      <c r="X101" s="1202"/>
      <c r="Y101" s="1202"/>
      <c r="Z101" s="1202"/>
      <c r="AA101" s="1202"/>
      <c r="AB101" s="1202"/>
      <c r="AC101" s="1202"/>
      <c r="AD101" s="1202"/>
      <c r="AE101" s="1202"/>
      <c r="AF101" s="2530"/>
      <c r="AG101" s="2531"/>
      <c r="AH101" s="2531"/>
      <c r="AI101" s="2530"/>
      <c r="AJ101" s="2531"/>
      <c r="AK101" s="2531"/>
      <c r="AL101" s="2012"/>
      <c r="AM101" s="1847"/>
      <c r="AN101" s="1847"/>
      <c r="AO101" s="1847"/>
      <c r="AP101" s="1847"/>
      <c r="AQ101" s="1847"/>
      <c r="AR101" s="1847"/>
      <c r="AS101" s="1847"/>
      <c r="AT101" s="1847"/>
      <c r="AU101" s="1847"/>
      <c r="AV101" s="1847"/>
      <c r="AW101" s="1847"/>
      <c r="AX101" s="1847"/>
      <c r="AY101" s="1847"/>
      <c r="AZ101" s="1847"/>
      <c r="BA101" s="1847"/>
      <c r="BB101" s="1847"/>
      <c r="BC101" s="1847"/>
      <c r="BD101" s="1847"/>
      <c r="BE101" s="1847"/>
      <c r="BF101" s="1847"/>
    </row>
    <row s="1659" customFormat="1" customHeight="1" ht="11.25">
      <c r="A102" s="1190"/>
      <c r="B102" s="1190"/>
      <c r="C102" s="1190"/>
      <c r="D102" s="1184"/>
      <c r="E102" s="1194"/>
      <c r="F102" s="1853"/>
      <c r="G102" s="1854"/>
      <c r="H102" s="2539"/>
      <c r="I102" s="2540"/>
      <c r="J102" s="2509"/>
      <c r="K102" s="2541"/>
      <c r="L102" s="2131"/>
      <c r="M102" s="2132"/>
      <c r="N102" s="2532"/>
      <c r="O102" s="2533">
        <v>1</v>
      </c>
      <c r="P102" s="2534" t="s">
        <v>19</v>
      </c>
      <c r="Q102" s="2537" t="s">
        <v>22</v>
      </c>
      <c r="R102" s="2537" t="s">
        <v>22</v>
      </c>
      <c r="S102" s="2537" t="s">
        <v>22</v>
      </c>
      <c r="T102" s="2537" t="s">
        <v>22</v>
      </c>
      <c r="U102" s="2537" t="s">
        <v>22</v>
      </c>
      <c r="V102" s="2537" t="s">
        <v>22</v>
      </c>
      <c r="W102" s="2537" t="s">
        <v>22</v>
      </c>
      <c r="X102" s="2537" t="s">
        <v>22</v>
      </c>
      <c r="Y102" s="2537"/>
      <c r="Z102" s="1199"/>
      <c r="AA102" s="1200"/>
      <c r="AB102" s="1200"/>
      <c r="AC102" s="1204"/>
      <c r="AD102" s="1204"/>
      <c r="AE102" s="1205"/>
      <c r="AF102" s="2530"/>
      <c r="AG102" s="2531"/>
      <c r="AH102" s="2531"/>
      <c r="AI102" s="2530"/>
      <c r="AJ102" s="2531"/>
      <c r="AK102" s="2531"/>
      <c r="AL102" s="2012"/>
      <c r="AM102" s="1847"/>
      <c r="AN102" s="1847"/>
      <c r="AO102" s="1847"/>
      <c r="AP102" s="1847"/>
      <c r="AQ102" s="1847"/>
      <c r="AR102" s="1847"/>
      <c r="AS102" s="1847"/>
      <c r="AT102" s="1847"/>
      <c r="AU102" s="1847"/>
      <c r="AV102" s="1847"/>
      <c r="AW102" s="1847"/>
      <c r="AX102" s="1847"/>
      <c r="AY102" s="1847"/>
      <c r="AZ102" s="1847"/>
      <c r="BA102" s="1847"/>
      <c r="BB102" s="1847"/>
      <c r="BC102" s="1847"/>
      <c r="BD102" s="1847"/>
      <c r="BE102" s="1847"/>
      <c r="BF102" s="1847"/>
    </row>
    <row s="1659" customFormat="1" customHeight="1" ht="11.25">
      <c r="A103" s="1190"/>
      <c r="B103" s="1190"/>
      <c r="C103" s="1190"/>
      <c r="D103" s="1184"/>
      <c r="E103" s="1194"/>
      <c r="F103" s="1853"/>
      <c r="G103" s="1854"/>
      <c r="H103" s="2539"/>
      <c r="I103" s="2540"/>
      <c r="J103" s="2509"/>
      <c r="K103" s="2541"/>
      <c r="L103" s="2131"/>
      <c r="M103" s="2132"/>
      <c r="N103" s="2532"/>
      <c r="O103" s="2533"/>
      <c r="P103" s="2535"/>
      <c r="Q103" s="2537"/>
      <c r="R103" s="2537"/>
      <c r="S103" s="2538"/>
      <c r="T103" s="2537"/>
      <c r="U103" s="2537"/>
      <c r="V103" s="2537"/>
      <c r="W103" s="2537"/>
      <c r="X103" s="2537"/>
      <c r="Y103" s="2537"/>
      <c r="Z103" s="1852"/>
      <c r="AA103" s="1818">
        <v>1</v>
      </c>
      <c r="AB103" s="1203"/>
      <c r="AC103" s="1193"/>
      <c r="AD103" s="1203">
        <f>AB103</f>
        <v>0</v>
      </c>
      <c r="AE103" s="1193"/>
      <c r="AF103" s="2530"/>
      <c r="AG103" s="2531"/>
      <c r="AH103" s="2531"/>
      <c r="AI103" s="2530"/>
      <c r="AJ103" s="2531"/>
      <c r="AK103" s="2531"/>
      <c r="AL103" s="2012"/>
      <c r="AM103" s="1847"/>
      <c r="AN103" s="1847"/>
      <c r="AO103" s="1847"/>
      <c r="AP103" s="1847"/>
      <c r="AQ103" s="1847"/>
      <c r="AR103" s="1847"/>
      <c r="AS103" s="1847"/>
      <c r="AT103" s="1847"/>
      <c r="AU103" s="1847"/>
      <c r="AV103" s="1847"/>
      <c r="AW103" s="1847"/>
      <c r="AX103" s="1847"/>
      <c r="AY103" s="1847"/>
      <c r="AZ103" s="1847"/>
      <c r="BA103" s="1847"/>
      <c r="BB103" s="1847"/>
      <c r="BC103" s="1847"/>
      <c r="BD103" s="1847"/>
      <c r="BE103" s="1847"/>
      <c r="BF103" s="1847"/>
    </row>
    <row s="1659" customFormat="1" customHeight="1" ht="11.25">
      <c r="A104" s="1190"/>
      <c r="B104" s="1190"/>
      <c r="C104" s="1190"/>
      <c r="D104" s="1184"/>
      <c r="E104" s="1194"/>
      <c r="F104" s="1853"/>
      <c r="G104" s="1854"/>
      <c r="H104" s="2539"/>
      <c r="I104" s="2540"/>
      <c r="J104" s="2509"/>
      <c r="K104" s="2541"/>
      <c r="L104" s="2131"/>
      <c r="M104" s="2132"/>
      <c r="N104" s="2532"/>
      <c r="O104" s="2533"/>
      <c r="P104" s="2536"/>
      <c r="Q104" s="2537"/>
      <c r="R104" s="2537"/>
      <c r="S104" s="2538"/>
      <c r="T104" s="2537"/>
      <c r="U104" s="2537"/>
      <c r="V104" s="2537"/>
      <c r="W104" s="2537"/>
      <c r="X104" s="2537"/>
      <c r="Y104" s="2537"/>
      <c r="Z104" s="1199"/>
      <c r="AA104" s="1200"/>
      <c r="AB104" s="1265" t="s">
        <v>2261</v>
      </c>
      <c r="AC104" s="1204"/>
      <c r="AD104" s="1204"/>
      <c r="AE104" s="1206"/>
      <c r="AF104" s="2530"/>
      <c r="AG104" s="2531"/>
      <c r="AH104" s="2531"/>
      <c r="AI104" s="2530"/>
      <c r="AJ104" s="2531"/>
      <c r="AK104" s="2531"/>
      <c r="AL104" s="2012"/>
      <c r="AM104" s="1847"/>
      <c r="AN104" s="1847"/>
      <c r="AO104" s="1847"/>
      <c r="AP104" s="1847"/>
      <c r="AQ104" s="1847"/>
      <c r="AR104" s="1847"/>
      <c r="AS104" s="1847"/>
      <c r="AT104" s="1847"/>
      <c r="AU104" s="1847"/>
      <c r="AV104" s="1847"/>
      <c r="AW104" s="1847"/>
      <c r="AX104" s="1847"/>
      <c r="AY104" s="1847"/>
      <c r="AZ104" s="1847"/>
      <c r="BA104" s="1847"/>
      <c r="BB104" s="1847"/>
      <c r="BC104" s="1847"/>
      <c r="BD104" s="1847"/>
      <c r="BE104" s="1847"/>
      <c r="BF104" s="1847"/>
    </row>
    <row s="1659" customFormat="1" customHeight="1" ht="11.25">
      <c r="A105" s="1190"/>
      <c r="B105" s="1190"/>
      <c r="C105" s="1190"/>
      <c r="D105" s="1184"/>
      <c r="E105" s="1194"/>
      <c r="F105" s="1853"/>
      <c r="G105" s="1854"/>
      <c r="H105" s="2539"/>
      <c r="I105" s="2540"/>
      <c r="J105" s="2509"/>
      <c r="K105" s="2541"/>
      <c r="L105" s="2131"/>
      <c r="M105" s="2132"/>
      <c r="N105" s="1199"/>
      <c r="O105" s="1200"/>
      <c r="P105" s="1192" t="s">
        <v>2264</v>
      </c>
      <c r="Q105" s="1200"/>
      <c r="R105" s="1200"/>
      <c r="S105" s="1200"/>
      <c r="T105" s="1200"/>
      <c r="U105" s="1200"/>
      <c r="V105" s="1200"/>
      <c r="W105" s="1200"/>
      <c r="X105" s="1200"/>
      <c r="Y105" s="1200"/>
      <c r="Z105" s="1200"/>
      <c r="AA105" s="1200"/>
      <c r="AB105" s="1200"/>
      <c r="AC105" s="1200"/>
      <c r="AD105" s="1200"/>
      <c r="AE105" s="1207"/>
      <c r="AF105" s="2530"/>
      <c r="AG105" s="2531"/>
      <c r="AH105" s="2531"/>
      <c r="AI105" s="2530"/>
      <c r="AJ105" s="2531"/>
      <c r="AK105" s="2531"/>
      <c r="AL105" s="2012"/>
      <c r="AM105" s="1847"/>
      <c r="AN105" s="1847"/>
      <c r="AO105" s="1847"/>
      <c r="AP105" s="1847"/>
      <c r="AQ105" s="1847"/>
      <c r="AR105" s="1847"/>
      <c r="AS105" s="1847"/>
      <c r="AT105" s="1847"/>
      <c r="AU105" s="1847"/>
      <c r="AV105" s="1847"/>
      <c r="AW105" s="1847"/>
      <c r="AX105" s="1847"/>
      <c r="AY105" s="1847"/>
      <c r="AZ105" s="1847"/>
      <c r="BA105" s="1847"/>
      <c r="BB105" s="1847"/>
      <c r="BC105" s="1847"/>
      <c r="BD105" s="1847"/>
      <c r="BE105" s="1847"/>
      <c r="BF105" s="1847"/>
    </row>
    <row r="107" s="1839" customFormat="1" customHeight="1" ht="11.25">
      <c r="A107" s="1839" t="s">
        <v>2265</v>
      </c>
    </row>
    <row customHeight="1" ht="17.25"/>
    <row s="949" customFormat="1" customHeight="1" ht="21">
      <c r="A109" s="1191"/>
      <c r="B109" s="964"/>
      <c r="D109" s="948"/>
      <c r="E109" s="963" t="s">
        <v>22</v>
      </c>
      <c r="F109" s="1145">
        <f>INDEX(IP_MAIN_LIST_NAME_IP,MATCH(A109,IP_MAIN_LIST_IP_ID,0))&amp;" ("&amp;INDEX(IP_MAIN_START_DATE,MATCH(A109,IP_MAIN_LIST_IP_ID,0))&amp;"-"&amp;INDEX(IP_MAIN_END_DATE,MATCH(A109,IP_MAIN_LIST_IP_ID,0))&amp;")"</f>
      </c>
      <c r="G109" s="1227"/>
      <c r="H109" s="1228"/>
      <c r="I109" s="1228"/>
      <c r="J109" s="1228"/>
      <c r="K109" s="1228"/>
      <c r="L109" s="1228"/>
      <c r="M109" s="1228"/>
      <c r="N109" s="1228"/>
      <c r="O109" s="1227"/>
      <c r="P109" s="1227"/>
      <c r="Q109" s="1227"/>
      <c r="R109" s="1227"/>
      <c r="S109" s="1227"/>
      <c r="T109" s="1227"/>
      <c r="U109" s="1229"/>
      <c r="V109" s="1229"/>
      <c r="W109" s="1229"/>
      <c r="X109" s="1229"/>
      <c r="Y109" s="1229"/>
      <c r="Z109" s="1229"/>
      <c r="AA109" s="1229"/>
      <c r="AB109" s="1227"/>
      <c r="AC109" s="1228"/>
      <c r="AD109" s="1228"/>
      <c r="AE109" s="1228"/>
      <c r="AF109" s="1228"/>
      <c r="AG109" s="1228"/>
      <c r="AH109" s="1228"/>
      <c r="AI109" s="1228"/>
      <c r="AJ109" s="1228"/>
      <c r="AK109" s="1228"/>
      <c r="AL109" s="1228"/>
      <c r="AM109" s="1228"/>
      <c r="AN109" s="1228"/>
      <c r="AO109" s="1228"/>
      <c r="AP109" s="1228"/>
      <c r="AQ109" s="1228"/>
      <c r="AR109" s="1228"/>
      <c r="AS109" s="1228"/>
      <c r="AT109" s="1228"/>
      <c r="AU109" s="1228"/>
      <c r="AV109" s="1228"/>
      <c r="AW109" s="1228"/>
      <c r="AX109" s="1228"/>
      <c r="AY109" s="1228"/>
      <c r="AZ109" s="1228"/>
      <c r="BA109" s="1228"/>
      <c r="BB109" s="1228"/>
      <c r="BC109" s="1228"/>
      <c r="BD109" s="1228"/>
      <c r="BE109" s="1228"/>
      <c r="BF109" s="1228"/>
      <c r="BG109" s="1228"/>
      <c r="BH109" s="1228"/>
      <c r="BI109" s="1228"/>
      <c r="BJ109" s="1228"/>
      <c r="BK109" s="1228"/>
      <c r="BL109" s="1228"/>
      <c r="BM109" s="1228"/>
      <c r="BN109" s="1228"/>
      <c r="BO109" s="1228"/>
      <c r="BP109" s="1228"/>
      <c r="BQ109" s="1228"/>
      <c r="BR109" s="1228"/>
      <c r="BS109" s="1228"/>
      <c r="BT109" s="1228"/>
      <c r="BU109" s="1228"/>
      <c r="BV109" s="1228"/>
      <c r="BW109" s="1228"/>
      <c r="BX109" s="1228"/>
      <c r="BY109" s="1228"/>
      <c r="BZ109" s="1228"/>
      <c r="CA109" s="1228"/>
      <c r="CB109" s="1228"/>
      <c r="CC109" s="1228"/>
      <c r="CD109" s="1228"/>
      <c r="CE109" s="1228"/>
      <c r="CF109" s="1228"/>
      <c r="CG109" s="1228"/>
      <c r="CH109" s="1228"/>
      <c r="CI109" s="1228"/>
      <c r="CJ109" s="1228"/>
      <c r="CK109" s="1228"/>
      <c r="CL109" s="1230"/>
      <c r="CM109" s="1230"/>
      <c r="CN109" s="1230"/>
      <c r="CO109" s="1230"/>
      <c r="CP109" s="1230"/>
      <c r="CQ109" s="1230"/>
      <c r="CR109" s="1230"/>
      <c r="CS109" s="1230"/>
      <c r="CT109" s="1230"/>
      <c r="CU109" s="1230"/>
      <c r="CV109" s="1230"/>
      <c r="CW109" s="1230"/>
      <c r="CX109" s="1230"/>
      <c r="CY109" s="1230"/>
      <c r="CZ109" s="1230"/>
      <c r="DA109" s="1230"/>
      <c r="DB109" s="1230"/>
      <c r="DC109" s="1230"/>
      <c r="DD109" s="1230"/>
      <c r="DE109" s="1230"/>
      <c r="DF109" s="1230"/>
      <c r="DG109" s="1230"/>
      <c r="DH109" s="1230"/>
      <c r="DI109" s="1230"/>
      <c r="DJ109" s="1230"/>
      <c r="DK109" s="1230"/>
      <c r="DL109" s="1230"/>
      <c r="DM109" s="1230"/>
      <c r="DN109" s="1230"/>
      <c r="DO109" s="1230"/>
      <c r="DP109" s="1230"/>
      <c r="DQ109" s="1230"/>
      <c r="DR109" s="1230"/>
      <c r="DS109" s="1230"/>
      <c r="DT109" s="1230"/>
      <c r="DU109" s="1230"/>
      <c r="DV109" s="1230"/>
      <c r="DW109" s="1230"/>
      <c r="DX109" s="1230"/>
      <c r="DY109" s="1230"/>
      <c r="DZ109" s="1230"/>
      <c r="EA109" s="1230"/>
      <c r="EB109" s="1230"/>
      <c r="EC109" s="1230"/>
      <c r="ED109" s="1230"/>
      <c r="EE109" s="1230"/>
      <c r="EF109" s="1230"/>
      <c r="EG109" s="1230"/>
      <c r="EH109" s="1230"/>
      <c r="EI109" s="1230"/>
      <c r="EJ109" s="1230"/>
      <c r="EK109" s="1230"/>
      <c r="EL109" s="1230"/>
      <c r="EM109" s="1230"/>
      <c r="EN109" s="1230"/>
      <c r="EO109" s="1230"/>
      <c r="EP109" s="1230"/>
      <c r="EQ109" s="1230"/>
      <c r="ER109" s="1230"/>
      <c r="ES109" s="1230"/>
      <c r="ET109" s="1230"/>
      <c r="EU109" s="1230"/>
      <c r="EV109" s="1230"/>
      <c r="EW109" s="1230"/>
      <c r="EX109" s="1230"/>
      <c r="EY109" s="1230"/>
      <c r="EZ109" s="1230"/>
      <c r="FA109" s="1230"/>
      <c r="FB109" s="1230"/>
      <c r="FC109" s="1230"/>
      <c r="FD109" s="1230"/>
      <c r="FE109" s="1230"/>
      <c r="FF109" s="1230"/>
      <c r="FG109" s="1230"/>
      <c r="FH109" s="1230"/>
      <c r="FI109" s="1230"/>
      <c r="FJ109" s="1230"/>
      <c r="FK109" s="1230"/>
      <c r="FL109" s="1230"/>
      <c r="FM109" s="1230"/>
      <c r="FN109" s="1230"/>
      <c r="FO109" s="1230"/>
      <c r="FP109" s="1230"/>
      <c r="FQ109" s="1230"/>
      <c r="FR109" s="1230"/>
      <c r="FS109" s="1230"/>
      <c r="FT109" s="1230"/>
      <c r="FU109" s="1230"/>
      <c r="FV109" s="1231"/>
      <c r="FW109" s="1225"/>
      <c r="FX109" s="1226"/>
    </row>
    <row s="949" customFormat="1" customHeight="1" ht="24.75">
      <c r="B110" s="947"/>
      <c r="C110" s="948"/>
      <c r="D110" s="948"/>
      <c r="E110" s="1859"/>
      <c r="F110" s="1232">
        <v>1</v>
      </c>
      <c r="G110" s="1233"/>
      <c r="H110" s="1234"/>
      <c r="I110" s="2006"/>
      <c r="J110" s="1235"/>
      <c r="K110" s="1235"/>
      <c r="L110" s="1235"/>
      <c r="M110" s="1235"/>
      <c r="N110" s="1235"/>
      <c r="O110" s="1236"/>
      <c r="P110" s="1236"/>
      <c r="Q110" s="1236"/>
      <c r="R110" s="1236"/>
      <c r="S110" s="1236"/>
      <c r="T110" s="1236"/>
      <c r="U110" s="1236"/>
      <c r="V110" s="1236"/>
      <c r="W110" s="1236"/>
      <c r="X110" s="1236"/>
      <c r="Y110" s="1236"/>
      <c r="Z110" s="1236"/>
      <c r="AA110" s="1236"/>
      <c r="AB110" s="1236"/>
      <c r="AC110" s="1235"/>
      <c r="AD110" s="1235"/>
      <c r="AE110" s="1235"/>
      <c r="AF110" s="1235"/>
      <c r="AG110" s="1235"/>
      <c r="AH110" s="1235"/>
      <c r="AI110" s="1235"/>
      <c r="AJ110" s="1235"/>
      <c r="AK110" s="1235"/>
      <c r="AL110" s="1235"/>
      <c r="AM110" s="1235"/>
      <c r="AN110" s="1235"/>
      <c r="AO110" s="1235"/>
      <c r="AP110" s="1235"/>
      <c r="AQ110" s="1235"/>
      <c r="AR110" s="1235"/>
      <c r="AS110" s="1235"/>
      <c r="AT110" s="1235"/>
      <c r="AU110" s="1235"/>
      <c r="AV110" s="1235"/>
      <c r="AW110" s="1235"/>
      <c r="AX110" s="1235"/>
      <c r="AY110" s="1235"/>
      <c r="AZ110" s="1235"/>
      <c r="BA110" s="1235"/>
      <c r="BB110" s="1235"/>
      <c r="BC110" s="1235"/>
      <c r="BD110" s="1235"/>
      <c r="BE110" s="1235"/>
      <c r="BF110" s="1235"/>
      <c r="BG110" s="1235"/>
      <c r="BH110" s="1235"/>
      <c r="BI110" s="1235"/>
      <c r="BJ110" s="1235"/>
      <c r="BK110" s="1235"/>
      <c r="BL110" s="1235"/>
      <c r="BM110" s="1235"/>
      <c r="BN110" s="1235"/>
      <c r="BO110" s="1235"/>
      <c r="BP110" s="1235"/>
      <c r="BQ110" s="1235"/>
      <c r="BR110" s="1235"/>
      <c r="BS110" s="1235"/>
      <c r="BT110" s="1236"/>
      <c r="BU110" s="1236"/>
      <c r="BV110" s="1236"/>
      <c r="BW110" s="1236"/>
      <c r="BX110" s="1236"/>
      <c r="BY110" s="1236"/>
      <c r="BZ110" s="1236"/>
      <c r="CA110" s="1236"/>
      <c r="CB110" s="1236"/>
      <c r="CC110" s="1236"/>
      <c r="CD110" s="1236"/>
      <c r="CE110" s="1236"/>
      <c r="CF110" s="1236"/>
      <c r="CG110" s="1236"/>
      <c r="CH110" s="1236"/>
      <c r="CI110" s="1236"/>
      <c r="CJ110" s="1236"/>
      <c r="CK110" s="1236"/>
      <c r="CL110" s="1235"/>
      <c r="CM110" s="1235"/>
      <c r="CN110" s="1235"/>
      <c r="CO110" s="1235"/>
      <c r="CP110" s="1235"/>
      <c r="CQ110" s="1235"/>
      <c r="CR110" s="1235"/>
      <c r="CS110" s="1235"/>
      <c r="CT110" s="1235"/>
      <c r="CU110" s="1235"/>
      <c r="CV110" s="1235"/>
      <c r="CW110" s="1235"/>
      <c r="CX110" s="1235"/>
      <c r="CY110" s="1236"/>
      <c r="CZ110" s="1236"/>
      <c r="DA110" s="1236"/>
      <c r="DB110" s="1236"/>
      <c r="DC110" s="1236"/>
      <c r="DD110" s="1236"/>
      <c r="DE110" s="1236"/>
      <c r="DF110" s="1236"/>
      <c r="DG110" s="1236"/>
      <c r="DH110" s="1236"/>
      <c r="DI110" s="1236"/>
      <c r="DJ110" s="1236"/>
      <c r="DK110" s="1235"/>
      <c r="DL110" s="1235"/>
      <c r="DM110" s="1235"/>
      <c r="DN110" s="1235"/>
      <c r="DO110" s="1235"/>
      <c r="DP110" s="1235"/>
      <c r="DQ110" s="1235"/>
      <c r="DR110" s="1235"/>
      <c r="DS110" s="1235"/>
      <c r="DT110" s="1235"/>
      <c r="DU110" s="1235"/>
      <c r="DV110" s="1235"/>
      <c r="DW110" s="1235"/>
      <c r="DX110" s="1235"/>
      <c r="DY110" s="1235"/>
      <c r="DZ110" s="1235"/>
      <c r="EA110" s="1235"/>
      <c r="EB110" s="1235"/>
      <c r="EC110" s="1235"/>
      <c r="ED110" s="1235"/>
      <c r="EE110" s="1235"/>
      <c r="EF110" s="1235"/>
      <c r="EG110" s="1235"/>
      <c r="EH110" s="1235"/>
      <c r="EI110" s="1235"/>
      <c r="EJ110" s="1235"/>
      <c r="EK110" s="1235"/>
      <c r="EL110" s="1235"/>
      <c r="EM110" s="1235"/>
      <c r="EN110" s="1235"/>
      <c r="EO110" s="1235"/>
      <c r="EP110" s="1235"/>
      <c r="EQ110" s="1235"/>
      <c r="ER110" s="1235"/>
      <c r="ES110" s="1235"/>
      <c r="ET110" s="1235"/>
      <c r="EU110" s="1235"/>
      <c r="EV110" s="1235"/>
      <c r="EW110" s="1235"/>
      <c r="EX110" s="1235"/>
      <c r="EY110" s="1235"/>
      <c r="EZ110" s="1235"/>
      <c r="FA110" s="1235"/>
      <c r="FB110" s="1235"/>
      <c r="FC110" s="1235"/>
      <c r="FD110" s="1235"/>
      <c r="FE110" s="1235"/>
      <c r="FF110" s="1235"/>
      <c r="FG110" s="1235"/>
      <c r="FH110" s="1235"/>
      <c r="FI110" s="1235"/>
      <c r="FJ110" s="1235"/>
      <c r="FK110" s="1235"/>
      <c r="FL110" s="1235"/>
      <c r="FM110" s="1235"/>
      <c r="FN110" s="1235"/>
      <c r="FO110" s="1235"/>
      <c r="FP110" s="1235"/>
      <c r="FQ110" s="1235"/>
      <c r="FR110" s="1235"/>
      <c r="FS110" s="1235"/>
      <c r="FT110" s="1235"/>
      <c r="FU110" s="1235"/>
      <c r="FV110" s="1235"/>
      <c r="FW110" s="1235"/>
      <c r="FX110" s="1226"/>
    </row>
    <row s="949" customFormat="1" customHeight="1" ht="12">
      <c r="A111" s="948"/>
      <c r="B111" s="947"/>
      <c r="C111" s="948"/>
      <c r="D111" s="948"/>
      <c r="E111" s="948"/>
      <c r="F111" s="1237"/>
      <c r="G111" s="1824" t="s">
        <v>2266</v>
      </c>
      <c r="H111" s="1238"/>
      <c r="I111" s="1238"/>
      <c r="J111" s="1238"/>
      <c r="K111" s="1238"/>
      <c r="L111" s="1238"/>
      <c r="M111" s="1238"/>
      <c r="N111" s="1238"/>
      <c r="O111" s="1238"/>
      <c r="P111" s="1238"/>
      <c r="Q111" s="1238"/>
      <c r="R111" s="1238"/>
      <c r="S111" s="1238"/>
      <c r="T111" s="1238"/>
      <c r="U111" s="1238"/>
      <c r="V111" s="1238"/>
      <c r="W111" s="1238"/>
      <c r="X111" s="1238"/>
      <c r="Y111" s="1238"/>
      <c r="Z111" s="1238"/>
      <c r="AA111" s="1238"/>
      <c r="AB111" s="1238"/>
      <c r="AC111" s="1238"/>
      <c r="AD111" s="1238"/>
      <c r="AE111" s="1238"/>
      <c r="AF111" s="1238"/>
      <c r="AG111" s="1238"/>
      <c r="AH111" s="1238"/>
      <c r="AI111" s="1238"/>
      <c r="AJ111" s="1238"/>
      <c r="AK111" s="1238"/>
      <c r="AL111" s="1238"/>
      <c r="AM111" s="1238"/>
      <c r="AN111" s="1238"/>
      <c r="AO111" s="1238"/>
      <c r="AP111" s="1238"/>
      <c r="AQ111" s="1238"/>
      <c r="AR111" s="1238"/>
      <c r="AS111" s="1238"/>
      <c r="AT111" s="1238"/>
      <c r="AU111" s="1238"/>
      <c r="AV111" s="1238"/>
      <c r="AW111" s="1238"/>
      <c r="AX111" s="1238"/>
      <c r="AY111" s="1238"/>
      <c r="AZ111" s="1238"/>
      <c r="BA111" s="1238"/>
      <c r="BB111" s="1238"/>
      <c r="BC111" s="1238"/>
      <c r="BD111" s="1238"/>
      <c r="BE111" s="1238"/>
      <c r="BF111" s="1238"/>
      <c r="BG111" s="1238"/>
      <c r="BH111" s="1238"/>
      <c r="BI111" s="1238"/>
      <c r="BJ111" s="1238"/>
      <c r="BK111" s="1238"/>
      <c r="BL111" s="1238"/>
      <c r="BM111" s="1238"/>
      <c r="BN111" s="1238"/>
      <c r="BO111" s="1238"/>
      <c r="BP111" s="1238"/>
      <c r="BQ111" s="1238"/>
      <c r="BR111" s="1238"/>
      <c r="BS111" s="1238"/>
      <c r="BT111" s="1238"/>
      <c r="BU111" s="1238"/>
      <c r="BV111" s="1238"/>
      <c r="BW111" s="1238"/>
      <c r="BX111" s="1238"/>
      <c r="BY111" s="1238"/>
      <c r="BZ111" s="1238"/>
      <c r="CA111" s="1238"/>
      <c r="CB111" s="1238"/>
      <c r="CC111" s="1238"/>
      <c r="CD111" s="1238"/>
      <c r="CE111" s="1238"/>
      <c r="CF111" s="1238"/>
      <c r="CG111" s="1238"/>
      <c r="CH111" s="1238"/>
      <c r="CI111" s="1238"/>
      <c r="CJ111" s="1238"/>
      <c r="CK111" s="1238"/>
      <c r="CL111" s="1238"/>
      <c r="CM111" s="1238"/>
      <c r="CN111" s="1238"/>
      <c r="CO111" s="1238"/>
      <c r="CP111" s="1238"/>
      <c r="CQ111" s="1238"/>
      <c r="CR111" s="1238"/>
      <c r="CS111" s="1238"/>
      <c r="CT111" s="1238"/>
      <c r="CU111" s="1238"/>
      <c r="CV111" s="1238"/>
      <c r="CW111" s="1238"/>
      <c r="CX111" s="1238"/>
      <c r="CY111" s="1238"/>
      <c r="CZ111" s="1238"/>
      <c r="DA111" s="1238"/>
      <c r="DB111" s="1238"/>
      <c r="DC111" s="1238"/>
      <c r="DD111" s="1238"/>
      <c r="DE111" s="1238"/>
      <c r="DF111" s="1238"/>
      <c r="DG111" s="1238"/>
      <c r="DH111" s="1238"/>
      <c r="DI111" s="1238"/>
      <c r="DJ111" s="1238"/>
      <c r="DK111" s="1238"/>
      <c r="DL111" s="1238"/>
      <c r="DM111" s="1238"/>
      <c r="DN111" s="1238"/>
      <c r="DO111" s="1238"/>
      <c r="DP111" s="1238"/>
      <c r="DQ111" s="1238"/>
      <c r="DR111" s="1238"/>
      <c r="DS111" s="1238"/>
      <c r="DT111" s="1238"/>
      <c r="DU111" s="1238"/>
      <c r="DV111" s="1238"/>
      <c r="DW111" s="1238"/>
      <c r="DX111" s="1238"/>
      <c r="DY111" s="1238"/>
      <c r="DZ111" s="1238"/>
      <c r="EA111" s="1238"/>
      <c r="EB111" s="1238"/>
      <c r="EC111" s="1238"/>
      <c r="ED111" s="1238"/>
      <c r="EE111" s="1238"/>
      <c r="EF111" s="1238"/>
      <c r="EG111" s="1238"/>
      <c r="EH111" s="1238"/>
      <c r="EI111" s="1238"/>
      <c r="EJ111" s="1238"/>
      <c r="EK111" s="1238"/>
      <c r="EL111" s="1238"/>
      <c r="EM111" s="1238"/>
      <c r="EN111" s="1238"/>
      <c r="EO111" s="1238"/>
      <c r="EP111" s="1238"/>
      <c r="EQ111" s="1238"/>
      <c r="ER111" s="1238"/>
      <c r="ES111" s="1238"/>
      <c r="ET111" s="1238"/>
      <c r="EU111" s="1238"/>
      <c r="EV111" s="1238"/>
      <c r="EW111" s="1238"/>
      <c r="EX111" s="1238"/>
      <c r="EY111" s="1238"/>
      <c r="EZ111" s="1238"/>
      <c r="FA111" s="1238"/>
      <c r="FB111" s="1238"/>
      <c r="FC111" s="1238"/>
      <c r="FD111" s="1238"/>
      <c r="FE111" s="1238"/>
      <c r="FF111" s="1238"/>
      <c r="FG111" s="1238"/>
      <c r="FH111" s="1238"/>
      <c r="FI111" s="1238"/>
      <c r="FJ111" s="1238"/>
      <c r="FK111" s="1238"/>
      <c r="FL111" s="1238"/>
      <c r="FM111" s="1238"/>
      <c r="FN111" s="1238"/>
      <c r="FO111" s="1238"/>
      <c r="FP111" s="1238"/>
      <c r="FQ111" s="1238"/>
      <c r="FR111" s="1238"/>
      <c r="FS111" s="1238"/>
      <c r="FT111" s="1238"/>
      <c r="FU111" s="1238"/>
      <c r="FV111" s="1238"/>
      <c r="FW111" s="1239"/>
      <c r="FX111" s="1240"/>
      <c r="FY111" s="965"/>
      <c r="FZ111" s="965"/>
      <c r="GA111" s="965"/>
      <c r="GB111" s="965"/>
    </row>
    <row r="113" s="1839" customFormat="1" customHeight="1" ht="11.25">
      <c r="A113" s="1839" t="s">
        <v>2267</v>
      </c>
    </row>
    <row r="115" s="1874" customFormat="1" customHeight="1" ht="15">
      <c r="A115" s="647"/>
      <c r="B115" s="648"/>
      <c r="C115" s="648"/>
      <c r="D115" s="2602" t="s">
        <v>170</v>
      </c>
      <c r="E115" s="2401" t="s">
        <v>166</v>
      </c>
      <c r="F115" s="2402"/>
      <c r="G115" s="2403"/>
      <c r="H115" s="2407" t="str">
        <f>IF(A115="","",INDEX(DIFFERENTIATION_UNMERGE_VD,MATCH(A115,DIFFERENTIATION_ID_DIFF,0)))</f>
        <v/>
      </c>
      <c r="I115" s="2407"/>
      <c r="J115" s="2407"/>
      <c r="K115" s="2407"/>
      <c r="L115" s="2407"/>
      <c r="M115" s="2407"/>
      <c r="N115" s="2407"/>
      <c r="O115" s="2407"/>
      <c r="P115" s="2407"/>
      <c r="Q115" s="2407"/>
      <c r="R115" s="2407"/>
      <c r="S115" s="743"/>
      <c r="T115" s="740"/>
      <c r="U115" s="649"/>
      <c r="V115" s="649"/>
      <c r="W115" s="650"/>
      <c r="X115" s="650"/>
      <c r="Y115" s="650"/>
      <c r="Z115" s="650"/>
      <c r="AA115" s="651"/>
      <c r="AB115" s="652"/>
      <c r="AC115" s="2399"/>
      <c r="AD115" s="653"/>
      <c r="AE115" s="654" t="s">
        <v>22</v>
      </c>
      <c r="AF115" s="654"/>
      <c r="AG115" s="655" t="s">
        <v>693</v>
      </c>
      <c r="AH115" s="656">
        <v>3</v>
      </c>
      <c r="AI115" s="649"/>
      <c r="AJ115" s="649"/>
      <c r="AK115" s="649"/>
      <c r="AL115" s="649"/>
      <c r="AM115" s="649"/>
      <c r="AN115" s="649"/>
      <c r="AO115" s="649"/>
      <c r="AP115" s="649"/>
      <c r="AQ115" s="649"/>
      <c r="AR115" s="649"/>
      <c r="AS115" s="649"/>
      <c r="AT115" s="649"/>
      <c r="AU115" s="649"/>
      <c r="AV115" s="649"/>
      <c r="AW115" s="649"/>
      <c r="AX115" s="649"/>
      <c r="AY115" s="649"/>
      <c r="AZ115" s="649"/>
      <c r="BA115" s="649"/>
      <c r="BB115" s="649"/>
      <c r="BC115" s="649"/>
      <c r="BD115" s="649"/>
      <c r="BE115" s="649"/>
      <c r="BF115" s="649"/>
      <c r="BG115" s="649"/>
      <c r="BH115" s="649"/>
      <c r="BI115" s="649"/>
      <c r="BJ115" s="649"/>
      <c r="BK115" s="649"/>
      <c r="BL115" s="649"/>
      <c r="BM115" s="649"/>
      <c r="BN115" s="649"/>
      <c r="BO115" s="649"/>
      <c r="BP115" s="649"/>
      <c r="BQ115" s="649"/>
      <c r="BR115" s="649"/>
      <c r="BS115" s="649"/>
      <c r="BT115" s="649"/>
      <c r="BU115" s="649"/>
      <c r="BV115" s="650"/>
      <c r="BW115" s="650"/>
      <c r="BX115" s="650"/>
      <c r="BY115" s="650"/>
      <c r="BZ115" s="650"/>
      <c r="CA115" s="650"/>
      <c r="CB115" s="650"/>
      <c r="CC115" s="650"/>
      <c r="CD115" s="650"/>
      <c r="CE115" s="650"/>
    </row>
    <row s="1874" customFormat="1" customHeight="1" ht="15">
      <c r="A116" s="647"/>
      <c r="B116" s="648"/>
      <c r="C116" s="648"/>
      <c r="D116" s="2603"/>
      <c r="E116" s="2401" t="s">
        <v>648</v>
      </c>
      <c r="F116" s="2402"/>
      <c r="G116" s="2403"/>
      <c r="H116" s="2407" t="str">
        <f>IF(A115="","",INDEX(DIFFERENTIATION_UNMERGE_AREA,MATCH(A115,DIFFERENTIATION_ID_DIFF,0)))</f>
        <v/>
      </c>
      <c r="I116" s="2407"/>
      <c r="J116" s="2407"/>
      <c r="K116" s="2407"/>
      <c r="L116" s="2407"/>
      <c r="M116" s="2407"/>
      <c r="N116" s="2407"/>
      <c r="O116" s="2407"/>
      <c r="P116" s="2407"/>
      <c r="Q116" s="2407"/>
      <c r="R116" s="2407"/>
      <c r="S116" s="743"/>
      <c r="T116" s="740"/>
      <c r="U116" s="649"/>
      <c r="V116" s="649"/>
      <c r="W116" s="650"/>
      <c r="X116" s="650"/>
      <c r="Y116" s="650"/>
      <c r="Z116" s="650"/>
      <c r="AA116" s="651"/>
      <c r="AB116" s="652"/>
      <c r="AC116" s="2399"/>
      <c r="AD116" s="653"/>
      <c r="AE116" s="654"/>
      <c r="AF116" s="654"/>
      <c r="AG116" s="655"/>
      <c r="AH116" s="656"/>
      <c r="AI116" s="649"/>
      <c r="AJ116" s="649"/>
      <c r="AK116" s="649"/>
      <c r="AL116" s="649"/>
      <c r="AM116" s="649"/>
      <c r="AN116" s="649"/>
      <c r="AO116" s="649"/>
      <c r="AP116" s="649"/>
      <c r="AQ116" s="649"/>
      <c r="AR116" s="649"/>
      <c r="AS116" s="649"/>
      <c r="AT116" s="649"/>
      <c r="AU116" s="649"/>
      <c r="AV116" s="649"/>
      <c r="AW116" s="649"/>
      <c r="AX116" s="649"/>
      <c r="AY116" s="649"/>
      <c r="AZ116" s="649"/>
      <c r="BA116" s="649"/>
      <c r="BB116" s="649"/>
      <c r="BC116" s="649"/>
      <c r="BD116" s="649"/>
      <c r="BE116" s="649"/>
      <c r="BF116" s="649"/>
      <c r="BG116" s="649"/>
      <c r="BH116" s="649"/>
      <c r="BI116" s="649"/>
      <c r="BJ116" s="649"/>
      <c r="BK116" s="649"/>
      <c r="BL116" s="649"/>
      <c r="BM116" s="649"/>
      <c r="BN116" s="649"/>
      <c r="BO116" s="649"/>
      <c r="BP116" s="649"/>
      <c r="BQ116" s="649"/>
      <c r="BR116" s="649"/>
      <c r="BS116" s="649"/>
      <c r="BT116" s="649"/>
      <c r="BU116" s="649"/>
      <c r="BV116" s="650"/>
      <c r="BW116" s="650"/>
      <c r="BX116" s="650"/>
      <c r="BY116" s="650"/>
      <c r="BZ116" s="650"/>
      <c r="CA116" s="650"/>
      <c r="CB116" s="650"/>
      <c r="CC116" s="650"/>
      <c r="CD116" s="650"/>
      <c r="CE116" s="650"/>
    </row>
    <row s="1874" customFormat="1" customHeight="1" ht="15">
      <c r="A117" s="647"/>
      <c r="B117" s="648"/>
      <c r="C117" s="648"/>
      <c r="D117" s="2603"/>
      <c r="E117" s="2401" t="s">
        <v>649</v>
      </c>
      <c r="F117" s="2402"/>
      <c r="G117" s="2403"/>
      <c r="H117" s="2407" t="str">
        <f>IF(A115="","",INDEX(DIFFERENTIATION_UNMERGE_SYSTEM,MATCH(A115,DIFFERENTIATION_ID_DIFF,0)))</f>
        <v/>
      </c>
      <c r="I117" s="2407"/>
      <c r="J117" s="2407"/>
      <c r="K117" s="2407"/>
      <c r="L117" s="2407"/>
      <c r="M117" s="2407"/>
      <c r="N117" s="2407"/>
      <c r="O117" s="2407"/>
      <c r="P117" s="2407"/>
      <c r="Q117" s="2407"/>
      <c r="R117" s="2407"/>
      <c r="S117" s="743"/>
      <c r="T117" s="740"/>
      <c r="U117" s="649"/>
      <c r="V117" s="649"/>
      <c r="W117" s="650"/>
      <c r="X117" s="650"/>
      <c r="Y117" s="650"/>
      <c r="Z117" s="650"/>
      <c r="AA117" s="651"/>
      <c r="AB117" s="652"/>
      <c r="AC117" s="2399"/>
      <c r="AD117" s="653"/>
      <c r="AE117" s="654"/>
      <c r="AF117" s="654"/>
      <c r="AG117" s="655"/>
      <c r="AH117" s="656"/>
      <c r="AI117" s="649"/>
      <c r="AJ117" s="649"/>
      <c r="AK117" s="649"/>
      <c r="AL117" s="649"/>
      <c r="AM117" s="649"/>
      <c r="AN117" s="649"/>
      <c r="AO117" s="649"/>
      <c r="AP117" s="649"/>
      <c r="AQ117" s="649"/>
      <c r="AR117" s="649"/>
      <c r="AS117" s="649"/>
      <c r="AT117" s="649"/>
      <c r="AU117" s="649"/>
      <c r="AV117" s="649"/>
      <c r="AW117" s="649"/>
      <c r="AX117" s="649"/>
      <c r="AY117" s="649"/>
      <c r="AZ117" s="649"/>
      <c r="BA117" s="649"/>
      <c r="BB117" s="649"/>
      <c r="BC117" s="649"/>
      <c r="BD117" s="649"/>
      <c r="BE117" s="649"/>
      <c r="BF117" s="649"/>
      <c r="BG117" s="649"/>
      <c r="BH117" s="649"/>
      <c r="BI117" s="649"/>
      <c r="BJ117" s="649"/>
      <c r="BK117" s="649"/>
      <c r="BL117" s="649"/>
      <c r="BM117" s="649"/>
      <c r="BN117" s="649"/>
      <c r="BO117" s="649"/>
      <c r="BP117" s="649"/>
      <c r="BQ117" s="649"/>
      <c r="BR117" s="649"/>
      <c r="BS117" s="649"/>
      <c r="BT117" s="649"/>
      <c r="BU117" s="649"/>
      <c r="BV117" s="650"/>
      <c r="BW117" s="650"/>
      <c r="BX117" s="650"/>
      <c r="BY117" s="650"/>
      <c r="BZ117" s="650"/>
      <c r="CA117" s="650"/>
      <c r="CB117" s="650"/>
      <c r="CC117" s="650"/>
      <c r="CD117" s="650"/>
      <c r="CE117" s="650"/>
    </row>
    <row s="1874" customFormat="1" customHeight="1" ht="24.75">
      <c r="A118" s="1830"/>
      <c r="B118" s="1184"/>
      <c r="C118" s="436"/>
      <c r="D118" s="2603"/>
      <c r="E118" s="2400" t="s">
        <v>694</v>
      </c>
      <c r="F118" s="2400"/>
      <c r="G118" s="2400"/>
      <c r="H118" s="2400"/>
      <c r="I118" s="2400"/>
      <c r="J118" s="2400"/>
      <c r="K118" s="2400"/>
      <c r="L118" s="2400"/>
      <c r="M118" s="2400"/>
      <c r="N118" s="2400"/>
      <c r="O118" s="2400"/>
      <c r="P118" s="2400"/>
      <c r="Q118" s="582">
        <f>SUMIF(T119:T120,"i",Q119:Q120)</f>
        <v>0</v>
      </c>
      <c r="R118" s="1041"/>
      <c r="S118" s="1822" t="s">
        <v>695</v>
      </c>
      <c r="T118" s="741" t="s">
        <v>696</v>
      </c>
      <c r="U118" s="2398">
        <v>1</v>
      </c>
      <c r="V118" s="2398" t="s">
        <v>659</v>
      </c>
      <c r="W118" s="1184"/>
      <c r="X118" s="1184"/>
      <c r="Y118" s="1184"/>
      <c r="Z118" s="1184"/>
      <c r="AA118" s="1660"/>
      <c r="AB118" s="1184"/>
      <c r="AC118" s="2399"/>
      <c r="AD118" s="653"/>
      <c r="AE118" s="1184"/>
      <c r="AF118" s="1184"/>
      <c r="AG118" s="1660"/>
      <c r="AH118" s="1660"/>
      <c r="AI118" s="1660"/>
      <c r="AJ118" s="1660"/>
      <c r="AK118" s="1660"/>
      <c r="AL118" s="1660"/>
      <c r="AM118" s="1660"/>
      <c r="AN118" s="1660"/>
      <c r="AO118" s="1660"/>
      <c r="AP118" s="1660"/>
      <c r="AQ118" s="1660"/>
      <c r="AR118" s="1660"/>
      <c r="AS118" s="1660"/>
      <c r="AT118" s="1660"/>
      <c r="AU118" s="1660"/>
      <c r="AV118" s="1660"/>
      <c r="AW118" s="1660"/>
      <c r="AX118" s="1660"/>
      <c r="AY118" s="1660"/>
      <c r="AZ118" s="1660"/>
      <c r="BA118" s="1660"/>
      <c r="BB118" s="1660"/>
      <c r="BC118" s="1660"/>
      <c r="BD118" s="1660"/>
      <c r="BE118" s="1660"/>
      <c r="BF118" s="1660"/>
      <c r="BG118" s="1660"/>
      <c r="BH118" s="1660"/>
      <c r="BI118" s="1660"/>
      <c r="BJ118" s="1660"/>
      <c r="BK118" s="1660"/>
      <c r="BL118" s="1660"/>
      <c r="BM118" s="1660"/>
      <c r="BN118" s="1660"/>
      <c r="BO118" s="1660"/>
      <c r="BP118" s="1660"/>
      <c r="BQ118" s="1660"/>
      <c r="BR118" s="1660"/>
      <c r="BS118" s="1660"/>
      <c r="BT118" s="1660"/>
      <c r="BU118" s="1660"/>
      <c r="BV118" s="1184"/>
      <c r="BW118" s="1184"/>
      <c r="BX118" s="1184"/>
      <c r="BY118" s="1184"/>
      <c r="BZ118" s="1184"/>
      <c r="CA118" s="1184"/>
      <c r="CB118" s="1184"/>
      <c r="CC118" s="1184"/>
      <c r="CD118" s="1184"/>
      <c r="CE118" s="1184"/>
    </row>
    <row s="1874" customFormat="1" customHeight="1" ht="11.25" hidden="1">
      <c r="A119" s="1817"/>
      <c r="B119" s="1660"/>
      <c r="C119" s="1660"/>
      <c r="D119" s="2603"/>
      <c r="E119" s="659"/>
      <c r="F119" s="659">
        <v>0</v>
      </c>
      <c r="G119" s="659"/>
      <c r="H119" s="659"/>
      <c r="I119" s="659"/>
      <c r="J119" s="659"/>
      <c r="K119" s="659"/>
      <c r="L119" s="659"/>
      <c r="M119" s="659"/>
      <c r="N119" s="659"/>
      <c r="O119" s="659"/>
      <c r="P119" s="659"/>
      <c r="Q119" s="659"/>
      <c r="R119" s="659"/>
      <c r="S119" s="660"/>
      <c r="T119" s="742"/>
      <c r="U119" s="2398"/>
      <c r="V119" s="2398"/>
      <c r="W119" s="1660"/>
      <c r="X119" s="1660"/>
      <c r="Y119" s="1660"/>
      <c r="Z119" s="1660"/>
      <c r="AA119" s="1660"/>
      <c r="AB119" s="1184"/>
      <c r="AC119" s="2399"/>
      <c r="AD119" s="653"/>
      <c r="AE119" s="1184"/>
      <c r="AF119" s="1184"/>
      <c r="AG119" s="1660"/>
      <c r="AH119" s="1660"/>
      <c r="AI119" s="1660"/>
      <c r="AJ119" s="1660"/>
      <c r="AK119" s="1660"/>
      <c r="AL119" s="1660"/>
      <c r="AM119" s="1660"/>
      <c r="AN119" s="1660"/>
      <c r="AO119" s="1660"/>
      <c r="AP119" s="1660"/>
      <c r="AQ119" s="1660"/>
      <c r="AR119" s="1660"/>
      <c r="AS119" s="1660"/>
      <c r="AT119" s="1660"/>
      <c r="AU119" s="1660"/>
      <c r="AV119" s="1660"/>
      <c r="AW119" s="1660"/>
      <c r="AX119" s="1660"/>
      <c r="AY119" s="1660"/>
      <c r="AZ119" s="1660"/>
      <c r="BA119" s="1660"/>
      <c r="BB119" s="1660"/>
      <c r="BC119" s="1660"/>
      <c r="BD119" s="1660"/>
      <c r="BE119" s="1660"/>
      <c r="BF119" s="1660"/>
      <c r="BG119" s="1660"/>
      <c r="BH119" s="1660"/>
      <c r="BI119" s="1660"/>
      <c r="BJ119" s="1660"/>
      <c r="BK119" s="1660"/>
      <c r="BL119" s="1660"/>
      <c r="BM119" s="1660"/>
      <c r="BN119" s="1660"/>
      <c r="BO119" s="1660"/>
      <c r="BP119" s="1660"/>
      <c r="BQ119" s="1660"/>
      <c r="BR119" s="1660"/>
      <c r="BS119" s="1660"/>
      <c r="BT119" s="1660"/>
      <c r="BU119" s="1660"/>
      <c r="BV119" s="1660"/>
      <c r="BW119" s="1660"/>
      <c r="BX119" s="1660"/>
      <c r="BY119" s="1660"/>
      <c r="BZ119" s="1660"/>
      <c r="CA119" s="1660"/>
      <c r="CB119" s="1660"/>
      <c r="CC119" s="1660"/>
      <c r="CD119" s="1660"/>
      <c r="CE119" s="1660"/>
    </row>
    <row s="1874" customFormat="1" customHeight="1" ht="11.25">
      <c r="A120" s="1830"/>
      <c r="B120" s="1184"/>
      <c r="C120" s="436"/>
      <c r="D120" s="2603"/>
      <c r="E120" s="673" t="s">
        <v>22</v>
      </c>
      <c r="F120" s="1192" t="s">
        <v>22</v>
      </c>
      <c r="G120" s="1192" t="s">
        <v>699</v>
      </c>
      <c r="H120" s="675" t="s">
        <v>22</v>
      </c>
      <c r="I120" s="675"/>
      <c r="J120" s="675"/>
      <c r="K120" s="675"/>
      <c r="L120" s="675"/>
      <c r="M120" s="675"/>
      <c r="N120" s="675"/>
      <c r="O120" s="675"/>
      <c r="P120" s="675"/>
      <c r="Q120" s="675"/>
      <c r="R120" s="676"/>
      <c r="S120" s="677"/>
      <c r="T120" s="742"/>
      <c r="U120" s="2398"/>
      <c r="V120" s="2398"/>
      <c r="W120" s="1184"/>
      <c r="X120" s="1184"/>
      <c r="Y120" s="1184"/>
      <c r="Z120" s="1184"/>
      <c r="AA120" s="1660"/>
      <c r="AB120" s="1184"/>
      <c r="AC120" s="2399"/>
      <c r="AD120" s="653"/>
      <c r="AE120" s="1184"/>
      <c r="AF120" s="1184"/>
      <c r="AG120" s="1660"/>
      <c r="AH120" s="1660"/>
      <c r="AI120" s="1660"/>
      <c r="AJ120" s="1660"/>
      <c r="AK120" s="1660"/>
      <c r="AL120" s="1660"/>
      <c r="AM120" s="1660"/>
      <c r="AN120" s="1660"/>
      <c r="AO120" s="1660"/>
      <c r="AP120" s="1660"/>
      <c r="AQ120" s="1660"/>
      <c r="AR120" s="1660"/>
      <c r="AS120" s="1660"/>
      <c r="AT120" s="1660"/>
      <c r="AU120" s="1660"/>
      <c r="AV120" s="1660"/>
      <c r="AW120" s="1660"/>
      <c r="AX120" s="1660"/>
      <c r="AY120" s="1660"/>
      <c r="AZ120" s="1660"/>
      <c r="BA120" s="1660"/>
      <c r="BB120" s="1660"/>
      <c r="BC120" s="1660"/>
      <c r="BD120" s="1660"/>
      <c r="BE120" s="1660"/>
      <c r="BF120" s="1660"/>
      <c r="BG120" s="1660"/>
      <c r="BH120" s="1660"/>
      <c r="BI120" s="1660"/>
      <c r="BJ120" s="1660"/>
      <c r="BK120" s="1660"/>
      <c r="BL120" s="1660"/>
      <c r="BM120" s="1660"/>
      <c r="BN120" s="1660"/>
      <c r="BO120" s="1660"/>
      <c r="BP120" s="1660"/>
      <c r="BQ120" s="1660"/>
      <c r="BR120" s="1660"/>
      <c r="BS120" s="1660"/>
      <c r="BT120" s="1660"/>
      <c r="BU120" s="1660"/>
      <c r="BV120" s="1184"/>
      <c r="BW120" s="1184"/>
      <c r="BX120" s="1184"/>
      <c r="BY120" s="1184"/>
      <c r="BZ120" s="1184"/>
      <c r="CA120" s="1184"/>
      <c r="CB120" s="1184"/>
      <c r="CC120" s="1184"/>
      <c r="CD120" s="1184"/>
      <c r="CE120" s="1184"/>
    </row>
    <row s="1874" customFormat="1" customHeight="1" ht="24.75">
      <c r="A121" s="1830"/>
      <c r="B121" s="1184"/>
      <c r="C121" s="436"/>
      <c r="D121" s="2603"/>
      <c r="E121" s="2400" t="s">
        <v>697</v>
      </c>
      <c r="F121" s="2400"/>
      <c r="G121" s="2400"/>
      <c r="H121" s="2400"/>
      <c r="I121" s="2400"/>
      <c r="J121" s="2400"/>
      <c r="K121" s="2400"/>
      <c r="L121" s="2400"/>
      <c r="M121" s="2400"/>
      <c r="N121" s="2400"/>
      <c r="O121" s="2400"/>
      <c r="P121" s="2400"/>
      <c r="Q121" s="582">
        <f>SUMIF(T122:T123,"i",Q122:Q123)</f>
        <v>0</v>
      </c>
      <c r="R121" s="1041"/>
      <c r="S121" s="1822" t="s">
        <v>698</v>
      </c>
      <c r="T121" s="741" t="s">
        <v>696</v>
      </c>
      <c r="U121" s="2398">
        <v>1</v>
      </c>
      <c r="V121" s="2398" t="s">
        <v>659</v>
      </c>
      <c r="W121" s="1184"/>
      <c r="X121" s="1184"/>
      <c r="Y121" s="1184"/>
      <c r="Z121" s="1184"/>
      <c r="AA121" s="1660"/>
      <c r="AB121" s="1184"/>
      <c r="AC121" s="1820"/>
      <c r="AD121" s="653"/>
      <c r="AE121" s="1184"/>
      <c r="AF121" s="1184"/>
      <c r="AG121" s="1660"/>
      <c r="AH121" s="1660"/>
      <c r="AI121" s="1660"/>
      <c r="AJ121" s="1660"/>
      <c r="AK121" s="1660"/>
      <c r="AL121" s="1660"/>
      <c r="AM121" s="1660"/>
      <c r="AN121" s="1660"/>
      <c r="AO121" s="1660"/>
      <c r="AP121" s="1660"/>
      <c r="AQ121" s="1660"/>
      <c r="AR121" s="1660"/>
      <c r="AS121" s="1660"/>
      <c r="AT121" s="1660"/>
      <c r="AU121" s="1660"/>
      <c r="AV121" s="1660"/>
      <c r="AW121" s="1660"/>
      <c r="AX121" s="1660"/>
      <c r="AY121" s="1660"/>
      <c r="AZ121" s="1660"/>
      <c r="BA121" s="1660"/>
      <c r="BB121" s="1660"/>
      <c r="BC121" s="1660"/>
      <c r="BD121" s="1660"/>
      <c r="BE121" s="1660"/>
      <c r="BF121" s="1660"/>
      <c r="BG121" s="1660"/>
      <c r="BH121" s="1660"/>
      <c r="BI121" s="1660"/>
      <c r="BJ121" s="1660"/>
      <c r="BK121" s="1660"/>
      <c r="BL121" s="1660"/>
      <c r="BM121" s="1660"/>
      <c r="BN121" s="1660"/>
      <c r="BO121" s="1660"/>
      <c r="BP121" s="1660"/>
      <c r="BQ121" s="1660"/>
      <c r="BR121" s="1660"/>
      <c r="BS121" s="1660"/>
      <c r="BT121" s="1660"/>
      <c r="BU121" s="1660"/>
      <c r="BV121" s="1184"/>
      <c r="BW121" s="1184"/>
      <c r="BX121" s="1184"/>
      <c r="BY121" s="1184"/>
      <c r="BZ121" s="1184"/>
      <c r="CA121" s="1184"/>
      <c r="CB121" s="1184"/>
      <c r="CC121" s="1184"/>
      <c r="CD121" s="1184"/>
      <c r="CE121" s="1184"/>
    </row>
    <row s="1874" customFormat="1" customHeight="1" ht="11.25" hidden="1">
      <c r="A122" s="1817"/>
      <c r="B122" s="1660"/>
      <c r="C122" s="1660"/>
      <c r="D122" s="2603"/>
      <c r="E122" s="659"/>
      <c r="F122" s="659">
        <v>0</v>
      </c>
      <c r="G122" s="659"/>
      <c r="H122" s="659"/>
      <c r="I122" s="659"/>
      <c r="J122" s="659"/>
      <c r="K122" s="659"/>
      <c r="L122" s="659"/>
      <c r="M122" s="659"/>
      <c r="N122" s="659"/>
      <c r="O122" s="659"/>
      <c r="P122" s="659"/>
      <c r="Q122" s="659"/>
      <c r="R122" s="659"/>
      <c r="S122" s="660"/>
      <c r="T122" s="742"/>
      <c r="U122" s="2398"/>
      <c r="V122" s="2398"/>
      <c r="W122" s="1660"/>
      <c r="X122" s="1660"/>
      <c r="Y122" s="1660"/>
      <c r="Z122" s="1660"/>
      <c r="AA122" s="1660"/>
      <c r="AB122" s="1184"/>
      <c r="AC122" s="1820"/>
      <c r="AD122" s="653"/>
      <c r="AE122" s="1184"/>
      <c r="AF122" s="1184"/>
      <c r="AG122" s="1660"/>
      <c r="AH122" s="1660"/>
      <c r="AI122" s="1660"/>
      <c r="AJ122" s="1660"/>
      <c r="AK122" s="1660"/>
      <c r="AL122" s="1660"/>
      <c r="AM122" s="1660"/>
      <c r="AN122" s="1660"/>
      <c r="AO122" s="1660"/>
      <c r="AP122" s="1660"/>
      <c r="AQ122" s="1660"/>
      <c r="AR122" s="1660"/>
      <c r="AS122" s="1660"/>
      <c r="AT122" s="1660"/>
      <c r="AU122" s="1660"/>
      <c r="AV122" s="1660"/>
      <c r="AW122" s="1660"/>
      <c r="AX122" s="1660"/>
      <c r="AY122" s="1660"/>
      <c r="AZ122" s="1660"/>
      <c r="BA122" s="1660"/>
      <c r="BB122" s="1660"/>
      <c r="BC122" s="1660"/>
      <c r="BD122" s="1660"/>
      <c r="BE122" s="1660"/>
      <c r="BF122" s="1660"/>
      <c r="BG122" s="1660"/>
      <c r="BH122" s="1660"/>
      <c r="BI122" s="1660"/>
      <c r="BJ122" s="1660"/>
      <c r="BK122" s="1660"/>
      <c r="BL122" s="1660"/>
      <c r="BM122" s="1660"/>
      <c r="BN122" s="1660"/>
      <c r="BO122" s="1660"/>
      <c r="BP122" s="1660"/>
      <c r="BQ122" s="1660"/>
      <c r="BR122" s="1660"/>
      <c r="BS122" s="1660"/>
      <c r="BT122" s="1660"/>
      <c r="BU122" s="1660"/>
      <c r="BV122" s="1660"/>
      <c r="BW122" s="1660"/>
      <c r="BX122" s="1660"/>
      <c r="BY122" s="1660"/>
      <c r="BZ122" s="1660"/>
      <c r="CA122" s="1660"/>
      <c r="CB122" s="1660"/>
      <c r="CC122" s="1660"/>
      <c r="CD122" s="1660"/>
      <c r="CE122" s="1660"/>
    </row>
    <row s="1874" customFormat="1" customHeight="1" ht="11.25">
      <c r="A123" s="1830"/>
      <c r="B123" s="1184"/>
      <c r="C123" s="436"/>
      <c r="D123" s="2604"/>
      <c r="E123" s="673" t="s">
        <v>22</v>
      </c>
      <c r="F123" s="1192" t="s">
        <v>22</v>
      </c>
      <c r="G123" s="1192" t="s">
        <v>699</v>
      </c>
      <c r="H123" s="675" t="s">
        <v>22</v>
      </c>
      <c r="I123" s="675"/>
      <c r="J123" s="675"/>
      <c r="K123" s="675"/>
      <c r="L123" s="675"/>
      <c r="M123" s="675"/>
      <c r="N123" s="675"/>
      <c r="O123" s="675"/>
      <c r="P123" s="675"/>
      <c r="Q123" s="675"/>
      <c r="R123" s="676"/>
      <c r="S123" s="677"/>
      <c r="T123" s="742"/>
      <c r="U123" s="2398"/>
      <c r="V123" s="2398"/>
      <c r="W123" s="1184"/>
      <c r="X123" s="1184"/>
      <c r="Y123" s="1184"/>
      <c r="Z123" s="1184"/>
      <c r="AA123" s="1660"/>
      <c r="AB123" s="1184"/>
      <c r="AC123" s="1820"/>
      <c r="AD123" s="653"/>
      <c r="AE123" s="1184"/>
      <c r="AF123" s="1184"/>
      <c r="AG123" s="1660"/>
      <c r="AH123" s="1660"/>
      <c r="AI123" s="1660"/>
      <c r="AJ123" s="1660"/>
      <c r="AK123" s="1660"/>
      <c r="AL123" s="1660"/>
      <c r="AM123" s="1660"/>
      <c r="AN123" s="1660"/>
      <c r="AO123" s="1660"/>
      <c r="AP123" s="1660"/>
      <c r="AQ123" s="1660"/>
      <c r="AR123" s="1660"/>
      <c r="AS123" s="1660"/>
      <c r="AT123" s="1660"/>
      <c r="AU123" s="1660"/>
      <c r="AV123" s="1660"/>
      <c r="AW123" s="1660"/>
      <c r="AX123" s="1660"/>
      <c r="AY123" s="1660"/>
      <c r="AZ123" s="1660"/>
      <c r="BA123" s="1660"/>
      <c r="BB123" s="1660"/>
      <c r="BC123" s="1660"/>
      <c r="BD123" s="1660"/>
      <c r="BE123" s="1660"/>
      <c r="BF123" s="1660"/>
      <c r="BG123" s="1660"/>
      <c r="BH123" s="1660"/>
      <c r="BI123" s="1660"/>
      <c r="BJ123" s="1660"/>
      <c r="BK123" s="1660"/>
      <c r="BL123" s="1660"/>
      <c r="BM123" s="1660"/>
      <c r="BN123" s="1660"/>
      <c r="BO123" s="1660"/>
      <c r="BP123" s="1660"/>
      <c r="BQ123" s="1660"/>
      <c r="BR123" s="1660"/>
      <c r="BS123" s="1660"/>
      <c r="BT123" s="1660"/>
      <c r="BU123" s="1660"/>
      <c r="BV123" s="1184"/>
      <c r="BW123" s="1184"/>
      <c r="BX123" s="1184"/>
      <c r="BY123" s="1184"/>
      <c r="BZ123" s="1184"/>
      <c r="CA123" s="1184"/>
      <c r="CB123" s="1184"/>
      <c r="CC123" s="1184"/>
      <c r="CD123" s="1184"/>
      <c r="CE123" s="1184"/>
    </row>
    <row r="125" s="1839" customFormat="1" customHeight="1" ht="11.25">
      <c r="A125" s="1839" t="s">
        <v>2268</v>
      </c>
    </row>
    <row r="127" s="1874" customFormat="1" customHeight="1" ht="15" hidden="1">
      <c r="A127" s="647"/>
      <c r="B127" s="648"/>
      <c r="C127" s="648"/>
      <c r="D127" s="2602" t="s">
        <v>170</v>
      </c>
      <c r="E127" s="2401" t="s">
        <v>166</v>
      </c>
      <c r="F127" s="2402"/>
      <c r="G127" s="2403"/>
      <c r="H127" s="2407" t="str">
        <f>IF(A127="","",INDEX(DIFFERENTIATION_UNMERGE_VD,MATCH(A127,DIFFERENTIATION_ID_DIFF,0)))</f>
        <v/>
      </c>
      <c r="I127" s="2407"/>
      <c r="J127" s="2407"/>
      <c r="K127" s="2407"/>
      <c r="L127" s="2407"/>
      <c r="M127" s="2407"/>
      <c r="N127" s="2407"/>
      <c r="O127" s="2407"/>
      <c r="P127" s="2407"/>
      <c r="Q127" s="2407"/>
      <c r="R127" s="2407"/>
      <c r="S127" s="743"/>
      <c r="T127" s="740"/>
      <c r="U127" s="649"/>
      <c r="V127" s="649"/>
      <c r="W127" s="650"/>
      <c r="X127" s="650"/>
      <c r="Y127" s="650"/>
      <c r="Z127" s="650"/>
      <c r="AA127" s="651"/>
      <c r="AB127" s="652"/>
      <c r="AC127" s="2399"/>
      <c r="AD127" s="653"/>
      <c r="AE127" s="654" t="s">
        <v>22</v>
      </c>
      <c r="AF127" s="654"/>
      <c r="AG127" s="655" t="s">
        <v>693</v>
      </c>
      <c r="AH127" s="656">
        <v>3</v>
      </c>
      <c r="AI127" s="649"/>
      <c r="AJ127" s="649"/>
      <c r="AK127" s="649"/>
      <c r="AL127" s="649"/>
      <c r="AM127" s="649"/>
      <c r="AN127" s="649"/>
      <c r="AO127" s="649"/>
      <c r="AP127" s="649"/>
      <c r="AQ127" s="649"/>
      <c r="AR127" s="649"/>
      <c r="AS127" s="649"/>
      <c r="AT127" s="649"/>
      <c r="AU127" s="649"/>
      <c r="AV127" s="649"/>
      <c r="AW127" s="649"/>
      <c r="AX127" s="649"/>
      <c r="AY127" s="649"/>
      <c r="AZ127" s="649"/>
      <c r="BA127" s="649"/>
      <c r="BB127" s="649"/>
      <c r="BC127" s="649"/>
      <c r="BD127" s="649"/>
      <c r="BE127" s="649"/>
      <c r="BF127" s="649"/>
      <c r="BG127" s="649"/>
      <c r="BH127" s="649"/>
      <c r="BI127" s="649"/>
      <c r="BJ127" s="649"/>
      <c r="BK127" s="649"/>
      <c r="BL127" s="649"/>
      <c r="BM127" s="649"/>
      <c r="BN127" s="649"/>
      <c r="BO127" s="649"/>
      <c r="BP127" s="649"/>
      <c r="BQ127" s="649"/>
      <c r="BR127" s="649"/>
      <c r="BS127" s="649"/>
      <c r="BT127" s="649"/>
      <c r="BU127" s="649"/>
      <c r="BV127" s="650"/>
      <c r="BW127" s="650"/>
      <c r="BX127" s="650"/>
      <c r="BY127" s="650"/>
      <c r="BZ127" s="650"/>
      <c r="CA127" s="650"/>
      <c r="CB127" s="650"/>
      <c r="CC127" s="650"/>
      <c r="CD127" s="650"/>
      <c r="CE127" s="650"/>
    </row>
    <row s="1874" customFormat="1" customHeight="1" ht="15" hidden="1">
      <c r="A128" s="647"/>
      <c r="B128" s="648"/>
      <c r="C128" s="648"/>
      <c r="D128" s="2603"/>
      <c r="E128" s="2401" t="s">
        <v>648</v>
      </c>
      <c r="F128" s="2402"/>
      <c r="G128" s="2403"/>
      <c r="H128" s="2407" t="str">
        <f>IF(A127="","",INDEX(DIFFERENTIATION_UNMERGE_AREA,MATCH(A127,DIFFERENTIATION_ID_DIFF,0)))</f>
        <v/>
      </c>
      <c r="I128" s="2407"/>
      <c r="J128" s="2407"/>
      <c r="K128" s="2407"/>
      <c r="L128" s="2407"/>
      <c r="M128" s="2407"/>
      <c r="N128" s="2407"/>
      <c r="O128" s="2407"/>
      <c r="P128" s="2407"/>
      <c r="Q128" s="2407"/>
      <c r="R128" s="2407"/>
      <c r="S128" s="743"/>
      <c r="T128" s="740"/>
      <c r="U128" s="649"/>
      <c r="V128" s="649"/>
      <c r="W128" s="650"/>
      <c r="X128" s="650"/>
      <c r="Y128" s="650"/>
      <c r="Z128" s="650"/>
      <c r="AA128" s="651"/>
      <c r="AB128" s="652"/>
      <c r="AC128" s="2399"/>
      <c r="AD128" s="653"/>
      <c r="AE128" s="654"/>
      <c r="AF128" s="654"/>
      <c r="AG128" s="655"/>
      <c r="AH128" s="656"/>
      <c r="AI128" s="649"/>
      <c r="AJ128" s="649"/>
      <c r="AK128" s="649"/>
      <c r="AL128" s="649"/>
      <c r="AM128" s="649"/>
      <c r="AN128" s="649"/>
      <c r="AO128" s="649"/>
      <c r="AP128" s="649"/>
      <c r="AQ128" s="649"/>
      <c r="AR128" s="649"/>
      <c r="AS128" s="649"/>
      <c r="AT128" s="649"/>
      <c r="AU128" s="649"/>
      <c r="AV128" s="649"/>
      <c r="AW128" s="649"/>
      <c r="AX128" s="649"/>
      <c r="AY128" s="649"/>
      <c r="AZ128" s="649"/>
      <c r="BA128" s="649"/>
      <c r="BB128" s="649"/>
      <c r="BC128" s="649"/>
      <c r="BD128" s="649"/>
      <c r="BE128" s="649"/>
      <c r="BF128" s="649"/>
      <c r="BG128" s="649"/>
      <c r="BH128" s="649"/>
      <c r="BI128" s="649"/>
      <c r="BJ128" s="649"/>
      <c r="BK128" s="649"/>
      <c r="BL128" s="649"/>
      <c r="BM128" s="649"/>
      <c r="BN128" s="649"/>
      <c r="BO128" s="649"/>
      <c r="BP128" s="649"/>
      <c r="BQ128" s="649"/>
      <c r="BR128" s="649"/>
      <c r="BS128" s="649"/>
      <c r="BT128" s="649"/>
      <c r="BU128" s="649"/>
      <c r="BV128" s="650"/>
      <c r="BW128" s="650"/>
      <c r="BX128" s="650"/>
      <c r="BY128" s="650"/>
      <c r="BZ128" s="650"/>
      <c r="CA128" s="650"/>
      <c r="CB128" s="650"/>
      <c r="CC128" s="650"/>
      <c r="CD128" s="650"/>
      <c r="CE128" s="650"/>
    </row>
    <row s="1874" customFormat="1" customHeight="1" ht="15" hidden="1">
      <c r="A129" s="647"/>
      <c r="B129" s="648"/>
      <c r="C129" s="648"/>
      <c r="D129" s="2603"/>
      <c r="E129" s="2401" t="s">
        <v>649</v>
      </c>
      <c r="F129" s="2402"/>
      <c r="G129" s="2403"/>
      <c r="H129" s="2407" t="str">
        <f>IF(A127="","",INDEX(DIFFERENTIATION_UNMERGE_SYSTEM,MATCH(A127,DIFFERENTIATION_ID_DIFF,0)))</f>
        <v/>
      </c>
      <c r="I129" s="2407"/>
      <c r="J129" s="2407"/>
      <c r="K129" s="2407"/>
      <c r="L129" s="2407"/>
      <c r="M129" s="2407"/>
      <c r="N129" s="2407"/>
      <c r="O129" s="2407"/>
      <c r="P129" s="2407"/>
      <c r="Q129" s="2407"/>
      <c r="R129" s="2407"/>
      <c r="S129" s="743"/>
      <c r="T129" s="740"/>
      <c r="U129" s="649"/>
      <c r="V129" s="649"/>
      <c r="W129" s="650"/>
      <c r="X129" s="650"/>
      <c r="Y129" s="650"/>
      <c r="Z129" s="650"/>
      <c r="AA129" s="651"/>
      <c r="AB129" s="652"/>
      <c r="AC129" s="2399"/>
      <c r="AD129" s="653"/>
      <c r="AE129" s="654"/>
      <c r="AF129" s="654"/>
      <c r="AG129" s="655"/>
      <c r="AH129" s="656"/>
      <c r="AI129" s="649"/>
      <c r="AJ129" s="649"/>
      <c r="AK129" s="649"/>
      <c r="AL129" s="649"/>
      <c r="AM129" s="649"/>
      <c r="AN129" s="649"/>
      <c r="AO129" s="649"/>
      <c r="AP129" s="649"/>
      <c r="AQ129" s="649"/>
      <c r="AR129" s="649"/>
      <c r="AS129" s="649"/>
      <c r="AT129" s="649"/>
      <c r="AU129" s="649"/>
      <c r="AV129" s="649"/>
      <c r="AW129" s="649"/>
      <c r="AX129" s="649"/>
      <c r="AY129" s="649"/>
      <c r="AZ129" s="649"/>
      <c r="BA129" s="649"/>
      <c r="BB129" s="649"/>
      <c r="BC129" s="649"/>
      <c r="BD129" s="649"/>
      <c r="BE129" s="649"/>
      <c r="BF129" s="649"/>
      <c r="BG129" s="649"/>
      <c r="BH129" s="649"/>
      <c r="BI129" s="649"/>
      <c r="BJ129" s="649"/>
      <c r="BK129" s="649"/>
      <c r="BL129" s="649"/>
      <c r="BM129" s="649"/>
      <c r="BN129" s="649"/>
      <c r="BO129" s="649"/>
      <c r="BP129" s="649"/>
      <c r="BQ129" s="649"/>
      <c r="BR129" s="649"/>
      <c r="BS129" s="649"/>
      <c r="BT129" s="649"/>
      <c r="BU129" s="649"/>
      <c r="BV129" s="650"/>
      <c r="BW129" s="650"/>
      <c r="BX129" s="650"/>
      <c r="BY129" s="650"/>
      <c r="BZ129" s="650"/>
      <c r="CA129" s="650"/>
      <c r="CB129" s="650"/>
      <c r="CC129" s="650"/>
      <c r="CD129" s="650"/>
      <c r="CE129" s="650"/>
    </row>
    <row s="1874" customFormat="1" customHeight="1" ht="24.75" hidden="1">
      <c r="A130" s="1830"/>
      <c r="B130" s="1184"/>
      <c r="C130" s="436"/>
      <c r="D130" s="2603"/>
      <c r="E130" s="2400" t="s">
        <v>694</v>
      </c>
      <c r="F130" s="2400"/>
      <c r="G130" s="2400"/>
      <c r="H130" s="2400"/>
      <c r="I130" s="2400"/>
      <c r="J130" s="2400"/>
      <c r="K130" s="2400"/>
      <c r="L130" s="2400"/>
      <c r="M130" s="2400"/>
      <c r="N130" s="2400"/>
      <c r="O130" s="2400"/>
      <c r="P130" s="2400"/>
      <c r="Q130" s="582">
        <f>SUMIF(T131:T132,"i",Q131:Q132)</f>
        <v>0</v>
      </c>
      <c r="R130" s="1041"/>
      <c r="S130" s="1822" t="s">
        <v>695</v>
      </c>
      <c r="T130" s="741" t="s">
        <v>696</v>
      </c>
      <c r="U130" s="2398">
        <v>1</v>
      </c>
      <c r="V130" s="2398" t="s">
        <v>659</v>
      </c>
      <c r="W130" s="1184"/>
      <c r="X130" s="1184"/>
      <c r="Y130" s="1184"/>
      <c r="Z130" s="1184"/>
      <c r="AA130" s="1660"/>
      <c r="AB130" s="1184"/>
      <c r="AC130" s="2399"/>
      <c r="AD130" s="653"/>
      <c r="AE130" s="1184"/>
      <c r="AF130" s="1184"/>
      <c r="AG130" s="1660"/>
      <c r="AH130" s="1660"/>
      <c r="AI130" s="1660"/>
      <c r="AJ130" s="1660"/>
      <c r="AK130" s="1660"/>
      <c r="AL130" s="1660"/>
      <c r="AM130" s="1660"/>
      <c r="AN130" s="1660"/>
      <c r="AO130" s="1660"/>
      <c r="AP130" s="1660"/>
      <c r="AQ130" s="1660"/>
      <c r="AR130" s="1660"/>
      <c r="AS130" s="1660"/>
      <c r="AT130" s="1660"/>
      <c r="AU130" s="1660"/>
      <c r="AV130" s="1660"/>
      <c r="AW130" s="1660"/>
      <c r="AX130" s="1660"/>
      <c r="AY130" s="1660"/>
      <c r="AZ130" s="1660"/>
      <c r="BA130" s="1660"/>
      <c r="BB130" s="1660"/>
      <c r="BC130" s="1660"/>
      <c r="BD130" s="1660"/>
      <c r="BE130" s="1660"/>
      <c r="BF130" s="1660"/>
      <c r="BG130" s="1660"/>
      <c r="BH130" s="1660"/>
      <c r="BI130" s="1660"/>
      <c r="BJ130" s="1660"/>
      <c r="BK130" s="1660"/>
      <c r="BL130" s="1660"/>
      <c r="BM130" s="1660"/>
      <c r="BN130" s="1660"/>
      <c r="BO130" s="1660"/>
      <c r="BP130" s="1660"/>
      <c r="BQ130" s="1660"/>
      <c r="BR130" s="1660"/>
      <c r="BS130" s="1660"/>
      <c r="BT130" s="1660"/>
      <c r="BU130" s="1660"/>
      <c r="BV130" s="1184"/>
      <c r="BW130" s="1184"/>
      <c r="BX130" s="1184"/>
      <c r="BY130" s="1184"/>
      <c r="BZ130" s="1184"/>
      <c r="CA130" s="1184"/>
      <c r="CB130" s="1184"/>
      <c r="CC130" s="1184"/>
      <c r="CD130" s="1184"/>
      <c r="CE130" s="1184"/>
    </row>
    <row s="1874" customFormat="1" customHeight="1" ht="11.25" hidden="1">
      <c r="A131" s="1817"/>
      <c r="B131" s="1660"/>
      <c r="C131" s="1660"/>
      <c r="D131" s="2603"/>
      <c r="E131" s="659"/>
      <c r="F131" s="659">
        <v>0</v>
      </c>
      <c r="G131" s="659"/>
      <c r="H131" s="659"/>
      <c r="I131" s="659"/>
      <c r="J131" s="659"/>
      <c r="K131" s="659"/>
      <c r="L131" s="659"/>
      <c r="M131" s="659"/>
      <c r="N131" s="659"/>
      <c r="O131" s="659"/>
      <c r="P131" s="659"/>
      <c r="Q131" s="659"/>
      <c r="R131" s="659"/>
      <c r="S131" s="660"/>
      <c r="T131" s="742"/>
      <c r="U131" s="2398"/>
      <c r="V131" s="2398"/>
      <c r="W131" s="1660"/>
      <c r="X131" s="1660"/>
      <c r="Y131" s="1660"/>
      <c r="Z131" s="1660"/>
      <c r="AA131" s="1660"/>
      <c r="AB131" s="1184"/>
      <c r="AC131" s="2399"/>
      <c r="AD131" s="653"/>
      <c r="AE131" s="1184"/>
      <c r="AF131" s="1184"/>
      <c r="AG131" s="1660"/>
      <c r="AH131" s="1660"/>
      <c r="AI131" s="1660"/>
      <c r="AJ131" s="1660"/>
      <c r="AK131" s="1660"/>
      <c r="AL131" s="1660"/>
      <c r="AM131" s="1660"/>
      <c r="AN131" s="1660"/>
      <c r="AO131" s="1660"/>
      <c r="AP131" s="1660"/>
      <c r="AQ131" s="1660"/>
      <c r="AR131" s="1660"/>
      <c r="AS131" s="1660"/>
      <c r="AT131" s="1660"/>
      <c r="AU131" s="1660"/>
      <c r="AV131" s="1660"/>
      <c r="AW131" s="1660"/>
      <c r="AX131" s="1660"/>
      <c r="AY131" s="1660"/>
      <c r="AZ131" s="1660"/>
      <c r="BA131" s="1660"/>
      <c r="BB131" s="1660"/>
      <c r="BC131" s="1660"/>
      <c r="BD131" s="1660"/>
      <c r="BE131" s="1660"/>
      <c r="BF131" s="1660"/>
      <c r="BG131" s="1660"/>
      <c r="BH131" s="1660"/>
      <c r="BI131" s="1660"/>
      <c r="BJ131" s="1660"/>
      <c r="BK131" s="1660"/>
      <c r="BL131" s="1660"/>
      <c r="BM131" s="1660"/>
      <c r="BN131" s="1660"/>
      <c r="BO131" s="1660"/>
      <c r="BP131" s="1660"/>
      <c r="BQ131" s="1660"/>
      <c r="BR131" s="1660"/>
      <c r="BS131" s="1660"/>
      <c r="BT131" s="1660"/>
      <c r="BU131" s="1660"/>
      <c r="BV131" s="1660"/>
      <c r="BW131" s="1660"/>
      <c r="BX131" s="1660"/>
      <c r="BY131" s="1660"/>
      <c r="BZ131" s="1660"/>
      <c r="CA131" s="1660"/>
      <c r="CB131" s="1660"/>
      <c r="CC131" s="1660"/>
      <c r="CD131" s="1660"/>
      <c r="CE131" s="1660"/>
    </row>
    <row s="1874" customFormat="1" customHeight="1" ht="11.25" hidden="1">
      <c r="A132" s="1830"/>
      <c r="B132" s="1184"/>
      <c r="C132" s="436"/>
      <c r="D132" s="2603"/>
      <c r="E132" s="673" t="s">
        <v>22</v>
      </c>
      <c r="F132" s="1192" t="s">
        <v>22</v>
      </c>
      <c r="G132" s="1192" t="s">
        <v>699</v>
      </c>
      <c r="H132" s="675" t="s">
        <v>22</v>
      </c>
      <c r="I132" s="675"/>
      <c r="J132" s="675"/>
      <c r="K132" s="675"/>
      <c r="L132" s="675"/>
      <c r="M132" s="675"/>
      <c r="N132" s="675"/>
      <c r="O132" s="675"/>
      <c r="P132" s="675"/>
      <c r="Q132" s="675"/>
      <c r="R132" s="676"/>
      <c r="S132" s="677"/>
      <c r="T132" s="742"/>
      <c r="U132" s="2398"/>
      <c r="V132" s="2398"/>
      <c r="W132" s="1184"/>
      <c r="X132" s="1184"/>
      <c r="Y132" s="1184"/>
      <c r="Z132" s="1184"/>
      <c r="AA132" s="1660"/>
      <c r="AB132" s="1184"/>
      <c r="AC132" s="2399"/>
      <c r="AD132" s="653"/>
      <c r="AE132" s="1184"/>
      <c r="AF132" s="1184"/>
      <c r="AG132" s="1660"/>
      <c r="AH132" s="1660"/>
      <c r="AI132" s="1660"/>
      <c r="AJ132" s="1660"/>
      <c r="AK132" s="1660"/>
      <c r="AL132" s="1660"/>
      <c r="AM132" s="1660"/>
      <c r="AN132" s="1660"/>
      <c r="AO132" s="1660"/>
      <c r="AP132" s="1660"/>
      <c r="AQ132" s="1660"/>
      <c r="AR132" s="1660"/>
      <c r="AS132" s="1660"/>
      <c r="AT132" s="1660"/>
      <c r="AU132" s="1660"/>
      <c r="AV132" s="1660"/>
      <c r="AW132" s="1660"/>
      <c r="AX132" s="1660"/>
      <c r="AY132" s="1660"/>
      <c r="AZ132" s="1660"/>
      <c r="BA132" s="1660"/>
      <c r="BB132" s="1660"/>
      <c r="BC132" s="1660"/>
      <c r="BD132" s="1660"/>
      <c r="BE132" s="1660"/>
      <c r="BF132" s="1660"/>
      <c r="BG132" s="1660"/>
      <c r="BH132" s="1660"/>
      <c r="BI132" s="1660"/>
      <c r="BJ132" s="1660"/>
      <c r="BK132" s="1660"/>
      <c r="BL132" s="1660"/>
      <c r="BM132" s="1660"/>
      <c r="BN132" s="1660"/>
      <c r="BO132" s="1660"/>
      <c r="BP132" s="1660"/>
      <c r="BQ132" s="1660"/>
      <c r="BR132" s="1660"/>
      <c r="BS132" s="1660"/>
      <c r="BT132" s="1660"/>
      <c r="BU132" s="1660"/>
      <c r="BV132" s="1184"/>
      <c r="BW132" s="1184"/>
      <c r="BX132" s="1184"/>
      <c r="BY132" s="1184"/>
      <c r="BZ132" s="1184"/>
      <c r="CA132" s="1184"/>
      <c r="CB132" s="1184"/>
      <c r="CC132" s="1184"/>
      <c r="CD132" s="1184"/>
      <c r="CE132" s="1184"/>
    </row>
    <row s="1340" customFormat="1" customHeight="1" ht="5.25" hidden="1">
      <c r="A133" s="1817"/>
      <c r="B133" s="1660"/>
      <c r="C133" s="1660"/>
      <c r="D133" s="2603"/>
      <c r="E133" s="1063"/>
      <c r="F133" s="1063"/>
      <c r="G133" s="1063"/>
      <c r="H133" s="1063"/>
      <c r="I133" s="1063"/>
      <c r="J133" s="1063"/>
      <c r="K133" s="1063"/>
      <c r="L133" s="1063"/>
      <c r="M133" s="1063"/>
      <c r="N133" s="1063"/>
      <c r="O133" s="1063"/>
      <c r="P133" s="1063"/>
      <c r="Q133" s="1064"/>
      <c r="R133" s="1065"/>
      <c r="S133" s="1066"/>
      <c r="T133" s="741" t="s">
        <v>696</v>
      </c>
      <c r="U133" s="2398">
        <v>1</v>
      </c>
      <c r="V133" s="2398" t="s">
        <v>659</v>
      </c>
      <c r="W133" s="1660"/>
      <c r="X133" s="1660"/>
      <c r="Y133" s="1660"/>
      <c r="Z133" s="1660"/>
      <c r="AA133" s="1660"/>
      <c r="AB133" s="1660"/>
      <c r="AC133" s="1061"/>
      <c r="AD133" s="1062"/>
      <c r="AE133" s="1660"/>
      <c r="AF133" s="1660"/>
      <c r="AG133" s="1660"/>
      <c r="AH133" s="1660"/>
      <c r="AI133" s="1660"/>
      <c r="AJ133" s="1660"/>
      <c r="AK133" s="1660"/>
      <c r="AL133" s="1660"/>
      <c r="AM133" s="1660"/>
      <c r="AN133" s="1660"/>
      <c r="AO133" s="1660"/>
      <c r="AP133" s="1660"/>
      <c r="AQ133" s="1660"/>
      <c r="AR133" s="1660"/>
      <c r="AS133" s="1660"/>
      <c r="AT133" s="1660"/>
      <c r="AU133" s="1660"/>
      <c r="AV133" s="1660"/>
      <c r="AW133" s="1660"/>
      <c r="AX133" s="1660"/>
      <c r="AY133" s="1660"/>
      <c r="AZ133" s="1660"/>
      <c r="BA133" s="1660"/>
      <c r="BB133" s="1660"/>
      <c r="BC133" s="1660"/>
      <c r="BD133" s="1660"/>
      <c r="BE133" s="1660"/>
      <c r="BF133" s="1660"/>
      <c r="BG133" s="1660"/>
      <c r="BH133" s="1660"/>
      <c r="BI133" s="1660"/>
      <c r="BJ133" s="1660"/>
      <c r="BK133" s="1660"/>
      <c r="BL133" s="1660"/>
      <c r="BM133" s="1660"/>
      <c r="BN133" s="1660"/>
      <c r="BO133" s="1660"/>
      <c r="BP133" s="1660"/>
      <c r="BQ133" s="1660"/>
      <c r="BR133" s="1660"/>
      <c r="BS133" s="1660"/>
      <c r="BT133" s="1660"/>
      <c r="BU133" s="1660"/>
      <c r="BV133" s="1660"/>
      <c r="BW133" s="1660"/>
      <c r="BX133" s="1660"/>
      <c r="BY133" s="1660"/>
      <c r="BZ133" s="1660"/>
      <c r="CA133" s="1660"/>
      <c r="CB133" s="1660"/>
      <c r="CC133" s="1660"/>
      <c r="CD133" s="1660"/>
      <c r="CE133" s="1660"/>
    </row>
    <row s="1340" customFormat="1" customHeight="1" ht="5.25" hidden="1">
      <c r="A134" s="1817"/>
      <c r="B134" s="1660"/>
      <c r="C134" s="1660"/>
      <c r="D134" s="2603"/>
      <c r="E134" s="659"/>
      <c r="F134" s="659"/>
      <c r="G134" s="659"/>
      <c r="H134" s="659"/>
      <c r="I134" s="659"/>
      <c r="J134" s="659"/>
      <c r="K134" s="659"/>
      <c r="L134" s="659"/>
      <c r="M134" s="659"/>
      <c r="N134" s="659"/>
      <c r="O134" s="659"/>
      <c r="P134" s="659"/>
      <c r="Q134" s="659"/>
      <c r="R134" s="659"/>
      <c r="S134" s="660"/>
      <c r="T134" s="742"/>
      <c r="U134" s="2398"/>
      <c r="V134" s="2398"/>
      <c r="W134" s="1660"/>
      <c r="X134" s="1660"/>
      <c r="Y134" s="1660"/>
      <c r="Z134" s="1660"/>
      <c r="AA134" s="1660"/>
      <c r="AB134" s="1660"/>
      <c r="AC134" s="1061"/>
      <c r="AD134" s="1062"/>
      <c r="AE134" s="1660"/>
      <c r="AF134" s="1660"/>
      <c r="AG134" s="1660"/>
      <c r="AH134" s="1660"/>
      <c r="AI134" s="1660"/>
      <c r="AJ134" s="1660"/>
      <c r="AK134" s="1660"/>
      <c r="AL134" s="1660"/>
      <c r="AM134" s="1660"/>
      <c r="AN134" s="1660"/>
      <c r="AO134" s="1660"/>
      <c r="AP134" s="1660"/>
      <c r="AQ134" s="1660"/>
      <c r="AR134" s="1660"/>
      <c r="AS134" s="1660"/>
      <c r="AT134" s="1660"/>
      <c r="AU134" s="1660"/>
      <c r="AV134" s="1660"/>
      <c r="AW134" s="1660"/>
      <c r="AX134" s="1660"/>
      <c r="AY134" s="1660"/>
      <c r="AZ134" s="1660"/>
      <c r="BA134" s="1660"/>
      <c r="BB134" s="1660"/>
      <c r="BC134" s="1660"/>
      <c r="BD134" s="1660"/>
      <c r="BE134" s="1660"/>
      <c r="BF134" s="1660"/>
      <c r="BG134" s="1660"/>
      <c r="BH134" s="1660"/>
      <c r="BI134" s="1660"/>
      <c r="BJ134" s="1660"/>
      <c r="BK134" s="1660"/>
      <c r="BL134" s="1660"/>
      <c r="BM134" s="1660"/>
      <c r="BN134" s="1660"/>
      <c r="BO134" s="1660"/>
      <c r="BP134" s="1660"/>
      <c r="BQ134" s="1660"/>
      <c r="BR134" s="1660"/>
      <c r="BS134" s="1660"/>
      <c r="BT134" s="1660"/>
      <c r="BU134" s="1660"/>
      <c r="BV134" s="1660"/>
      <c r="BW134" s="1660"/>
      <c r="BX134" s="1660"/>
      <c r="BY134" s="1660"/>
      <c r="BZ134" s="1660"/>
      <c r="CA134" s="1660"/>
      <c r="CB134" s="1660"/>
      <c r="CC134" s="1660"/>
      <c r="CD134" s="1660"/>
      <c r="CE134" s="1660"/>
    </row>
    <row s="1340" customFormat="1" customHeight="1" ht="5.25" hidden="1">
      <c r="A135" s="1817"/>
      <c r="B135" s="1660"/>
      <c r="C135" s="1660"/>
      <c r="D135" s="2604"/>
      <c r="E135" s="1067"/>
      <c r="F135" s="1068"/>
      <c r="G135" s="1068"/>
      <c r="H135" s="1069"/>
      <c r="I135" s="1069"/>
      <c r="J135" s="1069"/>
      <c r="K135" s="1069"/>
      <c r="L135" s="1069"/>
      <c r="M135" s="1069"/>
      <c r="N135" s="1069"/>
      <c r="O135" s="1069"/>
      <c r="P135" s="1069"/>
      <c r="Q135" s="1069"/>
      <c r="R135" s="970"/>
      <c r="S135" s="1070"/>
      <c r="T135" s="742"/>
      <c r="U135" s="2398"/>
      <c r="V135" s="2398"/>
      <c r="W135" s="1660"/>
      <c r="X135" s="1660"/>
      <c r="Y135" s="1660"/>
      <c r="Z135" s="1660"/>
      <c r="AA135" s="1660"/>
      <c r="AB135" s="1660"/>
      <c r="AC135" s="1061"/>
      <c r="AD135" s="1062"/>
      <c r="AE135" s="1660"/>
      <c r="AF135" s="1660"/>
      <c r="AG135" s="1660"/>
      <c r="AH135" s="1660"/>
      <c r="AI135" s="1660"/>
      <c r="AJ135" s="1660"/>
      <c r="AK135" s="1660"/>
      <c r="AL135" s="1660"/>
      <c r="AM135" s="1660"/>
      <c r="AN135" s="1660"/>
      <c r="AO135" s="1660"/>
      <c r="AP135" s="1660"/>
      <c r="AQ135" s="1660"/>
      <c r="AR135" s="1660"/>
      <c r="AS135" s="1660"/>
      <c r="AT135" s="1660"/>
      <c r="AU135" s="1660"/>
      <c r="AV135" s="1660"/>
      <c r="AW135" s="1660"/>
      <c r="AX135" s="1660"/>
      <c r="AY135" s="1660"/>
      <c r="AZ135" s="1660"/>
      <c r="BA135" s="1660"/>
      <c r="BB135" s="1660"/>
      <c r="BC135" s="1660"/>
      <c r="BD135" s="1660"/>
      <c r="BE135" s="1660"/>
      <c r="BF135" s="1660"/>
      <c r="BG135" s="1660"/>
      <c r="BH135" s="1660"/>
      <c r="BI135" s="1660"/>
      <c r="BJ135" s="1660"/>
      <c r="BK135" s="1660"/>
      <c r="BL135" s="1660"/>
      <c r="BM135" s="1660"/>
      <c r="BN135" s="1660"/>
      <c r="BO135" s="1660"/>
      <c r="BP135" s="1660"/>
      <c r="BQ135" s="1660"/>
      <c r="BR135" s="1660"/>
      <c r="BS135" s="1660"/>
      <c r="BT135" s="1660"/>
      <c r="BU135" s="1660"/>
      <c r="BV135" s="1660"/>
      <c r="BW135" s="1660"/>
      <c r="BX135" s="1660"/>
      <c r="BY135" s="1660"/>
      <c r="BZ135" s="1660"/>
      <c r="CA135" s="1660"/>
      <c r="CB135" s="1660"/>
      <c r="CC135" s="1660"/>
      <c r="CD135" s="1660"/>
      <c r="CE135" s="1660"/>
    </row>
    <row customHeight="1" ht="17.25">
      <c r="D136" s="1860"/>
    </row>
    <row s="1839" customFormat="1" customHeight="1" ht="11.25">
      <c r="A137" s="1839" t="s">
        <v>2269</v>
      </c>
    </row>
    <row r="139" s="1874" customFormat="1" customHeight="1" ht="45">
      <c r="A139" s="1830"/>
      <c r="B139" s="1184"/>
      <c r="C139" s="436"/>
      <c r="D139" s="113"/>
      <c r="E139" s="2596"/>
      <c r="F139" s="2132" t="s">
        <v>170</v>
      </c>
      <c r="G139" s="2599" t="s">
        <v>22</v>
      </c>
      <c r="H139" s="313"/>
      <c r="I139" s="661" t="s">
        <v>170</v>
      </c>
      <c r="J139" s="1831" t="s">
        <v>2270</v>
      </c>
      <c r="K139" s="662" t="s">
        <v>630</v>
      </c>
      <c r="L139" s="2248" t="s">
        <v>630</v>
      </c>
      <c r="M139" s="2601"/>
      <c r="N139" s="662" t="s">
        <v>630</v>
      </c>
      <c r="O139" s="662" t="s">
        <v>630</v>
      </c>
      <c r="P139" s="662" t="s">
        <v>630</v>
      </c>
      <c r="Q139" s="663">
        <f>SUM(Q140:Q142)</f>
        <v>0</v>
      </c>
      <c r="R139" s="663">
        <f>IF(R136=0,0,(Q136/R136)*100)</f>
        <v>0</v>
      </c>
      <c r="S139" s="2203"/>
      <c r="T139" s="741" t="s">
        <v>696</v>
      </c>
      <c r="U139" s="113"/>
      <c r="V139" s="113"/>
      <c r="AC139" s="113"/>
    </row>
    <row s="1874" customFormat="1" customHeight="1" ht="11.25">
      <c r="A140" s="1830"/>
      <c r="B140" s="1184"/>
      <c r="C140" s="436"/>
      <c r="D140" s="113"/>
      <c r="E140" s="2597"/>
      <c r="F140" s="2132"/>
      <c r="G140" s="2599"/>
      <c r="H140" s="2151"/>
      <c r="I140" s="2539" t="s">
        <v>1050</v>
      </c>
      <c r="J140" s="2593"/>
      <c r="K140" s="2594"/>
      <c r="L140" s="664"/>
      <c r="M140" s="665" t="s">
        <v>170</v>
      </c>
      <c r="N140" s="1819"/>
      <c r="O140" s="666"/>
      <c r="P140" s="667"/>
      <c r="Q140" s="666"/>
      <c r="R140" s="668">
        <v>0</v>
      </c>
      <c r="S140" s="2203"/>
      <c r="T140" s="741"/>
      <c r="U140" s="113"/>
      <c r="V140" s="113"/>
      <c r="AC140" s="113"/>
    </row>
    <row s="1874" customFormat="1" customHeight="1" ht="11.25">
      <c r="A141" s="1830"/>
      <c r="B141" s="1184"/>
      <c r="C141" s="436"/>
      <c r="D141" s="113"/>
      <c r="E141" s="2597"/>
      <c r="F141" s="2132"/>
      <c r="G141" s="2599"/>
      <c r="H141" s="2151"/>
      <c r="I141" s="2539"/>
      <c r="J141" s="2593"/>
      <c r="K141" s="2595"/>
      <c r="L141" s="669"/>
      <c r="M141" s="670"/>
      <c r="N141" s="671" t="s">
        <v>2271</v>
      </c>
      <c r="O141" s="671"/>
      <c r="P141" s="671"/>
      <c r="Q141" s="671"/>
      <c r="R141" s="672"/>
      <c r="S141" s="2203"/>
      <c r="T141" s="741"/>
      <c r="U141" s="113"/>
      <c r="V141" s="113"/>
      <c r="AC141" s="113"/>
    </row>
    <row s="1874" customFormat="1" customHeight="1" ht="11.25">
      <c r="A142" s="1830"/>
      <c r="B142" s="1184"/>
      <c r="C142" s="436"/>
      <c r="D142" s="113"/>
      <c r="E142" s="2598"/>
      <c r="F142" s="2132"/>
      <c r="G142" s="2600"/>
      <c r="H142" s="669" t="s">
        <v>22</v>
      </c>
      <c r="I142" s="670"/>
      <c r="J142" s="671" t="s">
        <v>2272</v>
      </c>
      <c r="K142" s="671"/>
      <c r="L142" s="671"/>
      <c r="M142" s="671"/>
      <c r="N142" s="671"/>
      <c r="O142" s="671"/>
      <c r="P142" s="671"/>
      <c r="Q142" s="671"/>
      <c r="R142" s="672"/>
      <c r="S142" s="2203"/>
      <c r="T142" s="741"/>
      <c r="U142" s="113"/>
      <c r="V142" s="113"/>
      <c r="AC142" s="113"/>
    </row>
    <row r="147" s="1874" customFormat="1" customHeight="1" ht="11.25">
      <c r="A147" s="1830"/>
      <c r="B147" s="1184"/>
      <c r="C147" s="436"/>
      <c r="D147" s="113"/>
      <c r="E147" s="1854"/>
      <c r="F147" s="1854"/>
      <c r="G147" s="1854"/>
      <c r="H147" s="2151"/>
      <c r="I147" s="2539" t="s">
        <v>1050</v>
      </c>
      <c r="J147" s="2593"/>
      <c r="K147" s="2594"/>
      <c r="L147" s="664"/>
      <c r="M147" s="665" t="s">
        <v>170</v>
      </c>
      <c r="N147" s="1819"/>
      <c r="O147" s="666"/>
      <c r="P147" s="667"/>
      <c r="Q147" s="666"/>
      <c r="R147" s="668">
        <v>0</v>
      </c>
      <c r="S147" s="113"/>
      <c r="T147" s="741"/>
      <c r="U147" s="113"/>
      <c r="V147" s="113"/>
      <c r="AC147" s="113"/>
    </row>
    <row s="1874" customFormat="1" customHeight="1" ht="11.25">
      <c r="A148" s="1830"/>
      <c r="B148" s="1184"/>
      <c r="C148" s="436"/>
      <c r="D148" s="113"/>
      <c r="E148" s="1854"/>
      <c r="F148" s="1854"/>
      <c r="G148" s="1854"/>
      <c r="H148" s="2151"/>
      <c r="I148" s="2539"/>
      <c r="J148" s="2593"/>
      <c r="K148" s="2595"/>
      <c r="L148" s="669"/>
      <c r="M148" s="670"/>
      <c r="N148" s="671" t="s">
        <v>2271</v>
      </c>
      <c r="O148" s="671"/>
      <c r="P148" s="671"/>
      <c r="Q148" s="671"/>
      <c r="R148" s="672"/>
      <c r="S148" s="113"/>
      <c r="T148" s="741"/>
      <c r="U148" s="113"/>
      <c r="V148" s="113"/>
      <c r="AC148" s="113"/>
    </row>
    <row r="150" s="1874" customFormat="1" customHeight="1" ht="11.25">
      <c r="A150" s="1830"/>
      <c r="B150" s="1184"/>
      <c r="C150" s="436"/>
      <c r="D150" s="113"/>
      <c r="E150" s="1861"/>
      <c r="F150" s="1859"/>
      <c r="G150" s="1859"/>
      <c r="H150" s="1862"/>
      <c r="I150" s="1854"/>
      <c r="J150" s="1855"/>
      <c r="K150" s="1855"/>
      <c r="L150" s="664"/>
      <c r="M150" s="665" t="s">
        <v>170</v>
      </c>
      <c r="N150" s="1819"/>
      <c r="O150" s="666"/>
      <c r="P150" s="667"/>
      <c r="Q150" s="666"/>
      <c r="R150" s="668">
        <v>0</v>
      </c>
      <c r="S150" s="113"/>
      <c r="T150" s="741"/>
      <c r="U150" s="113"/>
      <c r="V150" s="113"/>
      <c r="AC150" s="113"/>
    </row>
    <row r="152" s="1839" customFormat="1" customHeight="1" ht="17.25">
      <c r="A152" s="1839" t="s">
        <v>2273</v>
      </c>
    </row>
    <row customHeight="1" ht="17.25">
      <c r="G153" s="1863"/>
      <c r="H153" s="1863"/>
      <c r="I153" s="1863"/>
      <c r="M153" s="1859"/>
    </row>
    <row s="1877" customFormat="1" customHeight="1" ht="17.25">
      <c r="A154" s="1864"/>
      <c r="C154" s="1866"/>
      <c r="D154" s="2553"/>
      <c r="E154" s="2167"/>
      <c r="F154" s="2169"/>
      <c r="G154" s="2555"/>
      <c r="H154" s="2553"/>
      <c r="I154" s="2553">
        <v>1</v>
      </c>
      <c r="J154" s="2525"/>
      <c r="K154" s="2209" t="s">
        <v>66</v>
      </c>
      <c r="L154" s="2132"/>
      <c r="M154" s="2132" t="s">
        <v>170</v>
      </c>
      <c r="N154" s="2528" t="str">
        <f>IF(Z154="","",INDEX(TERRITORY_MR_LIST,MATCH(Z154,TERRITORY_LIST_ID,0)))</f>
        <v/>
      </c>
      <c r="O154" s="2209" t="s">
        <v>66</v>
      </c>
      <c r="P154" s="2132"/>
      <c r="Q154" s="2132" t="s">
        <v>170</v>
      </c>
      <c r="R154" s="2526" t="s">
        <v>22</v>
      </c>
      <c r="S154" s="2131" t="s">
        <v>66</v>
      </c>
      <c r="T154" s="1835"/>
      <c r="U154" s="1835" t="s">
        <v>170</v>
      </c>
      <c r="V154" s="1867" t="s">
        <v>22</v>
      </c>
      <c r="W154" s="1825"/>
      <c r="Y154" s="1291"/>
      <c r="Z154" s="1291"/>
      <c r="AA154" s="1291"/>
      <c r="AB154" s="1291"/>
      <c r="AC154" s="1291"/>
      <c r="AD154" s="1291"/>
      <c r="AE154" s="1291"/>
      <c r="AF154" s="1291"/>
      <c r="AG154" s="1291"/>
      <c r="AH154" s="1291"/>
      <c r="AI154" s="1291"/>
      <c r="AJ154" s="1291"/>
      <c r="AK154" s="1291"/>
      <c r="AL154" s="1868"/>
      <c r="AM154" s="1868"/>
      <c r="AN154" s="1291"/>
      <c r="AO154" s="1291"/>
      <c r="AP154" s="1291"/>
      <c r="AQ154" s="1291"/>
    </row>
    <row s="1877" customFormat="1" customHeight="1" ht="17.25">
      <c r="A155" s="1864"/>
      <c r="C155" s="1869"/>
      <c r="D155" s="2553"/>
      <c r="E155" s="2167"/>
      <c r="F155" s="2170"/>
      <c r="G155" s="2555"/>
      <c r="H155" s="2553"/>
      <c r="I155" s="2553"/>
      <c r="J155" s="2525"/>
      <c r="K155" s="2210"/>
      <c r="L155" s="2132"/>
      <c r="M155" s="2132"/>
      <c r="N155" s="2528"/>
      <c r="O155" s="2210"/>
      <c r="P155" s="2132"/>
      <c r="Q155" s="2132"/>
      <c r="R155" s="2526"/>
      <c r="S155" s="2131"/>
      <c r="T155" s="341"/>
      <c r="U155" s="342"/>
      <c r="V155" s="342" t="s">
        <v>498</v>
      </c>
      <c r="W155" s="343"/>
      <c r="Y155" s="1283"/>
      <c r="Z155" s="1283"/>
      <c r="AA155" s="1283"/>
      <c r="AB155" s="1283"/>
      <c r="AC155" s="1283"/>
      <c r="AD155" s="1283"/>
      <c r="AE155" s="1283"/>
      <c r="AF155" s="1283"/>
      <c r="AG155" s="1283"/>
      <c r="AH155" s="1283"/>
      <c r="AI155" s="1283"/>
      <c r="AJ155" s="1283"/>
      <c r="AK155" s="1283"/>
    </row>
    <row s="1877" customFormat="1" customHeight="1" ht="17.25">
      <c r="A156" s="1864"/>
      <c r="C156" s="1869"/>
      <c r="D156" s="2527"/>
      <c r="E156" s="2554"/>
      <c r="F156" s="2170"/>
      <c r="G156" s="2556"/>
      <c r="H156" s="2527"/>
      <c r="I156" s="2527"/>
      <c r="J156" s="2557"/>
      <c r="K156" s="2210"/>
      <c r="L156" s="2527"/>
      <c r="M156" s="2527"/>
      <c r="N156" s="2529"/>
      <c r="O156" s="2136"/>
      <c r="P156" s="341"/>
      <c r="Q156" s="342"/>
      <c r="R156" s="342" t="s">
        <v>499</v>
      </c>
      <c r="S156" s="1870"/>
      <c r="T156" s="1870"/>
      <c r="U156" s="1870"/>
      <c r="V156" s="1870"/>
      <c r="W156" s="343"/>
      <c r="Y156" s="1283"/>
      <c r="Z156" s="1283"/>
      <c r="AA156" s="1283"/>
      <c r="AB156" s="1283"/>
      <c r="AC156" s="1283"/>
      <c r="AD156" s="1283"/>
      <c r="AE156" s="1283"/>
      <c r="AF156" s="1283"/>
      <c r="AG156" s="1283"/>
      <c r="AH156" s="1283"/>
      <c r="AI156" s="1283"/>
      <c r="AJ156" s="1283"/>
      <c r="AK156" s="1283"/>
    </row>
    <row s="1877" customFormat="1" customHeight="1" ht="17.25">
      <c r="A157" s="1864"/>
      <c r="C157" s="1869"/>
      <c r="D157" s="2527"/>
      <c r="E157" s="2554"/>
      <c r="F157" s="2170"/>
      <c r="G157" s="2556"/>
      <c r="H157" s="2527"/>
      <c r="I157" s="2527"/>
      <c r="J157" s="2557"/>
      <c r="K157" s="2136"/>
      <c r="L157" s="341"/>
      <c r="M157" s="342"/>
      <c r="N157" s="342" t="s">
        <v>500</v>
      </c>
      <c r="O157" s="342"/>
      <c r="P157" s="342"/>
      <c r="Q157" s="342"/>
      <c r="R157" s="342"/>
      <c r="S157" s="1870"/>
      <c r="T157" s="1870"/>
      <c r="U157" s="1870"/>
      <c r="V157" s="1870"/>
      <c r="W157" s="343"/>
      <c r="Y157" s="1283"/>
      <c r="Z157" s="1283"/>
      <c r="AA157" s="1283"/>
      <c r="AB157" s="1283"/>
      <c r="AC157" s="1283"/>
      <c r="AD157" s="1283"/>
      <c r="AE157" s="1283"/>
      <c r="AF157" s="1283"/>
      <c r="AG157" s="1283"/>
      <c r="AH157" s="1283"/>
      <c r="AI157" s="1283"/>
      <c r="AJ157" s="1283"/>
      <c r="AK157" s="1283"/>
    </row>
    <row s="1877" customFormat="1" customHeight="1" ht="17.25">
      <c r="A158" s="1864"/>
      <c r="C158" s="1869"/>
      <c r="D158" s="2527"/>
      <c r="E158" s="2554"/>
      <c r="F158" s="2171"/>
      <c r="G158" s="2556"/>
      <c r="H158" s="341"/>
      <c r="I158" s="342"/>
      <c r="J158" s="342" t="s">
        <v>532</v>
      </c>
      <c r="K158" s="342"/>
      <c r="L158" s="342"/>
      <c r="M158" s="342"/>
      <c r="N158" s="342"/>
      <c r="O158" s="342"/>
      <c r="P158" s="342"/>
      <c r="Q158" s="342"/>
      <c r="R158" s="342"/>
      <c r="S158" s="1870"/>
      <c r="T158" s="1870"/>
      <c r="U158" s="1870"/>
      <c r="V158" s="1870"/>
      <c r="W158" s="343"/>
      <c r="Y158" s="1283"/>
      <c r="Z158" s="1283"/>
      <c r="AA158" s="1283"/>
      <c r="AB158" s="1283"/>
      <c r="AC158" s="1283"/>
      <c r="AD158" s="1283"/>
      <c r="AE158" s="1283"/>
      <c r="AF158" s="1283"/>
      <c r="AG158" s="1283"/>
      <c r="AH158" s="1283"/>
      <c r="AI158" s="1283"/>
      <c r="AJ158" s="1283"/>
      <c r="AK158" s="1283"/>
    </row>
    <row customHeight="1" ht="17.25">
      <c r="G159" s="1863"/>
      <c r="H159" s="1863"/>
      <c r="I159" s="1863"/>
      <c r="M159" s="1859"/>
    </row>
    <row s="1877" customFormat="1" customHeight="1" ht="17.25">
      <c r="A160" s="1864"/>
      <c r="C160" s="1866"/>
      <c r="D160" s="1854"/>
      <c r="E160" s="1871"/>
      <c r="F160" s="1808"/>
      <c r="G160" s="1872"/>
      <c r="H160" s="2553"/>
      <c r="I160" s="2553">
        <v>1</v>
      </c>
      <c r="J160" s="2525"/>
      <c r="K160" s="2209" t="s">
        <v>66</v>
      </c>
      <c r="L160" s="2132"/>
      <c r="M160" s="2132" t="s">
        <v>170</v>
      </c>
      <c r="N160" s="2528" t="str">
        <f>IF(Z160="","",INDEX(TERRITORY_MR_LIST,MATCH(Z160,TERRITORY_LIST_ID,0)))</f>
        <v/>
      </c>
      <c r="O160" s="2209" t="s">
        <v>66</v>
      </c>
      <c r="P160" s="2132"/>
      <c r="Q160" s="2132" t="s">
        <v>170</v>
      </c>
      <c r="R160" s="2526" t="s">
        <v>22</v>
      </c>
      <c r="S160" s="2131" t="s">
        <v>66</v>
      </c>
      <c r="T160" s="1835"/>
      <c r="U160" s="1835" t="s">
        <v>170</v>
      </c>
      <c r="V160" s="1867" t="s">
        <v>22</v>
      </c>
      <c r="W160" s="1825"/>
      <c r="Y160" s="1291"/>
      <c r="Z160" s="1291"/>
      <c r="AA160" s="1291"/>
      <c r="AB160" s="1291"/>
      <c r="AC160" s="1291"/>
      <c r="AD160" s="1291"/>
      <c r="AE160" s="1291"/>
      <c r="AF160" s="1291"/>
      <c r="AG160" s="1291"/>
      <c r="AH160" s="1291"/>
      <c r="AI160" s="1291"/>
      <c r="AJ160" s="1291"/>
      <c r="AK160" s="1291"/>
      <c r="AL160" s="1868"/>
      <c r="AM160" s="1868"/>
      <c r="AN160" s="1291"/>
      <c r="AO160" s="1291"/>
      <c r="AP160" s="1291"/>
      <c r="AQ160" s="1291"/>
    </row>
    <row s="1877" customFormat="1" customHeight="1" ht="17.25">
      <c r="A161" s="1864"/>
      <c r="C161" s="1869"/>
      <c r="D161" s="1854"/>
      <c r="E161" s="1871"/>
      <c r="F161" s="1808"/>
      <c r="G161" s="1872"/>
      <c r="H161" s="2553"/>
      <c r="I161" s="2553"/>
      <c r="J161" s="2525"/>
      <c r="K161" s="2210"/>
      <c r="L161" s="2132"/>
      <c r="M161" s="2132"/>
      <c r="N161" s="2528"/>
      <c r="O161" s="2210"/>
      <c r="P161" s="2132"/>
      <c r="Q161" s="2132"/>
      <c r="R161" s="2526"/>
      <c r="S161" s="2131"/>
      <c r="T161" s="341"/>
      <c r="U161" s="342"/>
      <c r="V161" s="342" t="s">
        <v>498</v>
      </c>
      <c r="W161" s="343"/>
      <c r="Y161" s="1283"/>
      <c r="Z161" s="1283"/>
      <c r="AA161" s="1283"/>
      <c r="AB161" s="1283"/>
      <c r="AC161" s="1283"/>
      <c r="AD161" s="1283"/>
      <c r="AE161" s="1283"/>
      <c r="AF161" s="1283"/>
      <c r="AG161" s="1283"/>
      <c r="AH161" s="1283"/>
      <c r="AI161" s="1283"/>
      <c r="AJ161" s="1283"/>
      <c r="AK161" s="1283"/>
    </row>
    <row s="1877" customFormat="1" customHeight="1" ht="17.25">
      <c r="A162" s="1864"/>
      <c r="C162" s="1869"/>
      <c r="D162" s="1854"/>
      <c r="E162" s="1871"/>
      <c r="F162" s="1808"/>
      <c r="G162" s="1872"/>
      <c r="H162" s="2527"/>
      <c r="I162" s="2527"/>
      <c r="J162" s="2557"/>
      <c r="K162" s="2210"/>
      <c r="L162" s="2527"/>
      <c r="M162" s="2527"/>
      <c r="N162" s="2529"/>
      <c r="O162" s="2136"/>
      <c r="P162" s="341"/>
      <c r="Q162" s="342"/>
      <c r="R162" s="342" t="s">
        <v>499</v>
      </c>
      <c r="S162" s="1870"/>
      <c r="T162" s="1870"/>
      <c r="U162" s="1870"/>
      <c r="V162" s="1870"/>
      <c r="W162" s="343"/>
      <c r="Y162" s="1283"/>
      <c r="Z162" s="1283"/>
      <c r="AA162" s="1283"/>
      <c r="AB162" s="1283"/>
      <c r="AC162" s="1283"/>
      <c r="AD162" s="1283"/>
      <c r="AE162" s="1283"/>
      <c r="AF162" s="1283"/>
      <c r="AG162" s="1283"/>
      <c r="AH162" s="1283"/>
      <c r="AI162" s="1283"/>
      <c r="AJ162" s="1283"/>
      <c r="AK162" s="1283"/>
    </row>
    <row s="1877" customFormat="1" customHeight="1" ht="17.25">
      <c r="A163" s="1864"/>
      <c r="C163" s="1869"/>
      <c r="D163" s="1854"/>
      <c r="E163" s="1871"/>
      <c r="F163" s="1808"/>
      <c r="G163" s="1872"/>
      <c r="H163" s="2527"/>
      <c r="I163" s="2527"/>
      <c r="J163" s="2557"/>
      <c r="K163" s="2136"/>
      <c r="L163" s="341"/>
      <c r="M163" s="342"/>
      <c r="N163" s="342" t="s">
        <v>500</v>
      </c>
      <c r="O163" s="342"/>
      <c r="P163" s="342"/>
      <c r="Q163" s="342"/>
      <c r="R163" s="342"/>
      <c r="S163" s="1870"/>
      <c r="T163" s="1870"/>
      <c r="U163" s="1870"/>
      <c r="V163" s="1870"/>
      <c r="W163" s="343"/>
      <c r="Y163" s="1283"/>
      <c r="Z163" s="1283"/>
      <c r="AA163" s="1283"/>
      <c r="AB163" s="1283"/>
      <c r="AC163" s="1283"/>
      <c r="AD163" s="1283"/>
      <c r="AE163" s="1283"/>
      <c r="AF163" s="1283"/>
      <c r="AG163" s="1283"/>
      <c r="AH163" s="1283"/>
      <c r="AI163" s="1283"/>
      <c r="AJ163" s="1283"/>
      <c r="AK163" s="1283"/>
    </row>
    <row customHeight="1" ht="17.25">
      <c r="G164" s="1863"/>
      <c r="H164" s="1863"/>
      <c r="I164" s="1863"/>
      <c r="M164" s="1859"/>
    </row>
    <row s="1877" customFormat="1" customHeight="1" ht="17.25">
      <c r="A165" s="1864"/>
      <c r="C165" s="1866"/>
      <c r="D165" s="1854"/>
      <c r="E165" s="1871"/>
      <c r="F165" s="1808"/>
      <c r="G165" s="1872"/>
      <c r="H165" s="1854"/>
      <c r="I165" s="1854"/>
      <c r="J165" s="1873"/>
      <c r="K165" s="1784"/>
      <c r="L165" s="2132"/>
      <c r="M165" s="2132" t="s">
        <v>170</v>
      </c>
      <c r="N165" s="2528" t="str">
        <f>IF(Z165="","",INDEX(TERRITORY_MR_LIST,MATCH(Z165,TERRITORY_LIST_ID,0)))</f>
        <v/>
      </c>
      <c r="O165" s="2209" t="s">
        <v>66</v>
      </c>
      <c r="P165" s="2132"/>
      <c r="Q165" s="2132" t="s">
        <v>170</v>
      </c>
      <c r="R165" s="2526" t="s">
        <v>22</v>
      </c>
      <c r="S165" s="2131" t="s">
        <v>66</v>
      </c>
      <c r="T165" s="1835"/>
      <c r="U165" s="1835" t="s">
        <v>170</v>
      </c>
      <c r="V165" s="1867" t="s">
        <v>22</v>
      </c>
      <c r="W165" s="1825"/>
      <c r="Y165" s="1291"/>
      <c r="Z165" s="1291"/>
      <c r="AA165" s="1291"/>
      <c r="AB165" s="1291"/>
      <c r="AC165" s="1291"/>
      <c r="AD165" s="1291"/>
      <c r="AE165" s="1291"/>
      <c r="AF165" s="1291"/>
      <c r="AG165" s="1291"/>
      <c r="AH165" s="1291"/>
      <c r="AI165" s="1291"/>
      <c r="AJ165" s="1291"/>
      <c r="AK165" s="1291"/>
      <c r="AL165" s="1868"/>
      <c r="AM165" s="1868"/>
      <c r="AN165" s="1291"/>
      <c r="AO165" s="1291"/>
      <c r="AP165" s="1291"/>
      <c r="AQ165" s="1291"/>
    </row>
    <row s="1877" customFormat="1" customHeight="1" ht="17.25">
      <c r="A166" s="1864"/>
      <c r="C166" s="1869"/>
      <c r="D166" s="1854"/>
      <c r="E166" s="1871"/>
      <c r="F166" s="1808"/>
      <c r="G166" s="1872"/>
      <c r="H166" s="1854"/>
      <c r="I166" s="1854"/>
      <c r="J166" s="1873"/>
      <c r="K166" s="1784"/>
      <c r="L166" s="2132"/>
      <c r="M166" s="2132"/>
      <c r="N166" s="2528"/>
      <c r="O166" s="2210"/>
      <c r="P166" s="2132"/>
      <c r="Q166" s="2132"/>
      <c r="R166" s="2526"/>
      <c r="S166" s="2131"/>
      <c r="T166" s="341"/>
      <c r="U166" s="342"/>
      <c r="V166" s="342" t="s">
        <v>498</v>
      </c>
      <c r="W166" s="343"/>
      <c r="Y166" s="1283"/>
      <c r="Z166" s="1283"/>
      <c r="AA166" s="1283"/>
      <c r="AB166" s="1283"/>
      <c r="AC166" s="1283"/>
      <c r="AD166" s="1283"/>
      <c r="AE166" s="1283"/>
      <c r="AF166" s="1283"/>
      <c r="AG166" s="1283"/>
      <c r="AH166" s="1283"/>
      <c r="AI166" s="1283"/>
      <c r="AJ166" s="1283"/>
      <c r="AK166" s="1283"/>
    </row>
    <row s="1877" customFormat="1" customHeight="1" ht="17.25">
      <c r="A167" s="1864"/>
      <c r="C167" s="1869"/>
      <c r="D167" s="1854"/>
      <c r="E167" s="1871"/>
      <c r="F167" s="1808"/>
      <c r="G167" s="1872"/>
      <c r="H167" s="1854"/>
      <c r="I167" s="1854"/>
      <c r="J167" s="1873"/>
      <c r="K167" s="1784"/>
      <c r="L167" s="2527"/>
      <c r="M167" s="2527"/>
      <c r="N167" s="2529"/>
      <c r="O167" s="2136"/>
      <c r="P167" s="341"/>
      <c r="Q167" s="342"/>
      <c r="R167" s="342" t="s">
        <v>499</v>
      </c>
      <c r="S167" s="1870"/>
      <c r="T167" s="1870"/>
      <c r="U167" s="1870"/>
      <c r="V167" s="1870"/>
      <c r="W167" s="343"/>
      <c r="Y167" s="1283"/>
      <c r="Z167" s="1283"/>
      <c r="AA167" s="1283"/>
      <c r="AB167" s="1283"/>
      <c r="AC167" s="1283"/>
      <c r="AD167" s="1283"/>
      <c r="AE167" s="1283"/>
      <c r="AF167" s="1283"/>
      <c r="AG167" s="1283"/>
      <c r="AH167" s="1283"/>
      <c r="AI167" s="1283"/>
      <c r="AJ167" s="1283"/>
      <c r="AK167" s="1283"/>
    </row>
    <row customHeight="1" ht="17.25">
      <c r="G168" s="1863"/>
      <c r="H168" s="1863"/>
      <c r="I168" s="1863"/>
      <c r="M168" s="1859"/>
    </row>
    <row s="1877" customFormat="1" customHeight="1" ht="17.25">
      <c r="A169" s="1864"/>
      <c r="C169" s="1866"/>
      <c r="D169" s="1854"/>
      <c r="E169" s="1871"/>
      <c r="F169" s="1808"/>
      <c r="G169" s="1872"/>
      <c r="H169" s="1854"/>
      <c r="I169" s="1854"/>
      <c r="J169" s="1873"/>
      <c r="K169" s="1784"/>
      <c r="L169" s="1780"/>
      <c r="M169" s="1780"/>
      <c r="N169" s="2072"/>
      <c r="O169" s="1811"/>
      <c r="P169" s="2132"/>
      <c r="Q169" s="2132" t="s">
        <v>170</v>
      </c>
      <c r="R169" s="2526" t="s">
        <v>22</v>
      </c>
      <c r="S169" s="2131" t="s">
        <v>66</v>
      </c>
      <c r="T169" s="1835"/>
      <c r="U169" s="1835" t="s">
        <v>170</v>
      </c>
      <c r="V169" s="1867" t="s">
        <v>22</v>
      </c>
      <c r="W169" s="1825"/>
      <c r="Y169" s="1291"/>
      <c r="Z169" s="1291"/>
      <c r="AA169" s="1291"/>
      <c r="AB169" s="1291"/>
      <c r="AC169" s="1291"/>
      <c r="AD169" s="1291"/>
      <c r="AE169" s="1291"/>
      <c r="AF169" s="1291"/>
      <c r="AG169" s="1291"/>
      <c r="AH169" s="1291"/>
      <c r="AI169" s="1291"/>
      <c r="AJ169" s="1291"/>
      <c r="AK169" s="1291"/>
      <c r="AL169" s="1868"/>
      <c r="AM169" s="1868"/>
      <c r="AN169" s="1291"/>
      <c r="AO169" s="1291"/>
      <c r="AP169" s="1291"/>
      <c r="AQ169" s="1291"/>
    </row>
    <row s="1877" customFormat="1" customHeight="1" ht="17.25">
      <c r="A170" s="1864"/>
      <c r="C170" s="1869"/>
      <c r="D170" s="1854"/>
      <c r="E170" s="1871"/>
      <c r="F170" s="1808"/>
      <c r="G170" s="1872"/>
      <c r="H170" s="1854"/>
      <c r="I170" s="1854"/>
      <c r="J170" s="1873"/>
      <c r="K170" s="1784"/>
      <c r="L170" s="1780"/>
      <c r="M170" s="1780"/>
      <c r="N170" s="2072"/>
      <c r="O170" s="1811"/>
      <c r="P170" s="2132"/>
      <c r="Q170" s="2132"/>
      <c r="R170" s="2526"/>
      <c r="S170" s="2131"/>
      <c r="T170" s="341"/>
      <c r="U170" s="342"/>
      <c r="V170" s="342" t="s">
        <v>498</v>
      </c>
      <c r="W170" s="343"/>
      <c r="Y170" s="1283"/>
      <c r="Z170" s="1283"/>
      <c r="AA170" s="1283"/>
      <c r="AB170" s="1283"/>
      <c r="AC170" s="1283"/>
      <c r="AD170" s="1283"/>
      <c r="AE170" s="1283"/>
      <c r="AF170" s="1283"/>
      <c r="AG170" s="1283"/>
      <c r="AH170" s="1283"/>
      <c r="AI170" s="1283"/>
      <c r="AJ170" s="1283"/>
      <c r="AK170" s="1283"/>
    </row>
    <row customHeight="1" ht="17.25">
      <c r="G171" s="1863"/>
      <c r="H171" s="1863"/>
      <c r="I171" s="1863"/>
      <c r="M171" s="1859"/>
    </row>
    <row s="1877" customFormat="1" customHeight="1" ht="17.25">
      <c r="A172" s="1864"/>
      <c r="C172" s="1866"/>
      <c r="D172" s="1854"/>
      <c r="E172" s="1871"/>
      <c r="F172" s="1808"/>
      <c r="G172" s="1872"/>
      <c r="H172" s="1780"/>
      <c r="I172" s="1780"/>
      <c r="J172" s="1781"/>
      <c r="K172" s="1872"/>
      <c r="L172" s="1780"/>
      <c r="M172" s="1780"/>
      <c r="N172" s="1872"/>
      <c r="O172" s="1872"/>
      <c r="P172" s="1780"/>
      <c r="Q172" s="1780"/>
      <c r="R172" s="1782"/>
      <c r="S172" s="1872"/>
      <c r="T172" s="1835"/>
      <c r="U172" s="1835" t="s">
        <v>170</v>
      </c>
      <c r="V172" s="1867" t="s">
        <v>22</v>
      </c>
      <c r="W172" s="1825"/>
      <c r="Y172" s="1291"/>
      <c r="Z172" s="1291"/>
      <c r="AA172" s="1291"/>
      <c r="AB172" s="1291"/>
      <c r="AC172" s="1291"/>
      <c r="AD172" s="1291"/>
      <c r="AE172" s="1291"/>
      <c r="AF172" s="1291"/>
      <c r="AG172" s="1291"/>
      <c r="AH172" s="1291"/>
      <c r="AI172" s="1291"/>
      <c r="AJ172" s="1291"/>
      <c r="AK172" s="1291"/>
      <c r="AL172" s="1868"/>
      <c r="AM172" s="1868"/>
      <c r="AN172" s="1291"/>
      <c r="AO172" s="1291"/>
      <c r="AP172" s="1291"/>
      <c r="AQ172" s="1291"/>
    </row>
    <row r="174" s="1839" customFormat="1" customHeight="1" ht="17.25">
      <c r="A174" s="1839" t="s">
        <v>2274</v>
      </c>
    </row>
    <row customHeight="1" ht="17.25">
      <c r="G175" s="1863"/>
      <c r="H175" s="1863"/>
      <c r="I175" s="1863"/>
      <c r="M175" s="1859"/>
    </row>
    <row s="1877" customFormat="1" customHeight="1" ht="17.25">
      <c r="A176" s="1864"/>
      <c r="C176" s="1866"/>
      <c r="D176" s="2553"/>
      <c r="E176" s="2167"/>
      <c r="F176" s="2169"/>
      <c r="G176" s="2555"/>
      <c r="H176" s="2553"/>
      <c r="I176" s="2553">
        <v>1</v>
      </c>
      <c r="J176" s="2525"/>
      <c r="K176" s="2209" t="s">
        <v>66</v>
      </c>
      <c r="L176" s="2132"/>
      <c r="M176" s="2132" t="s">
        <v>170</v>
      </c>
      <c r="N176" s="2528" t="str">
        <f>IF(Z176="","",INDEX(TERRITORY_MR_LIST,MATCH(Z176,TERRITORY_LIST_ID,0)))</f>
        <v/>
      </c>
      <c r="O176" s="2209" t="s">
        <v>66</v>
      </c>
      <c r="P176" s="2132"/>
      <c r="Q176" s="2132" t="s">
        <v>170</v>
      </c>
      <c r="R176" s="2526" t="s">
        <v>22</v>
      </c>
      <c r="S176" s="2430" t="s">
        <v>19</v>
      </c>
      <c r="T176" s="1826"/>
      <c r="U176" s="1826" t="s">
        <v>170</v>
      </c>
      <c r="V176" s="1458"/>
      <c r="W176" s="2525"/>
      <c r="Y176" s="1291"/>
      <c r="Z176" s="1291"/>
      <c r="AA176" s="1291"/>
      <c r="AB176" s="1291"/>
      <c r="AC176" s="1291"/>
      <c r="AD176" s="1291"/>
      <c r="AE176" s="1291"/>
      <c r="AF176" s="1291"/>
      <c r="AG176" s="1291"/>
      <c r="AH176" s="1291"/>
      <c r="AI176" s="1291"/>
      <c r="AJ176" s="1291"/>
      <c r="AK176" s="1291"/>
      <c r="AL176" s="1868"/>
      <c r="AM176" s="1868"/>
      <c r="AN176" s="1291"/>
      <c r="AO176" s="1291"/>
      <c r="AP176" s="1291"/>
      <c r="AQ176" s="1291"/>
    </row>
    <row s="1877" customFormat="1" customHeight="1" ht="17.25">
      <c r="A177" s="1864"/>
      <c r="C177" s="1869"/>
      <c r="D177" s="2553"/>
      <c r="E177" s="2167"/>
      <c r="F177" s="2170"/>
      <c r="G177" s="2555"/>
      <c r="H177" s="2553"/>
      <c r="I177" s="2553"/>
      <c r="J177" s="2525"/>
      <c r="K177" s="2210"/>
      <c r="L177" s="2132"/>
      <c r="M177" s="2132"/>
      <c r="N177" s="2528"/>
      <c r="O177" s="2210"/>
      <c r="P177" s="2132"/>
      <c r="Q177" s="2132"/>
      <c r="R177" s="2526"/>
      <c r="S177" s="2430"/>
      <c r="T177" s="1459"/>
      <c r="U177" s="1460"/>
      <c r="V177" s="1460"/>
      <c r="W177" s="2525"/>
      <c r="Y177" s="1283"/>
      <c r="Z177" s="1283"/>
      <c r="AA177" s="1283"/>
      <c r="AB177" s="1283"/>
      <c r="AC177" s="1283"/>
      <c r="AD177" s="1283"/>
      <c r="AE177" s="1283"/>
      <c r="AF177" s="1283"/>
      <c r="AG177" s="1283"/>
      <c r="AH177" s="1283"/>
      <c r="AI177" s="1283"/>
      <c r="AJ177" s="1283"/>
      <c r="AK177" s="1283"/>
    </row>
    <row s="1877" customFormat="1" customHeight="1" ht="17.25">
      <c r="A178" s="1864"/>
      <c r="C178" s="1869"/>
      <c r="D178" s="2527"/>
      <c r="E178" s="2554"/>
      <c r="F178" s="2170"/>
      <c r="G178" s="2556"/>
      <c r="H178" s="2527"/>
      <c r="I178" s="2527"/>
      <c r="J178" s="2557"/>
      <c r="K178" s="2210"/>
      <c r="L178" s="2527"/>
      <c r="M178" s="2527"/>
      <c r="N178" s="2529"/>
      <c r="O178" s="2136"/>
      <c r="P178" s="341"/>
      <c r="Q178" s="342"/>
      <c r="R178" s="342" t="s">
        <v>499</v>
      </c>
      <c r="S178" s="1870"/>
      <c r="T178" s="1870"/>
      <c r="U178" s="1870"/>
      <c r="V178" s="1870"/>
      <c r="W178" s="1457"/>
      <c r="Y178" s="1283"/>
      <c r="Z178" s="1283"/>
      <c r="AA178" s="1283"/>
      <c r="AB178" s="1283"/>
      <c r="AC178" s="1283"/>
      <c r="AD178" s="1283"/>
      <c r="AE178" s="1283"/>
      <c r="AF178" s="1283"/>
      <c r="AG178" s="1283"/>
      <c r="AH178" s="1283"/>
      <c r="AI178" s="1283"/>
      <c r="AJ178" s="1283"/>
      <c r="AK178" s="1283"/>
    </row>
    <row s="1877" customFormat="1" customHeight="1" ht="17.25">
      <c r="A179" s="1864"/>
      <c r="C179" s="1869"/>
      <c r="D179" s="2527"/>
      <c r="E179" s="2554"/>
      <c r="F179" s="2170"/>
      <c r="G179" s="2556"/>
      <c r="H179" s="2527"/>
      <c r="I179" s="2527"/>
      <c r="J179" s="2557"/>
      <c r="K179" s="2136"/>
      <c r="L179" s="341"/>
      <c r="M179" s="342"/>
      <c r="N179" s="342" t="s">
        <v>500</v>
      </c>
      <c r="O179" s="342"/>
      <c r="P179" s="342"/>
      <c r="Q179" s="342"/>
      <c r="R179" s="342"/>
      <c r="S179" s="1870"/>
      <c r="T179" s="1870"/>
      <c r="U179" s="1870"/>
      <c r="V179" s="1870"/>
      <c r="W179" s="343"/>
      <c r="Y179" s="1283"/>
      <c r="Z179" s="1283"/>
      <c r="AA179" s="1283"/>
      <c r="AB179" s="1283"/>
      <c r="AC179" s="1283"/>
      <c r="AD179" s="1283"/>
      <c r="AE179" s="1283"/>
      <c r="AF179" s="1283"/>
      <c r="AG179" s="1283"/>
      <c r="AH179" s="1283"/>
      <c r="AI179" s="1283"/>
      <c r="AJ179" s="1283"/>
      <c r="AK179" s="1283"/>
    </row>
    <row s="1877" customFormat="1" customHeight="1" ht="17.25">
      <c r="A180" s="1864"/>
      <c r="C180" s="1869"/>
      <c r="D180" s="2527"/>
      <c r="E180" s="2554"/>
      <c r="F180" s="2171"/>
      <c r="G180" s="2556"/>
      <c r="H180" s="341"/>
      <c r="I180" s="342"/>
      <c r="J180" s="342" t="s">
        <v>532</v>
      </c>
      <c r="K180" s="342"/>
      <c r="L180" s="342"/>
      <c r="M180" s="342"/>
      <c r="N180" s="342"/>
      <c r="O180" s="342"/>
      <c r="P180" s="342"/>
      <c r="Q180" s="342"/>
      <c r="R180" s="342"/>
      <c r="S180" s="1870"/>
      <c r="T180" s="1870"/>
      <c r="U180" s="1870"/>
      <c r="V180" s="1870"/>
      <c r="W180" s="343"/>
      <c r="Y180" s="1283"/>
      <c r="Z180" s="1283"/>
      <c r="AA180" s="1283"/>
      <c r="AB180" s="1283"/>
      <c r="AC180" s="1283"/>
      <c r="AD180" s="1283"/>
      <c r="AE180" s="1283"/>
      <c r="AF180" s="1283"/>
      <c r="AG180" s="1283"/>
      <c r="AH180" s="1283"/>
      <c r="AI180" s="1283"/>
      <c r="AJ180" s="1283"/>
      <c r="AK180" s="1283"/>
    </row>
    <row customHeight="1" ht="17.25">
      <c r="A181" s="1874"/>
    </row>
    <row s="1877" customFormat="1" customHeight="1" ht="17.25">
      <c r="A182" s="1864"/>
      <c r="C182" s="1866"/>
      <c r="D182" s="1854"/>
      <c r="E182" s="1871"/>
      <c r="F182" s="1808"/>
      <c r="G182" s="1872"/>
      <c r="H182" s="2553"/>
      <c r="I182" s="2553">
        <v>1</v>
      </c>
      <c r="J182" s="2525"/>
      <c r="K182" s="2209" t="s">
        <v>66</v>
      </c>
      <c r="L182" s="2132"/>
      <c r="M182" s="2132" t="s">
        <v>170</v>
      </c>
      <c r="N182" s="2528" t="str">
        <f>IF(Z182="","",INDEX(TERRITORY_MR_LIST,MATCH(Z182,TERRITORY_LIST_ID,0)))</f>
        <v/>
      </c>
      <c r="O182" s="2209" t="s">
        <v>66</v>
      </c>
      <c r="P182" s="2132"/>
      <c r="Q182" s="2132" t="s">
        <v>170</v>
      </c>
      <c r="R182" s="2526" t="s">
        <v>22</v>
      </c>
      <c r="S182" s="2430" t="s">
        <v>19</v>
      </c>
      <c r="T182" s="1826"/>
      <c r="U182" s="1826" t="s">
        <v>170</v>
      </c>
      <c r="V182" s="1458"/>
      <c r="W182" s="2525"/>
      <c r="Y182" s="1291"/>
      <c r="Z182" s="1291"/>
      <c r="AA182" s="1291"/>
      <c r="AB182" s="1291"/>
      <c r="AC182" s="1291"/>
      <c r="AD182" s="1291"/>
      <c r="AE182" s="1291"/>
      <c r="AF182" s="1291"/>
      <c r="AG182" s="1291"/>
      <c r="AH182" s="1291"/>
      <c r="AI182" s="1291"/>
      <c r="AJ182" s="1291"/>
      <c r="AK182" s="1291"/>
      <c r="AL182" s="1868"/>
      <c r="AM182" s="1868"/>
      <c r="AN182" s="1291"/>
      <c r="AO182" s="1291"/>
      <c r="AP182" s="1291"/>
      <c r="AQ182" s="1291"/>
    </row>
    <row s="1877" customFormat="1" customHeight="1" ht="17.25">
      <c r="A183" s="1864"/>
      <c r="C183" s="1869"/>
      <c r="D183" s="1854"/>
      <c r="E183" s="1871"/>
      <c r="F183" s="1808"/>
      <c r="G183" s="1872"/>
      <c r="H183" s="2553"/>
      <c r="I183" s="2553"/>
      <c r="J183" s="2525"/>
      <c r="K183" s="2210"/>
      <c r="L183" s="2132"/>
      <c r="M183" s="2132"/>
      <c r="N183" s="2528"/>
      <c r="O183" s="2210"/>
      <c r="P183" s="2132"/>
      <c r="Q183" s="2132"/>
      <c r="R183" s="2526"/>
      <c r="S183" s="2430"/>
      <c r="T183" s="1459"/>
      <c r="U183" s="1460"/>
      <c r="V183" s="1460"/>
      <c r="W183" s="2525"/>
      <c r="Y183" s="1283"/>
      <c r="Z183" s="1283"/>
      <c r="AA183" s="1283"/>
      <c r="AB183" s="1283"/>
      <c r="AC183" s="1283"/>
      <c r="AD183" s="1283"/>
      <c r="AE183" s="1283"/>
      <c r="AF183" s="1283"/>
      <c r="AG183" s="1283"/>
      <c r="AH183" s="1283"/>
      <c r="AI183" s="1283"/>
      <c r="AJ183" s="1283"/>
      <c r="AK183" s="1283"/>
    </row>
    <row s="1877" customFormat="1" customHeight="1" ht="17.25">
      <c r="A184" s="1864"/>
      <c r="C184" s="1869"/>
      <c r="D184" s="1854"/>
      <c r="E184" s="1871"/>
      <c r="F184" s="1808"/>
      <c r="G184" s="1872"/>
      <c r="H184" s="2527"/>
      <c r="I184" s="2527"/>
      <c r="J184" s="2557"/>
      <c r="K184" s="2210"/>
      <c r="L184" s="2527"/>
      <c r="M184" s="2527"/>
      <c r="N184" s="2529"/>
      <c r="O184" s="2136"/>
      <c r="P184" s="341"/>
      <c r="Q184" s="342"/>
      <c r="R184" s="342" t="s">
        <v>499</v>
      </c>
      <c r="S184" s="1870"/>
      <c r="T184" s="1870"/>
      <c r="U184" s="1870"/>
      <c r="V184" s="1870"/>
      <c r="W184" s="1457"/>
      <c r="Y184" s="1283"/>
      <c r="Z184" s="1283"/>
      <c r="AA184" s="1283"/>
      <c r="AB184" s="1283"/>
      <c r="AC184" s="1283"/>
      <c r="AD184" s="1283"/>
      <c r="AE184" s="1283"/>
      <c r="AF184" s="1283"/>
      <c r="AG184" s="1283"/>
      <c r="AH184" s="1283"/>
      <c r="AI184" s="1283"/>
      <c r="AJ184" s="1283"/>
      <c r="AK184" s="1283"/>
    </row>
    <row s="1877" customFormat="1" customHeight="1" ht="17.25">
      <c r="A185" s="1864"/>
      <c r="C185" s="1869"/>
      <c r="D185" s="1854"/>
      <c r="E185" s="1871"/>
      <c r="F185" s="1808"/>
      <c r="G185" s="1872"/>
      <c r="H185" s="2527"/>
      <c r="I185" s="2527"/>
      <c r="J185" s="2557"/>
      <c r="K185" s="2136"/>
      <c r="L185" s="341"/>
      <c r="M185" s="342"/>
      <c r="N185" s="342" t="s">
        <v>500</v>
      </c>
      <c r="O185" s="342"/>
      <c r="P185" s="342"/>
      <c r="Q185" s="342"/>
      <c r="R185" s="342"/>
      <c r="S185" s="1870"/>
      <c r="T185" s="1870"/>
      <c r="U185" s="1870"/>
      <c r="V185" s="1870"/>
      <c r="W185" s="343"/>
      <c r="Y185" s="1283"/>
      <c r="Z185" s="1283"/>
      <c r="AA185" s="1283"/>
      <c r="AB185" s="1283"/>
      <c r="AC185" s="1283"/>
      <c r="AD185" s="1283"/>
      <c r="AE185" s="1283"/>
      <c r="AF185" s="1283"/>
      <c r="AG185" s="1283"/>
      <c r="AH185" s="1283"/>
      <c r="AI185" s="1283"/>
      <c r="AJ185" s="1283"/>
      <c r="AK185" s="1283"/>
    </row>
    <row customHeight="1" ht="17.25">
      <c r="A186" s="1874"/>
    </row>
    <row s="1877" customFormat="1" customHeight="1" ht="17.25">
      <c r="A187" s="1864"/>
      <c r="C187" s="1866"/>
      <c r="D187" s="1854"/>
      <c r="E187" s="1871"/>
      <c r="F187" s="1808"/>
      <c r="G187" s="1872"/>
      <c r="H187" s="1854"/>
      <c r="I187" s="1854"/>
      <c r="J187" s="1875"/>
      <c r="K187" s="1872"/>
      <c r="L187" s="2132"/>
      <c r="M187" s="2132" t="s">
        <v>170</v>
      </c>
      <c r="N187" s="2528" t="str">
        <f>IF(Z187="","",INDEX(TERRITORY_MR_LIST,MATCH(Z187,TERRITORY_LIST_ID,0)))</f>
        <v/>
      </c>
      <c r="O187" s="2209" t="s">
        <v>66</v>
      </c>
      <c r="P187" s="2132"/>
      <c r="Q187" s="2132" t="s">
        <v>170</v>
      </c>
      <c r="R187" s="2526" t="s">
        <v>22</v>
      </c>
      <c r="S187" s="2430" t="s">
        <v>19</v>
      </c>
      <c r="T187" s="1826"/>
      <c r="U187" s="1826" t="s">
        <v>170</v>
      </c>
      <c r="V187" s="1458"/>
      <c r="W187" s="2525"/>
      <c r="Y187" s="1291"/>
      <c r="Z187" s="1291"/>
      <c r="AA187" s="1291"/>
      <c r="AB187" s="1291"/>
      <c r="AC187" s="1291"/>
      <c r="AD187" s="1291"/>
      <c r="AE187" s="1291"/>
      <c r="AF187" s="1291"/>
      <c r="AG187" s="1291"/>
      <c r="AH187" s="1291"/>
      <c r="AI187" s="1291"/>
      <c r="AJ187" s="1291"/>
      <c r="AK187" s="1291"/>
      <c r="AL187" s="1868"/>
      <c r="AM187" s="1868"/>
      <c r="AN187" s="1291"/>
      <c r="AO187" s="1291"/>
      <c r="AP187" s="1291"/>
      <c r="AQ187" s="1291"/>
    </row>
    <row s="1877" customFormat="1" customHeight="1" ht="17.25">
      <c r="A188" s="1864"/>
      <c r="C188" s="1869"/>
      <c r="D188" s="1854"/>
      <c r="E188" s="1871"/>
      <c r="F188" s="1808"/>
      <c r="G188" s="1872"/>
      <c r="H188" s="1854"/>
      <c r="I188" s="1854"/>
      <c r="J188" s="1875"/>
      <c r="K188" s="1872"/>
      <c r="L188" s="2132"/>
      <c r="M188" s="2132"/>
      <c r="N188" s="2528"/>
      <c r="O188" s="2210"/>
      <c r="P188" s="2132"/>
      <c r="Q188" s="2132"/>
      <c r="R188" s="2526"/>
      <c r="S188" s="2430"/>
      <c r="T188" s="1459"/>
      <c r="U188" s="1460"/>
      <c r="V188" s="1460"/>
      <c r="W188" s="2525"/>
      <c r="Y188" s="1283"/>
      <c r="Z188" s="1283"/>
      <c r="AA188" s="1283"/>
      <c r="AB188" s="1283"/>
      <c r="AC188" s="1283"/>
      <c r="AD188" s="1283"/>
      <c r="AE188" s="1283"/>
      <c r="AF188" s="1283"/>
      <c r="AG188" s="1283"/>
      <c r="AH188" s="1283"/>
      <c r="AI188" s="1283"/>
      <c r="AJ188" s="1283"/>
      <c r="AK188" s="1283"/>
    </row>
    <row s="1877" customFormat="1" customHeight="1" ht="17.25">
      <c r="A189" s="1864"/>
      <c r="C189" s="1869"/>
      <c r="D189" s="1854"/>
      <c r="E189" s="1871"/>
      <c r="F189" s="1808"/>
      <c r="G189" s="1872"/>
      <c r="H189" s="1854"/>
      <c r="I189" s="1854"/>
      <c r="J189" s="1875"/>
      <c r="K189" s="1872"/>
      <c r="L189" s="2527"/>
      <c r="M189" s="2527"/>
      <c r="N189" s="2529"/>
      <c r="O189" s="2136"/>
      <c r="P189" s="341"/>
      <c r="Q189" s="342"/>
      <c r="R189" s="342" t="s">
        <v>499</v>
      </c>
      <c r="S189" s="1870"/>
      <c r="T189" s="1870"/>
      <c r="U189" s="1870"/>
      <c r="V189" s="1870"/>
      <c r="W189" s="1457"/>
      <c r="Y189" s="1283"/>
      <c r="Z189" s="1283"/>
      <c r="AA189" s="1283"/>
      <c r="AB189" s="1283"/>
      <c r="AC189" s="1283"/>
      <c r="AD189" s="1283"/>
      <c r="AE189" s="1283"/>
      <c r="AF189" s="1283"/>
      <c r="AG189" s="1283"/>
      <c r="AH189" s="1283"/>
      <c r="AI189" s="1283"/>
      <c r="AJ189" s="1283"/>
      <c r="AK189" s="1283"/>
    </row>
    <row customHeight="1" ht="17.25">
      <c r="A190" s="1874"/>
    </row>
    <row s="1877" customFormat="1" customHeight="1" ht="17.25">
      <c r="A191" s="1864"/>
      <c r="C191" s="1866"/>
      <c r="D191" s="1854"/>
      <c r="E191" s="1871"/>
      <c r="F191" s="1808"/>
      <c r="G191" s="1872"/>
      <c r="H191" s="1854"/>
      <c r="I191" s="1854"/>
      <c r="J191" s="1875"/>
      <c r="K191" s="1872"/>
      <c r="L191" s="1854"/>
      <c r="M191" s="1854"/>
      <c r="N191" s="2072"/>
      <c r="O191" s="1811"/>
      <c r="P191" s="2132"/>
      <c r="Q191" s="2132" t="s">
        <v>170</v>
      </c>
      <c r="R191" s="2526" t="s">
        <v>22</v>
      </c>
      <c r="S191" s="2430" t="s">
        <v>19</v>
      </c>
      <c r="T191" s="1826"/>
      <c r="U191" s="1826" t="s">
        <v>170</v>
      </c>
      <c r="V191" s="1458"/>
      <c r="W191" s="2525"/>
      <c r="Y191" s="1291"/>
      <c r="Z191" s="1291"/>
      <c r="AA191" s="1291"/>
      <c r="AB191" s="1291"/>
      <c r="AC191" s="1291"/>
      <c r="AD191" s="1291"/>
      <c r="AE191" s="1291"/>
      <c r="AF191" s="1291"/>
      <c r="AG191" s="1291"/>
      <c r="AH191" s="1291"/>
      <c r="AI191" s="1291"/>
      <c r="AJ191" s="1291"/>
      <c r="AK191" s="1291"/>
      <c r="AL191" s="1868"/>
      <c r="AM191" s="1868"/>
      <c r="AN191" s="1291"/>
      <c r="AO191" s="1291"/>
      <c r="AP191" s="1291"/>
      <c r="AQ191" s="1291"/>
    </row>
    <row s="1877" customFormat="1" customHeight="1" ht="17.25">
      <c r="A192" s="1864"/>
      <c r="C192" s="1869"/>
      <c r="D192" s="1854"/>
      <c r="E192" s="1871"/>
      <c r="F192" s="1808"/>
      <c r="G192" s="1872"/>
      <c r="H192" s="1854"/>
      <c r="I192" s="1854"/>
      <c r="J192" s="1875"/>
      <c r="K192" s="1872"/>
      <c r="L192" s="1854"/>
      <c r="M192" s="1854"/>
      <c r="N192" s="2072"/>
      <c r="O192" s="1811"/>
      <c r="P192" s="2132"/>
      <c r="Q192" s="2132"/>
      <c r="R192" s="2526"/>
      <c r="S192" s="2430"/>
      <c r="T192" s="1459"/>
      <c r="U192" s="1460"/>
      <c r="V192" s="1460"/>
      <c r="W192" s="2525"/>
      <c r="Y192" s="1283"/>
      <c r="Z192" s="1283"/>
      <c r="AA192" s="1283"/>
      <c r="AB192" s="1283"/>
      <c r="AC192" s="1283"/>
      <c r="AD192" s="1283"/>
      <c r="AE192" s="1283"/>
      <c r="AF192" s="1283"/>
      <c r="AG192" s="1283"/>
      <c r="AH192" s="1283"/>
      <c r="AI192" s="1283"/>
      <c r="AJ192" s="1283"/>
      <c r="AK192" s="1283"/>
    </row>
    <row customHeight="1" ht="17.25">
      <c r="A193" s="1874"/>
    </row>
    <row customHeight="1" ht="16.5">
      <c r="A194" s="1864"/>
      <c r="B194" s="1865"/>
      <c r="C194" s="1869"/>
      <c r="D194" s="2577"/>
      <c r="E194" s="2203"/>
      <c r="F194" s="2203"/>
      <c r="G194" s="2151"/>
      <c r="H194" s="2578"/>
      <c r="I194" s="2591"/>
      <c r="J194" s="2176"/>
      <c r="K194" s="2161"/>
      <c r="L194" s="2161"/>
      <c r="M194" s="2161"/>
      <c r="N194" s="2589"/>
      <c r="O194" s="2161"/>
      <c r="P194" s="2161"/>
      <c r="Q194" s="2161"/>
      <c r="R194" s="2587"/>
      <c r="S194" s="2161"/>
      <c r="T194" s="1807"/>
      <c r="U194" s="1807"/>
      <c r="V194" s="1876"/>
      <c r="W194" s="1320"/>
    </row>
    <row customHeight="1" ht="16.5">
      <c r="A195" s="1864"/>
      <c r="B195" s="1865"/>
      <c r="C195" s="1869"/>
      <c r="D195" s="2577"/>
      <c r="E195" s="2203"/>
      <c r="F195" s="2203"/>
      <c r="G195" s="2151"/>
      <c r="H195" s="2579"/>
      <c r="I195" s="2592"/>
      <c r="J195" s="2177"/>
      <c r="K195" s="2162"/>
      <c r="L195" s="2162"/>
      <c r="M195" s="2162"/>
      <c r="N195" s="2590"/>
      <c r="O195" s="2162"/>
      <c r="P195" s="2162"/>
      <c r="Q195" s="2162"/>
      <c r="R195" s="2588"/>
      <c r="S195" s="2162"/>
      <c r="T195" s="1321"/>
      <c r="U195" s="1321"/>
      <c r="V195" s="1321"/>
      <c r="W195" s="1322"/>
    </row>
    <row customHeight="1" ht="17.25">
      <c r="A196" s="1864"/>
      <c r="B196" s="1865"/>
      <c r="C196" s="1869"/>
      <c r="D196" s="2577"/>
      <c r="E196" s="2203"/>
      <c r="F196" s="2203"/>
      <c r="G196" s="2151"/>
      <c r="H196" s="2579"/>
      <c r="I196" s="2592"/>
      <c r="J196" s="2580"/>
      <c r="K196" s="2162"/>
      <c r="L196" s="2162"/>
      <c r="M196" s="2162"/>
      <c r="N196" s="2588"/>
      <c r="O196" s="2162"/>
      <c r="P196" s="1810"/>
      <c r="Q196" s="1321"/>
      <c r="R196" s="1321"/>
      <c r="S196" s="1877"/>
      <c r="T196" s="1877"/>
      <c r="U196" s="1877"/>
      <c r="V196" s="1877"/>
      <c r="W196" s="1322"/>
    </row>
    <row customHeight="1" ht="17.25">
      <c r="A197" s="1864"/>
      <c r="B197" s="1865"/>
      <c r="C197" s="1869"/>
      <c r="D197" s="2577"/>
      <c r="E197" s="2203"/>
      <c r="F197" s="2203"/>
      <c r="G197" s="2151"/>
      <c r="H197" s="2579"/>
      <c r="I197" s="2592"/>
      <c r="J197" s="2580"/>
      <c r="K197" s="2162"/>
      <c r="L197" s="1321"/>
      <c r="M197" s="1321"/>
      <c r="N197" s="1321"/>
      <c r="O197" s="1321"/>
      <c r="P197" s="1321"/>
      <c r="Q197" s="1321"/>
      <c r="R197" s="1321"/>
      <c r="S197" s="1877"/>
      <c r="T197" s="1877"/>
      <c r="U197" s="1877"/>
      <c r="V197" s="1877"/>
      <c r="W197" s="1322"/>
    </row>
    <row customHeight="1" ht="17.25">
      <c r="A198" s="1864"/>
      <c r="B198" s="1865"/>
      <c r="C198" s="1869"/>
      <c r="D198" s="2577"/>
      <c r="E198" s="2203"/>
      <c r="F198" s="2203"/>
      <c r="G198" s="2151"/>
      <c r="H198" s="1323"/>
      <c r="I198" s="1324"/>
      <c r="J198" s="1324"/>
      <c r="K198" s="1324"/>
      <c r="L198" s="1324"/>
      <c r="M198" s="1324"/>
      <c r="N198" s="1324"/>
      <c r="O198" s="1324"/>
      <c r="P198" s="1324"/>
      <c r="Q198" s="1324"/>
      <c r="R198" s="1324"/>
      <c r="S198" s="1878"/>
      <c r="T198" s="1878"/>
      <c r="U198" s="1878"/>
      <c r="V198" s="1878"/>
      <c r="W198" s="1326"/>
    </row>
    <row r="200" s="1839" customFormat="1" customHeight="1" ht="17.25">
      <c r="A200" s="1839" t="s">
        <v>2275</v>
      </c>
    </row>
    <row customHeight="1" ht="17.25">
      <c r="G201" s="1863"/>
      <c r="H201" s="1863"/>
      <c r="I201" s="1863"/>
      <c r="M201" s="1859"/>
    </row>
    <row s="1874" customFormat="1" customHeight="1" ht="15">
      <c r="D202" s="2547"/>
      <c r="E202" s="2223"/>
      <c r="F202" s="2223"/>
      <c r="G202" s="2209"/>
      <c r="H202" s="1588"/>
      <c r="I202" s="2551">
        <v>1</v>
      </c>
      <c r="J202" s="2525"/>
      <c r="K202" s="1603"/>
      <c r="L202" s="2209" t="s">
        <v>66</v>
      </c>
      <c r="M202" s="2209" t="s">
        <v>66</v>
      </c>
      <c r="N202" s="1588"/>
      <c r="O202" s="2132" t="s">
        <v>170</v>
      </c>
      <c r="P202" s="2541"/>
      <c r="Q202" s="1604"/>
      <c r="R202" s="2209" t="s">
        <v>66</v>
      </c>
      <c r="S202" s="2209" t="s">
        <v>66</v>
      </c>
      <c r="T202" s="1879"/>
      <c r="U202" s="2132" t="s">
        <v>170</v>
      </c>
      <c r="V202" s="2548" t="str">
        <f>IF(AK202="","",INDEX(TERRITORY_MR_LIST,MATCH(AK202,TERRITORY_LIST_ID,0)))</f>
        <v/>
      </c>
      <c r="W202" s="1605"/>
      <c r="X202" s="2209" t="s">
        <v>66</v>
      </c>
      <c r="Y202" s="2209" t="s">
        <v>19</v>
      </c>
      <c r="Z202" s="1588"/>
      <c r="AA202" s="2132" t="s">
        <v>170</v>
      </c>
      <c r="AB202" s="2550"/>
      <c r="AC202" s="1606"/>
      <c r="AD202" s="2209" t="s">
        <v>66</v>
      </c>
      <c r="AE202" s="2209" t="s">
        <v>19</v>
      </c>
      <c r="AF202" s="1586"/>
      <c r="AG202" s="1835" t="s">
        <v>170</v>
      </c>
      <c r="AH202" s="1596"/>
      <c r="AI202" s="1825"/>
    </row>
    <row s="1874" customFormat="1" customHeight="1" ht="15">
      <c r="D203" s="2547"/>
      <c r="E203" s="2223"/>
      <c r="F203" s="2223"/>
      <c r="G203" s="2210"/>
      <c r="H203" s="1588"/>
      <c r="I203" s="2551"/>
      <c r="J203" s="2525"/>
      <c r="K203" s="1587"/>
      <c r="L203" s="2210"/>
      <c r="M203" s="2210"/>
      <c r="N203" s="1588"/>
      <c r="O203" s="2132"/>
      <c r="P203" s="2541"/>
      <c r="Q203" s="1584"/>
      <c r="R203" s="2210"/>
      <c r="S203" s="2210"/>
      <c r="T203" s="1879"/>
      <c r="U203" s="2132"/>
      <c r="V203" s="2549"/>
      <c r="W203" s="1585"/>
      <c r="X203" s="2210"/>
      <c r="Y203" s="2210"/>
      <c r="Z203" s="1588"/>
      <c r="AA203" s="2132"/>
      <c r="AB203" s="2519"/>
      <c r="AC203" s="1589"/>
      <c r="AD203" s="2136"/>
      <c r="AE203" s="2136"/>
      <c r="AF203" s="1590"/>
      <c r="AG203" s="1591"/>
      <c r="AH203" s="2542" t="s">
        <v>2276</v>
      </c>
      <c r="AI203" s="2543"/>
    </row>
    <row s="1874" customFormat="1" customHeight="1" ht="15">
      <c r="D204" s="2547"/>
      <c r="E204" s="2223"/>
      <c r="F204" s="2223"/>
      <c r="G204" s="2210"/>
      <c r="H204" s="1588"/>
      <c r="I204" s="2551"/>
      <c r="J204" s="2525"/>
      <c r="K204" s="1587"/>
      <c r="L204" s="2210"/>
      <c r="M204" s="2210"/>
      <c r="N204" s="1588"/>
      <c r="O204" s="2132"/>
      <c r="P204" s="2541"/>
      <c r="Q204" s="1584"/>
      <c r="R204" s="2210"/>
      <c r="S204" s="2210"/>
      <c r="T204" s="1879"/>
      <c r="U204" s="2132"/>
      <c r="V204" s="2549"/>
      <c r="W204" s="1585"/>
      <c r="X204" s="2210"/>
      <c r="Y204" s="2210"/>
      <c r="Z204" s="1627"/>
      <c r="AA204" s="1593"/>
      <c r="AB204" s="2544" t="s">
        <v>2277</v>
      </c>
      <c r="AC204" s="2544"/>
      <c r="AD204" s="2544"/>
      <c r="AE204" s="2544"/>
      <c r="AF204" s="2544"/>
      <c r="AG204" s="2544"/>
      <c r="AH204" s="2544"/>
      <c r="AI204" s="2545"/>
    </row>
    <row s="1874" customFormat="1" customHeight="1" ht="15">
      <c r="D205" s="2547"/>
      <c r="E205" s="2223"/>
      <c r="F205" s="2223"/>
      <c r="G205" s="2210"/>
      <c r="H205" s="1588"/>
      <c r="I205" s="2551"/>
      <c r="J205" s="2525"/>
      <c r="K205" s="1587"/>
      <c r="L205" s="2210"/>
      <c r="M205" s="2210"/>
      <c r="N205" s="1588"/>
      <c r="O205" s="2132"/>
      <c r="P205" s="2546"/>
      <c r="Q205" s="1584"/>
      <c r="R205" s="2210"/>
      <c r="S205" s="2210"/>
      <c r="T205" s="1880"/>
      <c r="U205" s="1628"/>
      <c r="V205" s="2542" t="s">
        <v>164</v>
      </c>
      <c r="W205" s="2542"/>
      <c r="X205" s="2542"/>
      <c r="Y205" s="2542"/>
      <c r="Z205" s="2542"/>
      <c r="AA205" s="2542"/>
      <c r="AB205" s="2542"/>
      <c r="AC205" s="2542"/>
      <c r="AD205" s="2542"/>
      <c r="AE205" s="2542"/>
      <c r="AF205" s="2542"/>
      <c r="AG205" s="2542"/>
      <c r="AH205" s="2542"/>
      <c r="AI205" s="2543"/>
    </row>
    <row s="1874" customFormat="1" customHeight="1" ht="11.25">
      <c r="D206" s="2547"/>
      <c r="E206" s="2223"/>
      <c r="F206" s="2223"/>
      <c r="G206" s="2210"/>
      <c r="H206" s="1592"/>
      <c r="I206" s="2551"/>
      <c r="J206" s="2552"/>
      <c r="K206" s="1587"/>
      <c r="L206" s="2210"/>
      <c r="M206" s="2210"/>
      <c r="N206" s="1592"/>
      <c r="O206" s="1593"/>
      <c r="P206" s="2542" t="s">
        <v>2278</v>
      </c>
      <c r="Q206" s="2542"/>
      <c r="R206" s="2542"/>
      <c r="S206" s="2542"/>
      <c r="T206" s="2542"/>
      <c r="U206" s="2542"/>
      <c r="V206" s="2542"/>
      <c r="W206" s="2542"/>
      <c r="X206" s="2542"/>
      <c r="Y206" s="2542"/>
      <c r="Z206" s="2542"/>
      <c r="AA206" s="2542"/>
      <c r="AB206" s="2542"/>
      <c r="AC206" s="2542"/>
      <c r="AD206" s="2542"/>
      <c r="AE206" s="2542"/>
      <c r="AF206" s="2542"/>
      <c r="AG206" s="2542"/>
      <c r="AH206" s="2542"/>
      <c r="AI206" s="2543"/>
    </row>
    <row s="1578" customFormat="1" customHeight="1" ht="11.25">
      <c r="D207" s="2547"/>
      <c r="E207" s="2223"/>
      <c r="F207" s="2223"/>
      <c r="G207" s="2136"/>
      <c r="H207" s="1594"/>
      <c r="I207" s="1595"/>
      <c r="J207" s="2542" t="s">
        <v>532</v>
      </c>
      <c r="K207" s="2542"/>
      <c r="L207" s="2542"/>
      <c r="M207" s="2542"/>
      <c r="N207" s="2542"/>
      <c r="O207" s="2542"/>
      <c r="P207" s="2542"/>
      <c r="Q207" s="2542"/>
      <c r="R207" s="2542"/>
      <c r="S207" s="2542"/>
      <c r="T207" s="2542"/>
      <c r="U207" s="2542"/>
      <c r="V207" s="2542"/>
      <c r="W207" s="2542"/>
      <c r="X207" s="2542"/>
      <c r="Y207" s="2542"/>
      <c r="Z207" s="2542"/>
      <c r="AA207" s="2542"/>
      <c r="AB207" s="2542"/>
      <c r="AC207" s="2542"/>
      <c r="AD207" s="2542"/>
      <c r="AE207" s="2542"/>
      <c r="AF207" s="2542"/>
      <c r="AG207" s="2542"/>
      <c r="AH207" s="2542"/>
      <c r="AI207" s="2543"/>
      <c r="BK207" s="1598"/>
    </row>
    <row customHeight="1" ht="17.25">
      <c r="G208" s="1863"/>
      <c r="I208" s="1863"/>
      <c r="J208" s="1863"/>
      <c r="N208" s="1859"/>
    </row>
    <row s="1874" customFormat="1" customHeight="1" ht="15">
      <c r="D209" s="2547"/>
      <c r="E209" s="2223"/>
      <c r="F209" s="2223"/>
      <c r="G209" s="2203"/>
      <c r="H209" s="1623"/>
      <c r="I209" s="2205"/>
      <c r="J209" s="2176"/>
      <c r="K209" s="1809"/>
      <c r="L209" s="2161"/>
      <c r="M209" s="2161"/>
      <c r="N209" s="1608"/>
      <c r="O209" s="2161"/>
      <c r="P209" s="2176"/>
      <c r="Q209" s="1813"/>
      <c r="R209" s="2161"/>
      <c r="S209" s="2161"/>
      <c r="T209" s="1881"/>
      <c r="U209" s="2161"/>
      <c r="V209" s="2176"/>
      <c r="W209" s="1611"/>
      <c r="X209" s="2161"/>
      <c r="Y209" s="2161"/>
      <c r="Z209" s="1608"/>
      <c r="AA209" s="2161"/>
      <c r="AB209" s="2176"/>
      <c r="AC209" s="1612"/>
      <c r="AD209" s="2161"/>
      <c r="AE209" s="2161"/>
      <c r="AF209" s="1807"/>
      <c r="AG209" s="1807"/>
      <c r="AH209" s="1613"/>
      <c r="AI209" s="1320"/>
    </row>
    <row s="1874" customFormat="1" customHeight="1" ht="15">
      <c r="D210" s="2547"/>
      <c r="E210" s="2223"/>
      <c r="F210" s="2223"/>
      <c r="G210" s="2203"/>
      <c r="H210" s="1624"/>
      <c r="I210" s="2206"/>
      <c r="J210" s="2177"/>
      <c r="K210" s="1634"/>
      <c r="L210" s="2162"/>
      <c r="M210" s="2162"/>
      <c r="N210" s="1614"/>
      <c r="O210" s="2162"/>
      <c r="P210" s="2177"/>
      <c r="Q210" s="1814"/>
      <c r="R210" s="2162"/>
      <c r="S210" s="2162"/>
      <c r="T210" s="1882"/>
      <c r="U210" s="2162"/>
      <c r="V210" s="2177"/>
      <c r="W210" s="1617"/>
      <c r="X210" s="2162"/>
      <c r="Y210" s="2162"/>
      <c r="Z210" s="1614"/>
      <c r="AA210" s="2162"/>
      <c r="AB210" s="2177"/>
      <c r="AC210" s="1618"/>
      <c r="AD210" s="2162"/>
      <c r="AE210" s="2162"/>
      <c r="AF210" s="1812"/>
      <c r="AG210" s="1812"/>
      <c r="AH210" s="2201"/>
      <c r="AI210" s="2202"/>
    </row>
    <row s="1874" customFormat="1" customHeight="1" ht="15">
      <c r="D211" s="2547"/>
      <c r="E211" s="2223"/>
      <c r="F211" s="2223"/>
      <c r="G211" s="2203"/>
      <c r="H211" s="1624"/>
      <c r="I211" s="2206"/>
      <c r="J211" s="2177"/>
      <c r="K211" s="1634"/>
      <c r="L211" s="2162"/>
      <c r="M211" s="2162"/>
      <c r="N211" s="1614"/>
      <c r="O211" s="2162"/>
      <c r="P211" s="2177"/>
      <c r="Q211" s="1814"/>
      <c r="R211" s="2162"/>
      <c r="S211" s="2162"/>
      <c r="T211" s="1882"/>
      <c r="U211" s="2162"/>
      <c r="V211" s="2177"/>
      <c r="W211" s="1617"/>
      <c r="X211" s="2162"/>
      <c r="Y211" s="2162"/>
      <c r="Z211" s="1810"/>
      <c r="AA211" s="1812"/>
      <c r="AB211" s="2201"/>
      <c r="AC211" s="2201"/>
      <c r="AD211" s="2201"/>
      <c r="AE211" s="2201"/>
      <c r="AF211" s="2201"/>
      <c r="AG211" s="2201"/>
      <c r="AH211" s="2201"/>
      <c r="AI211" s="2202"/>
    </row>
    <row s="1874" customFormat="1" customHeight="1" ht="15">
      <c r="D212" s="2547"/>
      <c r="E212" s="2223"/>
      <c r="F212" s="2223"/>
      <c r="G212" s="2203"/>
      <c r="H212" s="1624"/>
      <c r="I212" s="2206"/>
      <c r="J212" s="2177"/>
      <c r="K212" s="1634"/>
      <c r="L212" s="2162"/>
      <c r="M212" s="2162"/>
      <c r="N212" s="1614"/>
      <c r="O212" s="2162"/>
      <c r="P212" s="2177"/>
      <c r="Q212" s="1814"/>
      <c r="R212" s="2162"/>
      <c r="S212" s="2162"/>
      <c r="T212" s="1883"/>
      <c r="U212" s="1621"/>
      <c r="V212" s="2201"/>
      <c r="W212" s="2201"/>
      <c r="X212" s="2201"/>
      <c r="Y212" s="2201"/>
      <c r="Z212" s="2201"/>
      <c r="AA212" s="2201"/>
      <c r="AB212" s="2201"/>
      <c r="AC212" s="2201"/>
      <c r="AD212" s="2201"/>
      <c r="AE212" s="2201"/>
      <c r="AF212" s="2201"/>
      <c r="AG212" s="2201"/>
      <c r="AH212" s="2201"/>
      <c r="AI212" s="2202"/>
    </row>
    <row s="1874" customFormat="1" customHeight="1" ht="11.25">
      <c r="D213" s="2547"/>
      <c r="E213" s="2223"/>
      <c r="F213" s="2223"/>
      <c r="G213" s="2203"/>
      <c r="H213" s="1625"/>
      <c r="I213" s="2206"/>
      <c r="J213" s="2177"/>
      <c r="K213" s="1634"/>
      <c r="L213" s="2162"/>
      <c r="M213" s="2162"/>
      <c r="N213" s="1812"/>
      <c r="O213" s="1812"/>
      <c r="P213" s="2201"/>
      <c r="Q213" s="2201"/>
      <c r="R213" s="2201"/>
      <c r="S213" s="2201"/>
      <c r="T213" s="2201"/>
      <c r="U213" s="2201"/>
      <c r="V213" s="2201"/>
      <c r="W213" s="2201"/>
      <c r="X213" s="2201"/>
      <c r="Y213" s="2201"/>
      <c r="Z213" s="2201"/>
      <c r="AA213" s="2201"/>
      <c r="AB213" s="2201"/>
      <c r="AC213" s="2201"/>
      <c r="AD213" s="2201"/>
      <c r="AE213" s="2201"/>
      <c r="AF213" s="2201"/>
      <c r="AG213" s="2201"/>
      <c r="AH213" s="2201"/>
      <c r="AI213" s="2202"/>
    </row>
    <row s="1578" customFormat="1" customHeight="1" ht="11.25">
      <c r="D214" s="2547"/>
      <c r="E214" s="2223"/>
      <c r="F214" s="2223"/>
      <c r="G214" s="2208"/>
      <c r="H214" s="1622"/>
      <c r="I214" s="1626"/>
      <c r="J214" s="2211"/>
      <c r="K214" s="2211"/>
      <c r="L214" s="2211"/>
      <c r="M214" s="2211"/>
      <c r="N214" s="2211"/>
      <c r="O214" s="2211"/>
      <c r="P214" s="2211"/>
      <c r="Q214" s="2211"/>
      <c r="R214" s="2211"/>
      <c r="S214" s="2211"/>
      <c r="T214" s="2211"/>
      <c r="U214" s="2211"/>
      <c r="V214" s="2211"/>
      <c r="W214" s="2211"/>
      <c r="X214" s="2211"/>
      <c r="Y214" s="2211"/>
      <c r="Z214" s="2211"/>
      <c r="AA214" s="2211"/>
      <c r="AB214" s="2211"/>
      <c r="AC214" s="2211"/>
      <c r="AD214" s="2211"/>
      <c r="AE214" s="2211"/>
      <c r="AF214" s="2211"/>
      <c r="AG214" s="2211"/>
      <c r="AH214" s="2211"/>
      <c r="AI214" s="2212"/>
      <c r="BK214" s="1598"/>
    </row>
    <row customHeight="1" ht="17.25">
      <c r="A215" s="1874"/>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955AFD-ABFB-12E1-0389-0.0D3FA3C2}"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64" width="43.140625"/>
    <col min="2" max="2" style="864" width="43.140625" hidden="1"/>
    <col min="3" max="3" style="864" width="43.140625"/>
    <col min="4" max="5" style="864" width="36.421875" customWidth="1"/>
    <col min="6" max="8" style="1005" width="36.421875" customWidth="1"/>
  </cols>
  <sheetData>
    <row customHeight="1" ht="9">
      <c r="A1" s="870" t="s">
        <v>2279</v>
      </c>
      <c r="B1" s="870"/>
      <c r="C1" s="1006" t="s">
        <v>2280</v>
      </c>
      <c r="D1" s="1004" t="s">
        <v>905</v>
      </c>
      <c r="E1" s="1004" t="s">
        <v>951</v>
      </c>
      <c r="F1" s="1004" t="s">
        <v>1004</v>
      </c>
      <c r="G1" s="1004" t="s">
        <v>991</v>
      </c>
      <c r="H1" s="1004" t="s">
        <v>1955</v>
      </c>
    </row>
    <row customHeight="1" ht="9">
      <c r="A2" s="1007" t="s">
        <v>2281</v>
      </c>
      <c r="B2" s="1007"/>
      <c r="C2" s="1008" t="str">
        <f>INDEX(TEMPLATE_NUMBER_FORM_LIST,MATCH(TEMPLATE_SPHERE,TEMPLATE_SPHERE_LIST,0))</f>
        <v>16</v>
      </c>
      <c r="D2" s="1007" t="s">
        <v>1804</v>
      </c>
      <c r="E2" s="1007" t="s">
        <v>156</v>
      </c>
      <c r="F2" s="1009" t="s">
        <v>156</v>
      </c>
      <c r="G2" s="1007" t="s">
        <v>156</v>
      </c>
      <c r="H2" s="1010"/>
    </row>
    <row customHeight="1" ht="63">
      <c r="A3" s="870"/>
      <c r="B3" s="870" t="s">
        <v>170</v>
      </c>
      <c r="C3" s="100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08" t="s">
        <v>2282</v>
      </c>
      <c r="E3" s="100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09"/>
      <c r="G3" s="1010"/>
      <c r="H3" s="870"/>
    </row>
    <row customHeight="1" ht="243">
      <c r="A4" s="870" t="s">
        <v>2283</v>
      </c>
      <c r="B4" s="870" t="s">
        <v>103</v>
      </c>
      <c r="C4" s="100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07" t="s">
        <v>2284</v>
      </c>
      <c r="E4" s="100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07"/>
      <c r="G4" s="1007"/>
      <c r="H4" s="870" t="s">
        <v>2285</v>
      </c>
    </row>
    <row customHeight="1" ht="117">
      <c r="A5" s="870" t="s">
        <v>2286</v>
      </c>
      <c r="B5" s="870" t="s">
        <v>90</v>
      </c>
      <c r="C5" s="100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70" t="s">
        <v>2287</v>
      </c>
      <c r="E5" s="87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10"/>
      <c r="G5" s="1010"/>
      <c r="H5" s="870" t="s">
        <v>2288</v>
      </c>
    </row>
    <row customHeight="1" ht="90">
      <c r="A6" s="870" t="s">
        <v>2289</v>
      </c>
      <c r="B6" s="870" t="s">
        <v>91</v>
      </c>
      <c r="C6" s="100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7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7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70"/>
      <c r="G6" s="870"/>
      <c r="H6" s="1010"/>
    </row>
    <row customHeight="1" ht="45">
      <c r="A7" s="870" t="s">
        <v>2290</v>
      </c>
      <c r="B7" s="870" t="s">
        <v>119</v>
      </c>
      <c r="C7" s="1008" t="str">
        <f>IF(TEMPLATE_SPHERE="HEAT",D7,E7)</f>
        <v>Форма 11. Информация о расходах на капитальный и текущий ремонт основных средств</v>
      </c>
      <c r="D7" s="870" t="s">
        <v>2291</v>
      </c>
      <c r="E7" s="870" t="s">
        <v>2292</v>
      </c>
      <c r="F7" s="1010"/>
      <c r="G7" s="1010"/>
      <c r="H7" s="1010"/>
    </row>
    <row customHeight="1" ht="108">
      <c r="A8" s="870" t="s">
        <v>2293</v>
      </c>
      <c r="B8" s="870" t="s">
        <v>92</v>
      </c>
      <c r="C8" s="100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70" t="s">
        <v>1492</v>
      </c>
      <c r="E8" s="870" t="s">
        <v>2294</v>
      </c>
      <c r="F8" s="1010"/>
      <c r="G8" s="1010"/>
      <c r="H8" s="1010"/>
    </row>
    <row customHeight="1" ht="99">
      <c r="A9" s="870" t="s">
        <v>2295</v>
      </c>
      <c r="B9" s="870"/>
      <c r="C9" s="870" t="s">
        <v>2296</v>
      </c>
      <c r="D9" s="870"/>
      <c r="E9" s="870"/>
      <c r="F9" s="1010"/>
      <c r="G9" s="1010"/>
      <c r="H9" s="1010"/>
    </row>
    <row customHeight="1" ht="126">
      <c r="A10" s="870" t="s">
        <v>2297</v>
      </c>
      <c r="B10" s="870"/>
      <c r="C10" s="870" t="s">
        <v>2298</v>
      </c>
      <c r="D10" s="870"/>
      <c r="E10" s="870"/>
      <c r="F10" s="1010"/>
      <c r="G10" s="1010"/>
      <c r="H10" s="1010"/>
    </row>
    <row customHeight="1" ht="108">
      <c r="A11" s="870" t="s">
        <v>2299</v>
      </c>
      <c r="B11" s="870"/>
      <c r="C11" s="870" t="s">
        <v>2300</v>
      </c>
      <c r="D11" s="870"/>
      <c r="E11" s="870"/>
      <c r="F11" s="1010"/>
      <c r="G11" s="1010"/>
      <c r="H11" s="1010"/>
    </row>
    <row customHeight="1" ht="54">
      <c r="A12" s="870" t="s">
        <v>2301</v>
      </c>
      <c r="B12" s="870"/>
      <c r="C12" s="870" t="s">
        <v>2302</v>
      </c>
      <c r="D12" s="870"/>
      <c r="E12" s="870"/>
      <c r="F12" s="1010"/>
      <c r="G12" s="1010"/>
      <c r="H12" s="1010"/>
    </row>
    <row customHeight="1" ht="45">
      <c r="A13" s="870" t="s">
        <v>2303</v>
      </c>
      <c r="B13" s="870"/>
      <c r="C13" s="870" t="s">
        <v>2304</v>
      </c>
      <c r="D13" s="870"/>
      <c r="E13" s="870"/>
      <c r="F13" s="1010"/>
      <c r="G13" s="1010"/>
      <c r="H13" s="1010"/>
    </row>
    <row customHeight="1" ht="117">
      <c r="A14" s="870" t="s">
        <v>2305</v>
      </c>
      <c r="B14" s="870"/>
      <c r="C14" s="870" t="s">
        <v>2306</v>
      </c>
      <c r="D14" s="870"/>
      <c r="E14" s="870"/>
      <c r="F14" s="1010"/>
      <c r="G14" s="1010"/>
      <c r="H14" s="1010"/>
    </row>
    <row customHeight="1" ht="117">
      <c r="A15" s="870" t="s">
        <v>2307</v>
      </c>
      <c r="B15" s="870"/>
      <c r="C15" s="870" t="s">
        <v>2308</v>
      </c>
      <c r="D15" s="870"/>
      <c r="E15" s="870"/>
      <c r="F15" s="1010"/>
      <c r="G15" s="1010"/>
      <c r="H15" s="1010"/>
    </row>
    <row customHeight="1" ht="63">
      <c r="A16" s="870" t="s">
        <v>2309</v>
      </c>
      <c r="B16" s="870"/>
      <c r="C16" s="870" t="s">
        <v>2310</v>
      </c>
      <c r="D16" s="870"/>
      <c r="E16" s="870"/>
      <c r="F16" s="1010"/>
      <c r="G16" s="1010"/>
      <c r="H16" s="1010"/>
    </row>
    <row customHeight="1" ht="54">
      <c r="A17" s="870" t="s">
        <v>2311</v>
      </c>
      <c r="B17" s="870"/>
      <c r="C17" s="1008" t="s">
        <v>2312</v>
      </c>
      <c r="D17" s="870"/>
      <c r="E17" s="870"/>
      <c r="F17" s="1010"/>
      <c r="G17" s="1010"/>
      <c r="H17" s="1010"/>
    </row>
    <row customHeight="1" ht="27">
      <c r="A18" s="870" t="s">
        <v>2313</v>
      </c>
      <c r="B18" s="870"/>
      <c r="C18" s="1008" t="s">
        <v>2314</v>
      </c>
      <c r="D18" s="870"/>
      <c r="E18" s="870"/>
      <c r="F18" s="1010"/>
      <c r="G18" s="1010"/>
      <c r="H18" s="1010"/>
    </row>
    <row customHeight="1" ht="54">
      <c r="A19" s="870" t="s">
        <v>2315</v>
      </c>
      <c r="B19" s="870"/>
      <c r="C19" s="1008" t="s">
        <v>2316</v>
      </c>
      <c r="D19" s="870"/>
      <c r="E19" s="870"/>
      <c r="F19" s="1010"/>
      <c r="G19" s="1010"/>
      <c r="H19" s="1010"/>
    </row>
    <row customHeight="1" ht="36">
      <c r="A20" s="870" t="s">
        <v>2317</v>
      </c>
      <c r="B20" s="870"/>
      <c r="C20" s="1008" t="s">
        <v>2318</v>
      </c>
      <c r="D20" s="870"/>
      <c r="E20" s="870"/>
      <c r="F20" s="1010"/>
      <c r="G20" s="1010"/>
      <c r="H20" s="1010"/>
    </row>
    <row customHeight="1" ht="36">
      <c r="A21" s="870" t="s">
        <v>2319</v>
      </c>
      <c r="B21" s="870"/>
      <c r="C21" s="1008" t="s">
        <v>2320</v>
      </c>
      <c r="D21" s="870"/>
      <c r="E21" s="870"/>
      <c r="F21" s="1010"/>
      <c r="G21" s="1010"/>
      <c r="H21" s="1010"/>
    </row>
    <row customHeight="1" ht="27">
      <c r="A22" s="870" t="s">
        <v>2321</v>
      </c>
      <c r="B22" s="870"/>
      <c r="C22" s="1008" t="s">
        <v>2322</v>
      </c>
      <c r="D22" s="870"/>
      <c r="E22" s="870"/>
      <c r="F22" s="1010"/>
      <c r="G22" s="1010"/>
      <c r="H22" s="1010"/>
    </row>
    <row customHeight="1" ht="36">
      <c r="A23" s="870" t="s">
        <v>2323</v>
      </c>
      <c r="B23" s="870"/>
      <c r="C23" s="1008" t="s">
        <v>2324</v>
      </c>
      <c r="D23" s="870"/>
      <c r="E23" s="870"/>
      <c r="F23" s="1010"/>
      <c r="G23" s="1010"/>
      <c r="H23" s="1010"/>
    </row>
    <row customHeight="1" ht="28.5">
      <c r="A24" s="870" t="s">
        <v>2325</v>
      </c>
      <c r="B24" s="870"/>
      <c r="C24" s="1008" t="s">
        <v>2326</v>
      </c>
      <c r="D24" s="870"/>
      <c r="E24" s="870"/>
      <c r="F24" s="1010"/>
      <c r="G24" s="1010"/>
      <c r="H24" s="1010"/>
    </row>
    <row customHeight="1" ht="36">
      <c r="A25" s="870" t="s">
        <v>2327</v>
      </c>
      <c r="B25" s="870"/>
      <c r="C25" s="1008" t="s">
        <v>2328</v>
      </c>
      <c r="D25" s="870"/>
      <c r="E25" s="870"/>
      <c r="F25" s="1010"/>
      <c r="G25" s="1010"/>
      <c r="H25" s="1010"/>
    </row>
    <row customHeight="1" ht="27">
      <c r="A26" s="870" t="s">
        <v>2329</v>
      </c>
      <c r="B26" s="870"/>
      <c r="C26" s="1008" t="s">
        <v>2330</v>
      </c>
      <c r="D26" s="870"/>
      <c r="E26" s="870"/>
      <c r="F26" s="1010"/>
      <c r="G26" s="1010"/>
      <c r="H26" s="1010"/>
    </row>
    <row customHeight="1" ht="36">
      <c r="A27" s="870" t="s">
        <v>2331</v>
      </c>
      <c r="B27" s="870"/>
      <c r="C27" s="1008" t="s">
        <v>2332</v>
      </c>
      <c r="D27" s="870"/>
      <c r="E27" s="870"/>
      <c r="F27" s="1010"/>
      <c r="G27" s="1010"/>
      <c r="H27" s="1010"/>
    </row>
    <row customHeight="1" ht="28.5">
      <c r="A28" s="870" t="s">
        <v>2333</v>
      </c>
      <c r="B28" s="870"/>
      <c r="C28" s="1008" t="s">
        <v>2334</v>
      </c>
      <c r="D28" s="870"/>
      <c r="E28" s="870"/>
      <c r="F28" s="1010"/>
      <c r="G28" s="1010"/>
      <c r="H28" s="1010"/>
    </row>
    <row customHeight="1" ht="126">
      <c r="A29" s="870" t="s">
        <v>2335</v>
      </c>
      <c r="B29" s="870" t="s">
        <v>1906</v>
      </c>
      <c r="C29" s="100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70" t="s">
        <v>2336</v>
      </c>
      <c r="E29" s="87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10"/>
      <c r="G29" s="1010"/>
      <c r="H29" s="870" t="s">
        <v>2337</v>
      </c>
    </row>
    <row customHeight="1" ht="36">
      <c r="A30" s="870" t="s">
        <v>2338</v>
      </c>
      <c r="B30" s="870"/>
      <c r="C30" s="100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70" t="s">
        <v>2339</v>
      </c>
      <c r="E30" s="87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10"/>
      <c r="G30" s="1010"/>
      <c r="H30" s="1010"/>
    </row>
    <row customHeight="1" ht="54">
      <c r="A31" s="870" t="s">
        <v>2340</v>
      </c>
      <c r="B31" s="870"/>
      <c r="C31" s="100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70" t="s">
        <v>2341</v>
      </c>
      <c r="E31" s="87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10"/>
      <c r="G31" s="1010"/>
      <c r="H31" s="1010"/>
    </row>
    <row customHeight="1" ht="198">
      <c r="A32" s="870" t="s">
        <v>2342</v>
      </c>
      <c r="B32" s="870"/>
      <c r="C32" s="100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70" t="s">
        <v>2343</v>
      </c>
      <c r="E32" s="87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10"/>
      <c r="G32" s="1010"/>
      <c r="H32" s="870" t="s">
        <v>2344</v>
      </c>
    </row>
    <row customHeight="1" ht="9">
      <c r="A33" s="870"/>
      <c r="B33" s="870"/>
      <c r="C33" s="1008"/>
      <c r="D33" s="870"/>
      <c r="E33" s="870"/>
      <c r="F33" s="1010"/>
      <c r="G33" s="1010"/>
      <c r="H33" s="1010"/>
    </row>
    <row customHeight="1" ht="9">
      <c r="A34" s="870"/>
      <c r="B34" s="870" t="s">
        <v>1842</v>
      </c>
      <c r="C34" s="1008">
        <f>INDEX(TEMPLATE_NAME_FORM_LIST,B34,MATCH(TEMPLATE_SPHERE,TEMPLATE_SPHERE_LIST,0))</f>
        <v>0</v>
      </c>
      <c r="D34" s="870"/>
      <c r="E34" s="870"/>
      <c r="F34" s="1010"/>
      <c r="G34" s="1010"/>
      <c r="H34" s="1010"/>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1B2132F-3AC2-D1BD-842A-0.FD9FD30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64" width="9.140625"/>
    <col min="3" max="7" style="866" width="8.00390625" customWidth="1"/>
    <col min="8" max="12" style="866" width="8.57421875" customWidth="1"/>
    <col min="13" max="14" style="866" width="27.7109375" customWidth="1"/>
    <col min="15" max="19" style="866" width="5.140625" customWidth="1"/>
    <col min="20" max="24" style="866" width="27.7109375" customWidth="1"/>
    <col min="25" max="25" style="1025" width="1.8515625" customWidth="1"/>
    <col min="26" max="26" style="864" width="27.7109375" customWidth="1"/>
    <col min="27" max="27" style="875" width="27.7109375" customWidth="1"/>
    <col min="28" max="29" style="864" width="27.7109375" customWidth="1"/>
    <col min="30" max="30" style="864" width="3.8515625" customWidth="1"/>
    <col min="31" max="34" style="864" width="9.140625"/>
  </cols>
  <sheetData>
    <row s="863" customFormat="1" customHeight="1" ht="18">
      <c r="A1" s="922"/>
      <c r="B1" s="922"/>
      <c r="C1" s="922" t="s">
        <v>2345</v>
      </c>
      <c r="D1" s="922"/>
      <c r="E1" s="922"/>
      <c r="F1" s="922"/>
      <c r="G1" s="922"/>
      <c r="H1" s="922" t="s">
        <v>2346</v>
      </c>
      <c r="I1" s="922"/>
      <c r="J1" s="922"/>
      <c r="K1" s="922"/>
      <c r="L1" s="922"/>
      <c r="M1" s="922" t="s">
        <v>2347</v>
      </c>
      <c r="N1" s="922" t="s">
        <v>2348</v>
      </c>
      <c r="O1" s="2616" t="s">
        <v>2349</v>
      </c>
      <c r="P1" s="2616"/>
      <c r="Q1" s="2616"/>
      <c r="R1" s="2616"/>
      <c r="S1" s="2616"/>
      <c r="T1" s="2616" t="s">
        <v>2347</v>
      </c>
      <c r="U1" s="2616"/>
      <c r="V1" s="2616"/>
      <c r="W1" s="2616"/>
      <c r="X1" s="2616"/>
      <c r="Y1" s="1023"/>
      <c r="Z1" s="2616" t="s">
        <v>2350</v>
      </c>
      <c r="AA1" s="2616"/>
      <c r="AB1" s="2616"/>
      <c r="AC1" s="2616"/>
      <c r="AD1" s="2616"/>
    </row>
    <row customHeight="1" ht="18">
      <c r="A2" s="870"/>
      <c r="B2" s="870"/>
      <c r="C2" s="865" t="s">
        <v>905</v>
      </c>
      <c r="D2" s="865" t="s">
        <v>951</v>
      </c>
      <c r="E2" s="865" t="s">
        <v>1004</v>
      </c>
      <c r="F2" s="865" t="s">
        <v>991</v>
      </c>
      <c r="G2" s="865" t="s">
        <v>1955</v>
      </c>
      <c r="H2" s="867"/>
      <c r="I2" s="867"/>
      <c r="J2" s="867"/>
      <c r="K2" s="867"/>
      <c r="L2" s="867"/>
      <c r="M2" s="867"/>
      <c r="N2" s="867"/>
      <c r="O2" s="865" t="s">
        <v>905</v>
      </c>
      <c r="P2" s="865" t="s">
        <v>951</v>
      </c>
      <c r="Q2" s="865" t="s">
        <v>991</v>
      </c>
      <c r="R2" s="865" t="s">
        <v>1004</v>
      </c>
      <c r="S2" s="865" t="s">
        <v>1955</v>
      </c>
      <c r="T2" s="865" t="s">
        <v>905</v>
      </c>
      <c r="U2" s="865" t="s">
        <v>951</v>
      </c>
      <c r="V2" s="865" t="s">
        <v>991</v>
      </c>
      <c r="W2" s="865" t="s">
        <v>1004</v>
      </c>
      <c r="X2" s="865" t="s">
        <v>1955</v>
      </c>
      <c r="Y2" s="865"/>
      <c r="Z2" s="865" t="s">
        <v>905</v>
      </c>
      <c r="AA2" s="874" t="s">
        <v>951</v>
      </c>
      <c r="AB2" s="865" t="s">
        <v>991</v>
      </c>
      <c r="AC2" s="865" t="s">
        <v>1004</v>
      </c>
      <c r="AD2" s="865" t="s">
        <v>1955</v>
      </c>
    </row>
    <row customHeight="1" ht="162">
      <c r="A3" s="869" t="s">
        <v>27</v>
      </c>
      <c r="B3" s="869"/>
      <c r="C3" s="2620" t="s">
        <v>2351</v>
      </c>
      <c r="D3" s="2621"/>
      <c r="E3" s="2621"/>
      <c r="F3" s="2622"/>
      <c r="G3" s="867"/>
      <c r="H3" s="867"/>
      <c r="I3" s="867"/>
      <c r="J3" s="867"/>
      <c r="K3" s="867"/>
      <c r="L3" s="867"/>
      <c r="M3" s="867"/>
      <c r="N3" s="86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67"/>
      <c r="P3" s="867"/>
      <c r="Q3" s="867"/>
      <c r="R3" s="867"/>
      <c r="S3" s="867"/>
      <c r="T3" s="867"/>
      <c r="U3" s="867"/>
      <c r="V3" s="867"/>
      <c r="W3" s="867"/>
      <c r="X3" s="867"/>
      <c r="Y3" s="1024"/>
      <c r="Z3" s="870" t="s">
        <v>2352</v>
      </c>
      <c r="AA3" s="867" t="s">
        <v>2353</v>
      </c>
      <c r="AB3" s="870" t="s">
        <v>2354</v>
      </c>
      <c r="AC3" s="870" t="s">
        <v>2355</v>
      </c>
      <c r="AD3" s="870"/>
      <c r="AG3" s="870"/>
      <c r="AH3" s="870"/>
    </row>
    <row customHeight="1" ht="9">
      <c r="A4" s="869"/>
      <c r="B4" s="869"/>
      <c r="C4" s="867"/>
      <c r="D4" s="867"/>
      <c r="E4" s="867"/>
      <c r="F4" s="867"/>
      <c r="G4" s="867"/>
      <c r="H4" s="867"/>
      <c r="I4" s="867"/>
      <c r="J4" s="867"/>
      <c r="K4" s="867"/>
      <c r="L4" s="867"/>
      <c r="M4" s="867"/>
      <c r="N4" s="867"/>
      <c r="O4" s="867"/>
      <c r="P4" s="867"/>
      <c r="Q4" s="867"/>
      <c r="R4" s="867"/>
      <c r="S4" s="867"/>
      <c r="T4" s="867"/>
      <c r="U4" s="867"/>
      <c r="V4" s="867"/>
      <c r="W4" s="867"/>
      <c r="X4" s="867"/>
      <c r="Y4" s="1024"/>
      <c r="Z4" s="870"/>
      <c r="AA4" s="873"/>
      <c r="AB4" s="870"/>
      <c r="AC4" s="870"/>
      <c r="AD4" s="870"/>
    </row>
    <row customHeight="1" ht="9">
      <c r="A5" s="869"/>
      <c r="B5" s="869"/>
      <c r="C5" s="867"/>
      <c r="D5" s="867"/>
      <c r="E5" s="867"/>
      <c r="F5" s="867"/>
      <c r="G5" s="867"/>
      <c r="H5" s="867"/>
      <c r="I5" s="867"/>
      <c r="J5" s="867"/>
      <c r="K5" s="867"/>
      <c r="L5" s="867"/>
      <c r="M5" s="867"/>
      <c r="N5" s="867"/>
      <c r="O5" s="867"/>
      <c r="P5" s="867"/>
      <c r="Q5" s="867"/>
      <c r="R5" s="867"/>
      <c r="S5" s="867"/>
      <c r="T5" s="867"/>
      <c r="U5" s="867"/>
      <c r="V5" s="867"/>
      <c r="W5" s="867"/>
      <c r="X5" s="867"/>
      <c r="Y5" s="1024"/>
      <c r="Z5" s="870"/>
      <c r="AA5" s="873"/>
      <c r="AB5" s="870"/>
      <c r="AC5" s="870"/>
      <c r="AD5" s="870"/>
    </row>
    <row customHeight="1" ht="9">
      <c r="A6" s="869"/>
      <c r="B6" s="869"/>
      <c r="C6" s="867"/>
      <c r="D6" s="867"/>
      <c r="E6" s="867"/>
      <c r="F6" s="867"/>
      <c r="G6" s="867"/>
      <c r="H6" s="867"/>
      <c r="I6" s="867"/>
      <c r="J6" s="867"/>
      <c r="K6" s="867"/>
      <c r="L6" s="867"/>
      <c r="M6" s="867"/>
      <c r="N6" s="867"/>
      <c r="O6" s="867"/>
      <c r="P6" s="867"/>
      <c r="Q6" s="867"/>
      <c r="R6" s="867"/>
      <c r="S6" s="867"/>
      <c r="T6" s="867"/>
      <c r="U6" s="867"/>
      <c r="V6" s="867"/>
      <c r="W6" s="867"/>
      <c r="X6" s="867"/>
      <c r="Y6" s="1024"/>
      <c r="Z6" s="870"/>
      <c r="AA6" s="873"/>
      <c r="AB6" s="870"/>
      <c r="AC6" s="870"/>
      <c r="AD6" s="870"/>
    </row>
    <row customHeight="1" ht="9">
      <c r="A7" s="869"/>
      <c r="B7" s="869"/>
      <c r="C7" s="867"/>
      <c r="D7" s="867"/>
      <c r="E7" s="867"/>
      <c r="F7" s="867"/>
      <c r="G7" s="867"/>
      <c r="H7" s="867"/>
      <c r="I7" s="867"/>
      <c r="J7" s="867"/>
      <c r="K7" s="867"/>
      <c r="L7" s="867"/>
      <c r="M7" s="867"/>
      <c r="N7" s="867"/>
      <c r="O7" s="867"/>
      <c r="P7" s="867"/>
      <c r="Q7" s="867"/>
      <c r="R7" s="867"/>
      <c r="S7" s="867"/>
      <c r="T7" s="867"/>
      <c r="U7" s="867"/>
      <c r="V7" s="867"/>
      <c r="W7" s="867"/>
      <c r="X7" s="867"/>
      <c r="Y7" s="1024"/>
      <c r="Z7" s="870"/>
      <c r="AA7" s="873"/>
      <c r="AB7" s="870"/>
      <c r="AC7" s="870"/>
      <c r="AD7" s="870"/>
    </row>
    <row customHeight="1" ht="9">
      <c r="A8" s="869"/>
      <c r="B8" s="869"/>
      <c r="C8" s="867"/>
      <c r="D8" s="867"/>
      <c r="E8" s="867"/>
      <c r="F8" s="867"/>
      <c r="G8" s="867"/>
      <c r="H8" s="867"/>
      <c r="I8" s="867"/>
      <c r="J8" s="867"/>
      <c r="K8" s="867"/>
      <c r="L8" s="867"/>
      <c r="M8" s="867"/>
      <c r="N8" s="867"/>
      <c r="O8" s="867"/>
      <c r="P8" s="867"/>
      <c r="Q8" s="867"/>
      <c r="R8" s="867"/>
      <c r="S8" s="867"/>
      <c r="T8" s="867"/>
      <c r="U8" s="867"/>
      <c r="V8" s="867"/>
      <c r="W8" s="867"/>
      <c r="X8" s="867"/>
      <c r="Y8" s="1024"/>
      <c r="Z8" s="870"/>
      <c r="AA8" s="873"/>
      <c r="AB8" s="870"/>
      <c r="AC8" s="870"/>
      <c r="AD8" s="870"/>
    </row>
    <row customHeight="1" ht="9">
      <c r="A9" s="869"/>
      <c r="B9" s="869"/>
      <c r="C9" s="867"/>
      <c r="D9" s="867"/>
      <c r="E9" s="867"/>
      <c r="F9" s="867"/>
      <c r="G9" s="867"/>
      <c r="H9" s="867"/>
      <c r="I9" s="867"/>
      <c r="J9" s="867"/>
      <c r="K9" s="867"/>
      <c r="L9" s="867"/>
      <c r="M9" s="867"/>
      <c r="N9" s="867"/>
      <c r="O9" s="867"/>
      <c r="P9" s="867"/>
      <c r="Q9" s="867"/>
      <c r="R9" s="867"/>
      <c r="S9" s="867"/>
      <c r="T9" s="867"/>
      <c r="U9" s="867"/>
      <c r="V9" s="867"/>
      <c r="W9" s="867"/>
      <c r="X9" s="867"/>
      <c r="Y9" s="1024"/>
      <c r="Z9" s="870"/>
      <c r="AA9" s="873"/>
      <c r="AB9" s="870"/>
      <c r="AC9" s="870"/>
      <c r="AD9" s="870"/>
    </row>
    <row customHeight="1" ht="9">
      <c r="A10" s="923"/>
      <c r="B10" s="923"/>
      <c r="C10" s="923"/>
      <c r="D10" s="923"/>
      <c r="E10" s="923"/>
      <c r="F10" s="923"/>
      <c r="G10" s="923"/>
      <c r="H10" s="923"/>
      <c r="I10" s="923"/>
      <c r="J10" s="923"/>
      <c r="K10" s="923"/>
      <c r="L10" s="923"/>
      <c r="M10" s="923"/>
      <c r="N10" s="923"/>
      <c r="O10" s="923"/>
      <c r="P10" s="923"/>
      <c r="Q10" s="923"/>
      <c r="R10" s="923"/>
      <c r="S10" s="923"/>
      <c r="T10" s="923"/>
      <c r="U10" s="923"/>
      <c r="V10" s="923"/>
      <c r="W10" s="923"/>
      <c r="X10" s="923"/>
      <c r="Y10" s="923"/>
      <c r="Z10" s="923"/>
      <c r="AA10" s="923"/>
      <c r="AB10" s="923"/>
      <c r="AC10" s="923"/>
      <c r="AD10" s="923"/>
    </row>
    <row customHeight="1" ht="45">
      <c r="A11" s="2617" t="s">
        <v>33</v>
      </c>
      <c r="B11" s="923">
        <v>1</v>
      </c>
      <c r="C11" s="2623" t="s">
        <v>1893</v>
      </c>
      <c r="D11" s="2623" t="s">
        <v>1889</v>
      </c>
      <c r="E11" s="2623" t="s">
        <v>1987</v>
      </c>
      <c r="F11" s="2623" t="s">
        <v>2356</v>
      </c>
      <c r="G11" s="2623"/>
      <c r="H11" s="922" t="s">
        <v>2357</v>
      </c>
      <c r="I11" s="922"/>
      <c r="J11" s="922"/>
      <c r="K11" s="922"/>
      <c r="L11" s="922"/>
      <c r="M11" s="868" t="str">
        <f>IF(TEMPLATE_SPHERE="HEAT",T11,U11)</f>
        <v>Количество поданных заявок</v>
      </c>
      <c r="N11" s="86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67"/>
      <c r="P11" s="867"/>
      <c r="Q11" s="867"/>
      <c r="R11" s="867"/>
      <c r="S11" s="867"/>
      <c r="T11" s="867" t="s">
        <v>2358</v>
      </c>
      <c r="U11" s="867" t="s">
        <v>2359</v>
      </c>
      <c r="V11" s="867"/>
      <c r="W11" s="867"/>
      <c r="X11" s="867"/>
      <c r="Y11" s="1024"/>
      <c r="Z11" s="870" t="s">
        <v>2360</v>
      </c>
      <c r="AA11" s="87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70"/>
      <c r="AC11" s="870"/>
      <c r="AD11" s="870"/>
    </row>
    <row customHeight="1" ht="45">
      <c r="A12" s="2617"/>
      <c r="B12" s="923">
        <v>2</v>
      </c>
      <c r="C12" s="2624"/>
      <c r="D12" s="2624"/>
      <c r="E12" s="2624"/>
      <c r="F12" s="2624"/>
      <c r="G12" s="2624"/>
      <c r="H12" s="922" t="s">
        <v>2361</v>
      </c>
      <c r="I12" s="922"/>
      <c r="J12" s="922"/>
      <c r="K12" s="922"/>
      <c r="L12" s="922"/>
      <c r="M12" s="868" t="str">
        <f>IF(TEMPLATE_SPHERE="HEAT",T12,U12)</f>
        <v>Количество рассмотренных заявок</v>
      </c>
      <c r="N12" s="86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67"/>
      <c r="P12" s="867"/>
      <c r="Q12" s="867"/>
      <c r="R12" s="867"/>
      <c r="S12" s="867"/>
      <c r="T12" s="867" t="s">
        <v>2362</v>
      </c>
      <c r="U12" s="867" t="s">
        <v>2363</v>
      </c>
      <c r="V12" s="867"/>
      <c r="W12" s="867"/>
      <c r="X12" s="867"/>
      <c r="Y12" s="1024"/>
      <c r="Z12" s="870" t="s">
        <v>2364</v>
      </c>
      <c r="AA12" s="87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70"/>
      <c r="AC12" s="870"/>
      <c r="AD12" s="870"/>
    </row>
    <row customHeight="1" ht="72">
      <c r="A13" s="2617"/>
      <c r="B13" s="923">
        <v>3</v>
      </c>
      <c r="C13" s="2624"/>
      <c r="D13" s="2624"/>
      <c r="E13" s="2624"/>
      <c r="F13" s="2624"/>
      <c r="G13" s="2624"/>
      <c r="H13" s="2616" t="s">
        <v>2365</v>
      </c>
      <c r="I13" s="922"/>
      <c r="J13" s="922"/>
      <c r="K13" s="922"/>
      <c r="L13" s="922"/>
      <c r="M13" s="86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68" t="str">
        <f>IF(TEMPLATE_SPHERE="HEAT",Z13,AA13)</f>
        <v>Указывается количество заявок с решением об отказе в течение отчетного квартала.</v>
      </c>
      <c r="O13" s="867"/>
      <c r="P13" s="868"/>
      <c r="Q13" s="868"/>
      <c r="R13" s="868"/>
      <c r="S13" s="867"/>
      <c r="T13" s="867" t="s">
        <v>2366</v>
      </c>
      <c r="U13" s="868" t="s">
        <v>2367</v>
      </c>
      <c r="V13" s="868"/>
      <c r="W13" s="868"/>
      <c r="X13" s="867"/>
      <c r="Y13" s="1024"/>
      <c r="Z13" s="870" t="s">
        <v>2368</v>
      </c>
      <c r="AA13" s="87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70"/>
      <c r="AC13" s="870"/>
      <c r="AD13" s="870"/>
    </row>
    <row customHeight="1" ht="45">
      <c r="A14" s="2617"/>
      <c r="B14" s="923">
        <v>4</v>
      </c>
      <c r="C14" s="2624"/>
      <c r="D14" s="2624"/>
      <c r="E14" s="2624"/>
      <c r="F14" s="2624"/>
      <c r="G14" s="2624"/>
      <c r="H14" s="2616"/>
      <c r="I14" s="925"/>
      <c r="J14" s="925"/>
      <c r="K14" s="925"/>
      <c r="L14" s="925"/>
      <c r="M14" s="871" t="str">
        <f>IF(TEMPLATE_SPHERE="HEAT",T14,U14)</f>
        <v>Причины отказа в заключении договора о подключении (технологическом присоединении) к системе теплоснабжения</v>
      </c>
      <c r="N14" s="86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67"/>
      <c r="P14" s="868"/>
      <c r="Q14" s="868"/>
      <c r="R14" s="868"/>
      <c r="S14" s="867"/>
      <c r="T14" s="867" t="s">
        <v>2369</v>
      </c>
      <c r="U14" s="86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68"/>
      <c r="W14" s="868"/>
      <c r="X14" s="867"/>
      <c r="Y14" s="1024"/>
      <c r="Z14" s="870" t="s">
        <v>2370</v>
      </c>
      <c r="AA14" s="873" t="s">
        <v>2370</v>
      </c>
      <c r="AB14" s="870"/>
      <c r="AC14" s="870"/>
      <c r="AD14" s="870"/>
    </row>
    <row customHeight="1" ht="108">
      <c r="A15" s="2617"/>
      <c r="B15" s="923">
        <v>5</v>
      </c>
      <c r="C15" s="2624"/>
      <c r="D15" s="2624"/>
      <c r="E15" s="2624"/>
      <c r="F15" s="2624"/>
      <c r="G15" s="2624"/>
      <c r="H15" s="2618" t="s">
        <v>2371</v>
      </c>
      <c r="I15" s="924"/>
      <c r="J15" s="924"/>
      <c r="K15" s="924"/>
      <c r="L15" s="924"/>
      <c r="M15" s="873" t="str">
        <f>IF(TEMPLATE_SPHERE="HEAT",T15,U15)</f>
        <v>Резерв мощности источников тепловой энергии, входящих в систему теплоснабжения, в течение одного квартала, в том числе:</v>
      </c>
      <c r="N15" s="87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67"/>
      <c r="P15" s="868"/>
      <c r="Q15" s="868"/>
      <c r="R15" s="868"/>
      <c r="S15" s="867"/>
      <c r="T15" s="867" t="s">
        <v>2372</v>
      </c>
      <c r="U15" s="86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68"/>
      <c r="W15" s="868"/>
      <c r="X15" s="867"/>
      <c r="Y15" s="1024"/>
      <c r="Z15" s="870" t="s">
        <v>2373</v>
      </c>
      <c r="AA15" s="87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70"/>
      <c r="AC15" s="870"/>
      <c r="AD15" s="870"/>
    </row>
    <row customHeight="1" ht="108">
      <c r="A16" s="923"/>
      <c r="B16" s="923">
        <v>6</v>
      </c>
      <c r="C16" s="2625"/>
      <c r="D16" s="2625"/>
      <c r="E16" s="2625"/>
      <c r="F16" s="2625"/>
      <c r="G16" s="2625"/>
      <c r="H16" s="2619"/>
      <c r="I16" s="986"/>
      <c r="J16" s="986"/>
      <c r="K16" s="986"/>
      <c r="L16" s="986"/>
      <c r="M16" s="916"/>
      <c r="N16" s="87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67"/>
      <c r="P16" s="868"/>
      <c r="Q16" s="868"/>
      <c r="R16" s="868"/>
      <c r="S16" s="867"/>
      <c r="T16" s="867"/>
      <c r="U16" s="868"/>
      <c r="V16" s="868"/>
      <c r="W16" s="868"/>
      <c r="X16" s="867"/>
      <c r="Y16" s="1024"/>
      <c r="Z16" s="870" t="s">
        <v>2373</v>
      </c>
      <c r="AA16" s="87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70"/>
      <c r="AC16" s="870"/>
      <c r="AD16" s="870"/>
    </row>
    <row customHeight="1" ht="9">
      <c r="A17" s="923"/>
      <c r="B17" s="923"/>
      <c r="C17" s="923">
        <v>22</v>
      </c>
      <c r="D17" s="923">
        <v>21</v>
      </c>
      <c r="E17" s="923">
        <v>42</v>
      </c>
      <c r="F17" s="923">
        <v>63</v>
      </c>
      <c r="G17" s="923"/>
      <c r="H17" s="923"/>
      <c r="I17" s="923"/>
      <c r="J17" s="923"/>
      <c r="K17" s="923"/>
      <c r="L17" s="923"/>
      <c r="M17" s="923"/>
      <c r="N17" s="923"/>
      <c r="O17" s="923"/>
      <c r="P17" s="923"/>
      <c r="Q17" s="923"/>
      <c r="R17" s="923"/>
      <c r="S17" s="923"/>
      <c r="T17" s="923"/>
      <c r="U17" s="923"/>
      <c r="V17" s="923"/>
      <c r="W17" s="923"/>
      <c r="X17" s="923"/>
      <c r="Y17" s="923"/>
      <c r="Z17" s="923"/>
      <c r="AA17" s="923"/>
      <c r="AB17" s="923"/>
      <c r="AC17" s="923"/>
      <c r="AD17" s="923"/>
    </row>
    <row customHeight="1" ht="27">
      <c r="A18" s="869" t="s">
        <v>1990</v>
      </c>
      <c r="B18" s="923">
        <v>1</v>
      </c>
      <c r="C18" s="867" t="s">
        <v>2357</v>
      </c>
      <c r="D18" s="991" t="s">
        <v>2357</v>
      </c>
      <c r="E18" s="867" t="s">
        <v>2357</v>
      </c>
      <c r="F18" s="867" t="s">
        <v>2357</v>
      </c>
      <c r="G18" s="867"/>
      <c r="H18" s="1026"/>
      <c r="I18" s="1029">
        <f>INDEX(TEMPLATE_NUMBER_POINT_FHD,B18,MATCH(TEMPLATE_SPHERE,TEMPLATE_SPHERE_LIST_FOR_NOTE,0))</f>
        <v>1</v>
      </c>
      <c r="J18" s="1029" t="str">
        <f>INDEX(TEMPLATE_DATA_POINT_FHD,B18,MATCH(TEMPLATE_SPHERE,TEMPLATE_SPHERE_LIST_FOR_NOTE,0))</f>
        <v>Выручка от регулируемого вида деятельности с распределением по видам деятельности</v>
      </c>
      <c r="K18" s="102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68">
        <f>IF(I18=0,"",I18)</f>
        <v>1</v>
      </c>
      <c r="M18" s="868" t="str">
        <f>IF(J18=0,"",J18)</f>
        <v>Выручка от регулируемого вида деятельности с распределением по видам деятельности</v>
      </c>
      <c r="N18" s="868" t="str">
        <f>IF(K18=0,"",K18)</f>
        <v>Указывается выручка от регулируемого вида деятельности с распределением по видам деятельности.</v>
      </c>
      <c r="O18" s="981">
        <v>1</v>
      </c>
      <c r="P18" s="981">
        <v>1</v>
      </c>
      <c r="Q18" s="981">
        <v>1</v>
      </c>
      <c r="R18" s="981">
        <v>1</v>
      </c>
      <c r="S18" s="981"/>
      <c r="T18" s="988" t="s">
        <v>2374</v>
      </c>
      <c r="U18" s="870" t="s">
        <v>2375</v>
      </c>
      <c r="V18" s="870" t="s">
        <v>2376</v>
      </c>
      <c r="W18" s="870" t="s">
        <v>2377</v>
      </c>
      <c r="X18" s="867"/>
      <c r="Y18" s="1024"/>
      <c r="Z18" s="870" t="s">
        <v>2378</v>
      </c>
      <c r="AA18" s="873" t="s">
        <v>2379</v>
      </c>
      <c r="AB18" s="873" t="s">
        <v>2379</v>
      </c>
      <c r="AC18" s="873" t="s">
        <v>2379</v>
      </c>
      <c r="AD18" s="870"/>
    </row>
    <row customHeight="1" ht="36">
      <c r="A19" s="869"/>
      <c r="B19" s="923">
        <v>2</v>
      </c>
      <c r="C19" s="867" t="s">
        <v>2361</v>
      </c>
      <c r="D19" s="991" t="s">
        <v>2361</v>
      </c>
      <c r="E19" s="867" t="s">
        <v>2361</v>
      </c>
      <c r="F19" s="867" t="s">
        <v>2361</v>
      </c>
      <c r="G19" s="867"/>
      <c r="H19" s="1026"/>
      <c r="I19" s="1029">
        <f>INDEX(TEMPLATE_NUMBER_POINT_FHD,B19,MATCH(TEMPLATE_SPHERE,TEMPLATE_SPHERE_LIST_FOR_NOTE,0))</f>
        <v>2</v>
      </c>
      <c r="J19" s="102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29" t="str">
        <f>INDEX(TEMPLATE_NOTE_POINT_FHD,B19,MATCH(TEMPLATE_SPHERE,TEMPLATE_SPHERE_LIST_FOR_NOTE,0))</f>
        <v>Указывается суммарная себестоимость производимых товаров.</v>
      </c>
      <c r="L19" s="868">
        <f>IF(I19=0,"",I19)</f>
        <v>2</v>
      </c>
      <c r="M19" s="868" t="str">
        <f>IF(J19=0,"",J19)</f>
        <v>Себестоимость производимых товаров (оказываемых услуг) по регулируемому виду деятельности, включая:</v>
      </c>
      <c r="N19" s="868" t="str">
        <f>IF(K19=0,"",K19)</f>
        <v>Указывается суммарная себестоимость производимых товаров.</v>
      </c>
      <c r="O19" s="981">
        <v>2</v>
      </c>
      <c r="P19" s="981">
        <v>2</v>
      </c>
      <c r="Q19" s="981">
        <v>2</v>
      </c>
      <c r="R19" s="981">
        <v>2</v>
      </c>
      <c r="S19" s="981"/>
      <c r="T19" s="988" t="s">
        <v>2380</v>
      </c>
      <c r="U19" s="870" t="s">
        <v>2381</v>
      </c>
      <c r="V19" s="870" t="s">
        <v>2382</v>
      </c>
      <c r="W19" s="870" t="s">
        <v>2383</v>
      </c>
      <c r="X19" s="867"/>
      <c r="Y19" s="1024"/>
      <c r="Z19" s="870" t="s">
        <v>2384</v>
      </c>
      <c r="AA19" s="873" t="s">
        <v>2384</v>
      </c>
      <c r="AB19" s="873" t="s">
        <v>2384</v>
      </c>
      <c r="AC19" s="873" t="s">
        <v>2384</v>
      </c>
      <c r="AD19" s="870"/>
    </row>
    <row customHeight="1" ht="27">
      <c r="A20" s="869"/>
      <c r="B20" s="923">
        <v>3</v>
      </c>
      <c r="C20" s="867">
        <v>1</v>
      </c>
      <c r="D20" s="991"/>
      <c r="E20" s="867"/>
      <c r="F20" s="867"/>
      <c r="G20" s="867"/>
      <c r="H20" s="1026"/>
      <c r="I20" s="1029" t="str">
        <f>INDEX(TEMPLATE_NUMBER_POINT_FHD,B20,MATCH(TEMPLATE_SPHERE,TEMPLATE_SPHERE_LIST_FOR_NOTE,0))</f>
        <v>2.1</v>
      </c>
      <c r="J20" s="1029" t="str">
        <f>INDEX(TEMPLATE_DATA_POINT_FHD,B20,MATCH(TEMPLATE_SPHERE,TEMPLATE_SPHERE_LIST_FOR_NOTE,0))</f>
        <v>Расходы на приобретаемую тепловую энергию (мощность), теплоноситель</v>
      </c>
      <c r="K20" s="1029">
        <f>INDEX(TEMPLATE_NOTE_POINT_FHD,B20,MATCH(TEMPLATE_SPHERE,TEMPLATE_SPHERE_LIST_FOR_NOTE,0))</f>
        <v>0</v>
      </c>
      <c r="L20" s="868" t="str">
        <f>IF(I20=0,"",I20)</f>
        <v>2.1</v>
      </c>
      <c r="M20" s="868" t="str">
        <f>IF(J20=0,"",J20)</f>
        <v>Расходы на приобретаемую тепловую энергию (мощность), теплоноситель</v>
      </c>
      <c r="N20" s="868" t="str">
        <f>IF(K20=0,"",K20)</f>
        <v/>
      </c>
      <c r="O20" s="981" t="s">
        <v>806</v>
      </c>
      <c r="P20" s="981" t="s">
        <v>806</v>
      </c>
      <c r="Q20" s="981" t="s">
        <v>806</v>
      </c>
      <c r="R20" s="981" t="s">
        <v>806</v>
      </c>
      <c r="S20" s="981"/>
      <c r="T20" s="988" t="s">
        <v>2385</v>
      </c>
      <c r="U20" s="870" t="s">
        <v>2386</v>
      </c>
      <c r="V20" s="870" t="s">
        <v>2387</v>
      </c>
      <c r="W20" s="870" t="s">
        <v>2388</v>
      </c>
      <c r="X20" s="867"/>
      <c r="Y20" s="1024"/>
      <c r="Z20" s="870"/>
      <c r="AA20" s="873"/>
      <c r="AB20" s="870"/>
      <c r="AC20" s="870"/>
      <c r="AD20" s="870"/>
    </row>
    <row customHeight="1" ht="36">
      <c r="A21" s="869"/>
      <c r="B21" s="923">
        <v>4</v>
      </c>
      <c r="C21" s="867">
        <v>2</v>
      </c>
      <c r="D21" s="991"/>
      <c r="E21" s="867"/>
      <c r="F21" s="867"/>
      <c r="G21" s="867"/>
      <c r="H21" s="1026"/>
      <c r="I21" s="1029" t="str">
        <f>INDEX(TEMPLATE_NUMBER_POINT_FHD,B21,MATCH(TEMPLATE_SPHERE,TEMPLATE_SPHERE_LIST_FOR_NOTE,0))</f>
        <v>2.2</v>
      </c>
      <c r="J21" s="102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29" t="str">
        <f>INDEX(TEMPLATE_NOTE_POINT_FHD,B21,MATCH(TEMPLATE_SPHERE,TEMPLATE_SPHERE_LIST_FOR_NOTE,0))</f>
        <v>Указываются суммарные расходы на приобретение топлива всех видов.</v>
      </c>
      <c r="L21" s="868" t="str">
        <f>IF(I21=0,"",I21)</f>
        <v>2.2</v>
      </c>
      <c r="M21" s="86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68" t="str">
        <f>IF(K21=0,"",K21)</f>
        <v>Указываются суммарные расходы на приобретение топлива всех видов.</v>
      </c>
      <c r="O21" s="981" t="s">
        <v>391</v>
      </c>
      <c r="P21" s="981"/>
      <c r="Q21" s="981"/>
      <c r="R21" s="981"/>
      <c r="S21" s="981"/>
      <c r="T21" s="988" t="s">
        <v>2389</v>
      </c>
      <c r="U21" s="870"/>
      <c r="V21" s="870"/>
      <c r="W21" s="870"/>
      <c r="X21" s="867"/>
      <c r="Y21" s="1024"/>
      <c r="Z21" s="870" t="s">
        <v>2390</v>
      </c>
      <c r="AA21" s="873"/>
      <c r="AB21" s="870"/>
      <c r="AC21" s="870"/>
      <c r="AD21" s="870"/>
    </row>
    <row customHeight="1" ht="36">
      <c r="A22" s="869"/>
      <c r="B22" s="923">
        <v>5</v>
      </c>
      <c r="C22" s="867">
        <v>3</v>
      </c>
      <c r="D22" s="991"/>
      <c r="E22" s="867"/>
      <c r="F22" s="867"/>
      <c r="G22" s="915"/>
      <c r="H22" s="982"/>
      <c r="I22" s="1029">
        <f>INDEX(TEMPLATE_NUMBER_POINT_FHD,B22,MATCH(TEMPLATE_SPHERE,TEMPLATE_SPHERE_LIST_FOR_NOTE,0))</f>
        <v>0</v>
      </c>
      <c r="J22" s="1029">
        <f>INDEX(TEMPLATE_DATA_POINT_FHD,B22,MATCH(TEMPLATE_SPHERE,TEMPLATE_SPHERE_LIST_FOR_NOTE,0))</f>
        <v>0</v>
      </c>
      <c r="K22" s="1029">
        <f>INDEX(TEMPLATE_NOTE_POINT_FHD,B22,MATCH(TEMPLATE_SPHERE,TEMPLATE_SPHERE_LIST_FOR_NOTE,0))</f>
        <v>0</v>
      </c>
      <c r="L22" s="868" t="str">
        <f>IF(I22=0,"",I22)</f>
        <v/>
      </c>
      <c r="M22" s="868" t="str">
        <f>IF(J22=0,"",J22)</f>
        <v/>
      </c>
      <c r="N22" s="868" t="str">
        <f>IF(K22=0,"",K22)</f>
        <v/>
      </c>
      <c r="O22" s="981"/>
      <c r="P22" s="981"/>
      <c r="Q22" s="981" t="s">
        <v>391</v>
      </c>
      <c r="R22" s="981"/>
      <c r="S22" s="981"/>
      <c r="T22" s="988"/>
      <c r="U22" s="870"/>
      <c r="V22" s="870" t="s">
        <v>2391</v>
      </c>
      <c r="W22" s="870"/>
      <c r="X22" s="867"/>
      <c r="Y22" s="1024"/>
      <c r="Z22" s="870"/>
      <c r="AA22" s="873"/>
      <c r="AB22" s="870"/>
      <c r="AC22" s="870"/>
      <c r="AD22" s="870"/>
    </row>
    <row customHeight="1" ht="27">
      <c r="A23" s="869"/>
      <c r="B23" s="923">
        <v>6</v>
      </c>
      <c r="C23" s="867">
        <v>4</v>
      </c>
      <c r="D23" s="991"/>
      <c r="E23" s="867"/>
      <c r="F23" s="867"/>
      <c r="G23" s="915"/>
      <c r="H23" s="982"/>
      <c r="I23" s="1029">
        <f>INDEX(TEMPLATE_NUMBER_POINT_FHD,B23,MATCH(TEMPLATE_SPHERE,TEMPLATE_SPHERE_LIST_FOR_NOTE,0))</f>
        <v>0</v>
      </c>
      <c r="J23" s="1029">
        <f>INDEX(TEMPLATE_DATA_POINT_FHD,B23,MATCH(TEMPLATE_SPHERE,TEMPLATE_SPHERE_LIST_FOR_NOTE,0))</f>
        <v>0</v>
      </c>
      <c r="K23" s="1029">
        <f>INDEX(TEMPLATE_NOTE_POINT_FHD,B23,MATCH(TEMPLATE_SPHERE,TEMPLATE_SPHERE_LIST_FOR_NOTE,0))</f>
        <v>0</v>
      </c>
      <c r="L23" s="868" t="str">
        <f>IF(I23=0,"",I23)</f>
        <v/>
      </c>
      <c r="M23" s="868" t="str">
        <f>IF(J23=0,"",J23)</f>
        <v/>
      </c>
      <c r="N23" s="868" t="str">
        <f>IF(K23=0,"",K23)</f>
        <v/>
      </c>
      <c r="O23" s="981"/>
      <c r="P23" s="981"/>
      <c r="Q23" s="981" t="s">
        <v>394</v>
      </c>
      <c r="R23" s="981"/>
      <c r="S23" s="981"/>
      <c r="T23" s="988"/>
      <c r="U23" s="870"/>
      <c r="V23" s="870" t="s">
        <v>2392</v>
      </c>
      <c r="W23" s="870"/>
      <c r="X23" s="867"/>
      <c r="Y23" s="1024"/>
      <c r="Z23" s="870"/>
      <c r="AA23" s="873"/>
      <c r="AB23" s="870"/>
      <c r="AC23" s="870"/>
      <c r="AD23" s="870"/>
    </row>
    <row customHeight="1" ht="36">
      <c r="A24" s="869"/>
      <c r="B24" s="923">
        <v>7</v>
      </c>
      <c r="C24" s="867">
        <v>5</v>
      </c>
      <c r="D24" s="991"/>
      <c r="E24" s="867"/>
      <c r="F24" s="867"/>
      <c r="G24" s="915"/>
      <c r="H24" s="982"/>
      <c r="I24" s="1029">
        <f>INDEX(TEMPLATE_NUMBER_POINT_FHD,B24,MATCH(TEMPLATE_SPHERE,TEMPLATE_SPHERE_LIST_FOR_NOTE,0))</f>
        <v>0</v>
      </c>
      <c r="J24" s="1029">
        <f>INDEX(TEMPLATE_DATA_POINT_FHD,B24,MATCH(TEMPLATE_SPHERE,TEMPLATE_SPHERE_LIST_FOR_NOTE,0))</f>
        <v>0</v>
      </c>
      <c r="K24" s="1029">
        <f>INDEX(TEMPLATE_NOTE_POINT_FHD,B24,MATCH(TEMPLATE_SPHERE,TEMPLATE_SPHERE_LIST_FOR_NOTE,0))</f>
        <v>0</v>
      </c>
      <c r="L24" s="868" t="str">
        <f>IF(I24=0,"",I24)</f>
        <v/>
      </c>
      <c r="M24" s="868" t="str">
        <f>IF(J24=0,"",J24)</f>
        <v/>
      </c>
      <c r="N24" s="868" t="str">
        <f>IF(K24=0,"",K24)</f>
        <v/>
      </c>
      <c r="O24" s="981"/>
      <c r="P24" s="981"/>
      <c r="Q24" s="981" t="s">
        <v>826</v>
      </c>
      <c r="R24" s="981"/>
      <c r="S24" s="981"/>
      <c r="T24" s="988"/>
      <c r="U24" s="870"/>
      <c r="V24" s="870" t="s">
        <v>2393</v>
      </c>
      <c r="W24" s="870"/>
      <c r="X24" s="867"/>
      <c r="Y24" s="1024"/>
      <c r="Z24" s="870"/>
      <c r="AA24" s="873"/>
      <c r="AB24" s="870"/>
      <c r="AC24" s="870"/>
      <c r="AD24" s="870"/>
    </row>
    <row customHeight="1" ht="36">
      <c r="A25" s="869"/>
      <c r="B25" s="923">
        <v>8</v>
      </c>
      <c r="C25" s="867">
        <v>6</v>
      </c>
      <c r="D25" s="991"/>
      <c r="E25" s="867"/>
      <c r="F25" s="867"/>
      <c r="G25" s="915"/>
      <c r="H25" s="982"/>
      <c r="I25" s="1029" t="str">
        <f>INDEX(TEMPLATE_NUMBER_POINT_FHD,B25,MATCH(TEMPLATE_SPHERE,TEMPLATE_SPHERE_LIST_FOR_NOTE,0))</f>
        <v>2.3</v>
      </c>
      <c r="J25" s="102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29">
        <f>INDEX(TEMPLATE_NOTE_POINT_FHD,B25,MATCH(TEMPLATE_SPHERE,TEMPLATE_SPHERE_LIST_FOR_NOTE,0))</f>
        <v>0</v>
      </c>
      <c r="L25" s="868" t="str">
        <f>IF(I25=0,"",I25)</f>
        <v>2.3</v>
      </c>
      <c r="M25" s="868" t="str">
        <f>IF(J25=0,"",J25)</f>
        <v>Расходы на приобретаемую электрическую энергию (мощность), используемую в технологическом процессе</v>
      </c>
      <c r="N25" s="868" t="str">
        <f>IF(K25=0,"",K25)</f>
        <v/>
      </c>
      <c r="O25" s="981" t="s">
        <v>394</v>
      </c>
      <c r="P25" s="981" t="s">
        <v>391</v>
      </c>
      <c r="Q25" s="981" t="s">
        <v>833</v>
      </c>
      <c r="R25" s="981" t="s">
        <v>391</v>
      </c>
      <c r="S25" s="981"/>
      <c r="T25" s="988" t="s">
        <v>2394</v>
      </c>
      <c r="U25" s="870" t="s">
        <v>2394</v>
      </c>
      <c r="V25" s="870" t="s">
        <v>2394</v>
      </c>
      <c r="W25" s="870" t="s">
        <v>2394</v>
      </c>
      <c r="X25" s="867"/>
      <c r="Y25" s="1024"/>
      <c r="Z25" s="870"/>
      <c r="AA25" s="873"/>
      <c r="AB25" s="870"/>
      <c r="AC25" s="870"/>
      <c r="AD25" s="870"/>
    </row>
    <row customHeight="1" ht="18">
      <c r="A26" s="869"/>
      <c r="B26" s="923">
        <v>9</v>
      </c>
      <c r="C26" s="867" t="s">
        <v>750</v>
      </c>
      <c r="D26" s="991"/>
      <c r="E26" s="867"/>
      <c r="F26" s="867"/>
      <c r="G26" s="915"/>
      <c r="H26" s="982"/>
      <c r="I26" s="1029" t="str">
        <f>INDEX(TEMPLATE_NUMBER_POINT_FHD,B26,MATCH(TEMPLATE_SPHERE,TEMPLATE_SPHERE_LIST_FOR_NOTE,0))</f>
        <v>2.3.1</v>
      </c>
      <c r="J26" s="1029" t="str">
        <f>INDEX(TEMPLATE_DATA_POINT_FHD,B26,MATCH(TEMPLATE_SPHERE,TEMPLATE_SPHERE_LIST_FOR_NOTE,0))</f>
        <v>Средневзвешенная стоимость 1 кВт.ч (с учетом мощности)</v>
      </c>
      <c r="K26" s="1029">
        <f>INDEX(TEMPLATE_NOTE_POINT_FHD,B26,MATCH(TEMPLATE_SPHERE,TEMPLATE_SPHERE_LIST_FOR_NOTE,0))</f>
        <v>0</v>
      </c>
      <c r="L26" s="868" t="str">
        <f>IF(I26=0,"",I26)</f>
        <v>2.3.1</v>
      </c>
      <c r="M26" s="868" t="str">
        <f>IF(J26=0,"",J26)</f>
        <v>Средневзвешенная стоимость 1 кВт.ч (с учетом мощности)</v>
      </c>
      <c r="N26" s="868" t="str">
        <f>IF(K26=0,"",K26)</f>
        <v/>
      </c>
      <c r="O26" s="981" t="s">
        <v>822</v>
      </c>
      <c r="P26" s="981" t="s">
        <v>816</v>
      </c>
      <c r="Q26" s="981" t="s">
        <v>2395</v>
      </c>
      <c r="R26" s="981" t="s">
        <v>816</v>
      </c>
      <c r="S26" s="981"/>
      <c r="T26" s="98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88" t="s">
        <v>2396</v>
      </c>
      <c r="V26" s="988" t="s">
        <v>2396</v>
      </c>
      <c r="W26" s="988" t="s">
        <v>2396</v>
      </c>
      <c r="X26" s="867"/>
      <c r="Y26" s="1024"/>
      <c r="Z26" s="870"/>
      <c r="AA26" s="873"/>
      <c r="AB26" s="870"/>
      <c r="AC26" s="870"/>
      <c r="AD26" s="870"/>
    </row>
    <row customHeight="1" ht="18">
      <c r="A27" s="869"/>
      <c r="B27" s="923">
        <v>10</v>
      </c>
      <c r="C27" s="867" t="s">
        <v>754</v>
      </c>
      <c r="D27" s="991"/>
      <c r="E27" s="867"/>
      <c r="F27" s="867"/>
      <c r="G27" s="915"/>
      <c r="H27" s="982"/>
      <c r="I27" s="1029" t="str">
        <f>INDEX(TEMPLATE_NUMBER_POINT_FHD,B27,MATCH(TEMPLATE_SPHERE,TEMPLATE_SPHERE_LIST_FOR_NOTE,0))</f>
        <v>2.3.2</v>
      </c>
      <c r="J27" s="1029" t="str">
        <f>INDEX(TEMPLATE_DATA_POINT_FHD,B27,MATCH(TEMPLATE_SPHERE,TEMPLATE_SPHERE_LIST_FOR_NOTE,0))</f>
        <v>Объём приобретения электрической энергии</v>
      </c>
      <c r="K27" s="1029">
        <f>INDEX(TEMPLATE_NOTE_POINT_FHD,B27,MATCH(TEMPLATE_SPHERE,TEMPLATE_SPHERE_LIST_FOR_NOTE,0))</f>
        <v>0</v>
      </c>
      <c r="L27" s="868" t="str">
        <f>IF(I27=0,"",I27)</f>
        <v>2.3.2</v>
      </c>
      <c r="M27" s="868" t="str">
        <f>IF(J27=0,"",J27)</f>
        <v>Объём приобретения электрической энергии</v>
      </c>
      <c r="N27" s="868" t="str">
        <f>IF(K27=0,"",K27)</f>
        <v/>
      </c>
      <c r="O27" s="981" t="s">
        <v>824</v>
      </c>
      <c r="P27" s="981" t="s">
        <v>818</v>
      </c>
      <c r="Q27" s="981" t="s">
        <v>2397</v>
      </c>
      <c r="R27" s="981" t="s">
        <v>818</v>
      </c>
      <c r="S27" s="981"/>
      <c r="T27" s="988" t="s">
        <v>2398</v>
      </c>
      <c r="U27" s="988" t="s">
        <v>2398</v>
      </c>
      <c r="V27" s="988" t="s">
        <v>2398</v>
      </c>
      <c r="W27" s="988" t="s">
        <v>2398</v>
      </c>
      <c r="X27" s="867"/>
      <c r="Y27" s="1024"/>
      <c r="Z27" s="870"/>
      <c r="AA27" s="873"/>
      <c r="AB27" s="870"/>
      <c r="AC27" s="870"/>
      <c r="AD27" s="870"/>
    </row>
    <row customHeight="1" ht="27">
      <c r="A28" s="869"/>
      <c r="B28" s="923">
        <v>11</v>
      </c>
      <c r="C28" s="867">
        <v>7</v>
      </c>
      <c r="D28" s="991"/>
      <c r="E28" s="867"/>
      <c r="F28" s="867"/>
      <c r="G28" s="915"/>
      <c r="H28" s="982"/>
      <c r="I28" s="1029" t="str">
        <f>INDEX(TEMPLATE_NUMBER_POINT_FHD,B28,MATCH(TEMPLATE_SPHERE,TEMPLATE_SPHERE_LIST_FOR_NOTE,0))</f>
        <v>2.4</v>
      </c>
      <c r="J28" s="1029" t="str">
        <f>INDEX(TEMPLATE_DATA_POINT_FHD,B28,MATCH(TEMPLATE_SPHERE,TEMPLATE_SPHERE_LIST_FOR_NOTE,0))</f>
        <v>Расходы на приобретение холодной воды, используемой в технологическом процессе</v>
      </c>
      <c r="K28" s="1029">
        <f>INDEX(TEMPLATE_NOTE_POINT_FHD,B28,MATCH(TEMPLATE_SPHERE,TEMPLATE_SPHERE_LIST_FOR_NOTE,0))</f>
        <v>0</v>
      </c>
      <c r="L28" s="868" t="str">
        <f>IF(I28=0,"",I28)</f>
        <v>2.4</v>
      </c>
      <c r="M28" s="868" t="str">
        <f>IF(J28=0,"",J28)</f>
        <v>Расходы на приобретение холодной воды, используемой в технологическом процессе</v>
      </c>
      <c r="N28" s="868" t="str">
        <f>IF(K28=0,"",K28)</f>
        <v/>
      </c>
      <c r="O28" s="981" t="s">
        <v>826</v>
      </c>
      <c r="P28" s="981"/>
      <c r="Q28" s="981"/>
      <c r="R28" s="981"/>
      <c r="S28" s="981"/>
      <c r="T28" s="988" t="s">
        <v>2399</v>
      </c>
      <c r="U28" s="870"/>
      <c r="V28" s="870"/>
      <c r="W28" s="870"/>
      <c r="X28" s="867"/>
      <c r="Y28" s="1024"/>
      <c r="Z28" s="870"/>
      <c r="AA28" s="873"/>
      <c r="AB28" s="870"/>
      <c r="AC28" s="870"/>
      <c r="AD28" s="870"/>
    </row>
    <row customHeight="1" ht="27">
      <c r="A29" s="869"/>
      <c r="B29" s="923">
        <v>12</v>
      </c>
      <c r="C29" s="867">
        <v>8</v>
      </c>
      <c r="D29" s="991"/>
      <c r="E29" s="867"/>
      <c r="F29" s="867"/>
      <c r="G29" s="915"/>
      <c r="H29" s="982"/>
      <c r="I29" s="1029" t="str">
        <f>INDEX(TEMPLATE_NUMBER_POINT_FHD,B29,MATCH(TEMPLATE_SPHERE,TEMPLATE_SPHERE_LIST_FOR_NOTE,0))</f>
        <v>2.5</v>
      </c>
      <c r="J29" s="1029" t="str">
        <f>INDEX(TEMPLATE_DATA_POINT_FHD,B29,MATCH(TEMPLATE_SPHERE,TEMPLATE_SPHERE_LIST_FOR_NOTE,0))</f>
        <v>Расходы на  химические реагенты, используемые в технологическом процессе</v>
      </c>
      <c r="K29" s="1029">
        <f>INDEX(TEMPLATE_NOTE_POINT_FHD,B29,MATCH(TEMPLATE_SPHERE,TEMPLATE_SPHERE_LIST_FOR_NOTE,0))</f>
        <v>0</v>
      </c>
      <c r="L29" s="868" t="str">
        <f>IF(I29=0,"",I29)</f>
        <v>2.5</v>
      </c>
      <c r="M29" s="868" t="str">
        <f>IF(J29=0,"",J29)</f>
        <v>Расходы на  химические реагенты, используемые в технологическом процессе</v>
      </c>
      <c r="N29" s="868" t="str">
        <f>IF(K29=0,"",K29)</f>
        <v/>
      </c>
      <c r="O29" s="981" t="s">
        <v>833</v>
      </c>
      <c r="P29" s="981" t="s">
        <v>394</v>
      </c>
      <c r="Q29" s="981"/>
      <c r="R29" s="981" t="s">
        <v>394</v>
      </c>
      <c r="S29" s="981"/>
      <c r="T29" s="98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70" t="s">
        <v>2400</v>
      </c>
      <c r="V29" s="870"/>
      <c r="W29" s="870" t="s">
        <v>2400</v>
      </c>
      <c r="X29" s="867"/>
      <c r="Y29" s="1024"/>
      <c r="Z29" s="870"/>
      <c r="AA29" s="873"/>
      <c r="AB29" s="870"/>
      <c r="AC29" s="870"/>
      <c r="AD29" s="870"/>
    </row>
    <row customHeight="1" ht="54">
      <c r="A30" s="869"/>
      <c r="B30" s="923">
        <v>13</v>
      </c>
      <c r="C30" s="867">
        <v>9</v>
      </c>
      <c r="D30" s="991"/>
      <c r="E30" s="867"/>
      <c r="F30" s="867"/>
      <c r="G30" s="915"/>
      <c r="H30" s="982"/>
      <c r="I30" s="1029" t="str">
        <f>INDEX(TEMPLATE_NUMBER_POINT_FHD,B30,MATCH(TEMPLATE_SPHERE,TEMPLATE_SPHERE_LIST_FOR_NOTE,0))</f>
        <v>2.6</v>
      </c>
      <c r="J30" s="102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29">
        <f>INDEX(TEMPLATE_NOTE_POINT_FHD,B30,MATCH(TEMPLATE_SPHERE,TEMPLATE_SPHERE_LIST_FOR_NOTE,0))</f>
        <v>0</v>
      </c>
      <c r="L30" s="868" t="str">
        <f>IF(I30=0,"",I30)</f>
        <v>2.6</v>
      </c>
      <c r="M30" s="86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68" t="str">
        <f>IF(K30=0,"",K30)</f>
        <v/>
      </c>
      <c r="O30" s="981" t="s">
        <v>835</v>
      </c>
      <c r="P30" s="981" t="s">
        <v>826</v>
      </c>
      <c r="Q30" s="981" t="s">
        <v>835</v>
      </c>
      <c r="R30" s="981" t="s">
        <v>826</v>
      </c>
      <c r="S30" s="981"/>
      <c r="T30" s="988" t="s">
        <v>2401</v>
      </c>
      <c r="U30" s="870" t="s">
        <v>2401</v>
      </c>
      <c r="V30" s="870" t="s">
        <v>2401</v>
      </c>
      <c r="W30" s="870" t="s">
        <v>2401</v>
      </c>
      <c r="X30" s="867"/>
      <c r="Y30" s="1024"/>
      <c r="Z30" s="870"/>
      <c r="AA30" s="873" t="s">
        <v>2402</v>
      </c>
      <c r="AB30" s="873" t="s">
        <v>2402</v>
      </c>
      <c r="AC30" s="873" t="s">
        <v>2402</v>
      </c>
      <c r="AD30" s="870"/>
    </row>
    <row customHeight="1" ht="18">
      <c r="A31" s="869"/>
      <c r="B31" s="923">
        <v>14</v>
      </c>
      <c r="C31" s="867" t="s">
        <v>2403</v>
      </c>
      <c r="D31" s="991"/>
      <c r="E31" s="867"/>
      <c r="F31" s="867"/>
      <c r="G31" s="915"/>
      <c r="H31" s="982"/>
      <c r="I31" s="1029" t="str">
        <f>INDEX(TEMPLATE_NUMBER_POINT_FHD,B31,MATCH(TEMPLATE_SPHERE,TEMPLATE_SPHERE_LIST_FOR_NOTE,0))</f>
        <v>2.6.1</v>
      </c>
      <c r="J31" s="1029" t="str">
        <f>INDEX(TEMPLATE_DATA_POINT_FHD,B31,MATCH(TEMPLATE_SPHERE,TEMPLATE_SPHERE_LIST_FOR_NOTE,0))</f>
        <v>Расходы на оплату труда основного производственного персонала</v>
      </c>
      <c r="K31" s="1029">
        <f>INDEX(TEMPLATE_NOTE_POINT_FHD,B31,MATCH(TEMPLATE_SPHERE,TEMPLATE_SPHERE_LIST_FOR_NOTE,0))</f>
        <v>0</v>
      </c>
      <c r="L31" s="868" t="str">
        <f>IF(I31=0,"",I31)</f>
        <v>2.6.1</v>
      </c>
      <c r="M31" s="868" t="str">
        <f>IF(J31=0,"",J31)</f>
        <v>Расходы на оплату труда основного производственного персонала</v>
      </c>
      <c r="N31" s="868" t="str">
        <f>IF(K31=0,"",K31)</f>
        <v/>
      </c>
      <c r="O31" s="981" t="s">
        <v>2404</v>
      </c>
      <c r="P31" s="981" t="s">
        <v>829</v>
      </c>
      <c r="Q31" s="981" t="s">
        <v>2404</v>
      </c>
      <c r="R31" s="981" t="s">
        <v>829</v>
      </c>
      <c r="S31" s="981"/>
      <c r="T31" s="989" t="s">
        <v>2405</v>
      </c>
      <c r="U31" s="870" t="s">
        <v>2405</v>
      </c>
      <c r="V31" s="870" t="s">
        <v>2405</v>
      </c>
      <c r="W31" s="870" t="s">
        <v>2405</v>
      </c>
      <c r="X31" s="867"/>
      <c r="Y31" s="1024"/>
      <c r="Z31" s="870"/>
      <c r="AA31" s="873"/>
      <c r="AB31" s="873"/>
      <c r="AC31" s="873"/>
      <c r="AD31" s="870"/>
    </row>
    <row customHeight="1" ht="36">
      <c r="A32" s="869"/>
      <c r="B32" s="923">
        <v>15</v>
      </c>
      <c r="C32" s="867" t="s">
        <v>2406</v>
      </c>
      <c r="D32" s="991"/>
      <c r="E32" s="867"/>
      <c r="F32" s="867"/>
      <c r="G32" s="915"/>
      <c r="H32" s="982"/>
      <c r="I32" s="1029" t="str">
        <f>INDEX(TEMPLATE_NUMBER_POINT_FHD,B32,MATCH(TEMPLATE_SPHERE,TEMPLATE_SPHERE_LIST_FOR_NOTE,0))</f>
        <v>2.6.2</v>
      </c>
      <c r="J32" s="102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29">
        <f>INDEX(TEMPLATE_NOTE_POINT_FHD,B32,MATCH(TEMPLATE_SPHERE,TEMPLATE_SPHERE_LIST_FOR_NOTE,0))</f>
        <v>0</v>
      </c>
      <c r="L32" s="868" t="str">
        <f>IF(I32=0,"",I32)</f>
        <v>2.6.2</v>
      </c>
      <c r="M32" s="868" t="str">
        <f>IF(J32=0,"",J32)</f>
        <v>Страховые взносы на обязательное социальное страхование, выплачиваемые из фонда оплаты труда основного производственного персонала</v>
      </c>
      <c r="N32" s="868" t="str">
        <f>IF(K32=0,"",K32)</f>
        <v/>
      </c>
      <c r="O32" s="981" t="s">
        <v>2407</v>
      </c>
      <c r="P32" s="981" t="s">
        <v>831</v>
      </c>
      <c r="Q32" s="981" t="s">
        <v>2407</v>
      </c>
      <c r="R32" s="981" t="s">
        <v>831</v>
      </c>
      <c r="S32" s="981"/>
      <c r="T32" s="99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70" t="s">
        <v>2408</v>
      </c>
      <c r="V32" s="870" t="s">
        <v>2408</v>
      </c>
      <c r="W32" s="870" t="s">
        <v>2408</v>
      </c>
      <c r="X32" s="867"/>
      <c r="Y32" s="1024"/>
      <c r="Z32" s="870"/>
      <c r="AA32" s="873"/>
      <c r="AB32" s="873"/>
      <c r="AC32" s="873"/>
      <c r="AD32" s="870"/>
    </row>
    <row customHeight="1" ht="45">
      <c r="A33" s="869"/>
      <c r="B33" s="923">
        <v>16</v>
      </c>
      <c r="C33" s="867">
        <v>10</v>
      </c>
      <c r="D33" s="991"/>
      <c r="E33" s="867"/>
      <c r="F33" s="867"/>
      <c r="G33" s="915"/>
      <c r="H33" s="982"/>
      <c r="I33" s="1029" t="str">
        <f>INDEX(TEMPLATE_NUMBER_POINT_FHD,B33,MATCH(TEMPLATE_SPHERE,TEMPLATE_SPHERE_LIST_FOR_NOTE,0))</f>
        <v>2.7</v>
      </c>
      <c r="J33" s="102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29">
        <f>INDEX(TEMPLATE_NOTE_POINT_FHD,B33,MATCH(TEMPLATE_SPHERE,TEMPLATE_SPHERE_LIST_FOR_NOTE,0))</f>
        <v>0</v>
      </c>
      <c r="L33" s="868" t="str">
        <f>IF(I33=0,"",I33)</f>
        <v>2.7</v>
      </c>
      <c r="M33" s="86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68" t="str">
        <f>IF(K33=0,"",K33)</f>
        <v/>
      </c>
      <c r="O33" s="981" t="s">
        <v>837</v>
      </c>
      <c r="P33" s="981" t="s">
        <v>833</v>
      </c>
      <c r="Q33" s="981" t="s">
        <v>837</v>
      </c>
      <c r="R33" s="981" t="s">
        <v>833</v>
      </c>
      <c r="S33" s="981"/>
      <c r="T33" s="98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70" t="s">
        <v>2409</v>
      </c>
      <c r="V33" s="870" t="s">
        <v>2409</v>
      </c>
      <c r="W33" s="870" t="s">
        <v>2410</v>
      </c>
      <c r="X33" s="867"/>
      <c r="Y33" s="1024"/>
      <c r="Z33" s="870"/>
      <c r="AA33" s="873" t="s">
        <v>2411</v>
      </c>
      <c r="AB33" s="873" t="s">
        <v>2411</v>
      </c>
      <c r="AC33" s="873" t="s">
        <v>2411</v>
      </c>
      <c r="AD33" s="870"/>
    </row>
    <row customHeight="1" ht="27">
      <c r="A34" s="869"/>
      <c r="B34" s="923">
        <v>17</v>
      </c>
      <c r="C34" s="867" t="s">
        <v>2412</v>
      </c>
      <c r="D34" s="991"/>
      <c r="E34" s="867"/>
      <c r="F34" s="867"/>
      <c r="G34" s="915"/>
      <c r="H34" s="982"/>
      <c r="I34" s="1029" t="str">
        <f>INDEX(TEMPLATE_NUMBER_POINT_FHD,B34,MATCH(TEMPLATE_SPHERE,TEMPLATE_SPHERE_LIST_FOR_NOTE,0))</f>
        <v>2.7.1</v>
      </c>
      <c r="J34" s="1029" t="str">
        <f>INDEX(TEMPLATE_DATA_POINT_FHD,B34,MATCH(TEMPLATE_SPHERE,TEMPLATE_SPHERE_LIST_FOR_NOTE,0))</f>
        <v>Расходы на оплату труда административно-управленческого персонала</v>
      </c>
      <c r="K34" s="1029">
        <f>INDEX(TEMPLATE_NOTE_POINT_FHD,B34,MATCH(TEMPLATE_SPHERE,TEMPLATE_SPHERE_LIST_FOR_NOTE,0))</f>
        <v>0</v>
      </c>
      <c r="L34" s="868" t="str">
        <f>IF(I34=0,"",I34)</f>
        <v>2.7.1</v>
      </c>
      <c r="M34" s="868" t="str">
        <f>IF(J34=0,"",J34)</f>
        <v>Расходы на оплату труда административно-управленческого персонала</v>
      </c>
      <c r="N34" s="868" t="str">
        <f>IF(K34=0,"",K34)</f>
        <v/>
      </c>
      <c r="O34" s="981" t="s">
        <v>2413</v>
      </c>
      <c r="P34" s="981" t="s">
        <v>2395</v>
      </c>
      <c r="Q34" s="981" t="s">
        <v>2413</v>
      </c>
      <c r="R34" s="981" t="s">
        <v>2395</v>
      </c>
      <c r="S34" s="981"/>
      <c r="T34" s="990" t="s">
        <v>2414</v>
      </c>
      <c r="U34" s="870" t="s">
        <v>2414</v>
      </c>
      <c r="V34" s="870" t="s">
        <v>2414</v>
      </c>
      <c r="W34" s="870" t="s">
        <v>2415</v>
      </c>
      <c r="X34" s="867"/>
      <c r="Y34" s="1024"/>
      <c r="Z34" s="870"/>
      <c r="AA34" s="873"/>
      <c r="AB34" s="870"/>
      <c r="AC34" s="870"/>
      <c r="AD34" s="870"/>
    </row>
    <row customHeight="1" ht="45">
      <c r="A35" s="869"/>
      <c r="B35" s="923">
        <v>18</v>
      </c>
      <c r="C35" s="867" t="s">
        <v>2416</v>
      </c>
      <c r="D35" s="991"/>
      <c r="E35" s="867"/>
      <c r="F35" s="867"/>
      <c r="G35" s="915"/>
      <c r="H35" s="982"/>
      <c r="I35" s="1029" t="str">
        <f>INDEX(TEMPLATE_NUMBER_POINT_FHD,B35,MATCH(TEMPLATE_SPHERE,TEMPLATE_SPHERE_LIST_FOR_NOTE,0))</f>
        <v>2.7.2</v>
      </c>
      <c r="J35" s="102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29">
        <f>INDEX(TEMPLATE_NOTE_POINT_FHD,B35,MATCH(TEMPLATE_SPHERE,TEMPLATE_SPHERE_LIST_FOR_NOTE,0))</f>
        <v>0</v>
      </c>
      <c r="L35" s="868" t="str">
        <f>IF(I35=0,"",I35)</f>
        <v>2.7.2</v>
      </c>
      <c r="M35" s="86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68" t="str">
        <f>IF(K35=0,"",K35)</f>
        <v/>
      </c>
      <c r="O35" s="981" t="s">
        <v>2417</v>
      </c>
      <c r="P35" s="981" t="s">
        <v>2397</v>
      </c>
      <c r="Q35" s="981" t="s">
        <v>2417</v>
      </c>
      <c r="R35" s="981" t="s">
        <v>2397</v>
      </c>
      <c r="S35" s="981"/>
      <c r="T35" s="98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70" t="s">
        <v>2418</v>
      </c>
      <c r="V35" s="870" t="s">
        <v>2418</v>
      </c>
      <c r="W35" s="870" t="s">
        <v>2418</v>
      </c>
      <c r="X35" s="867"/>
      <c r="Y35" s="1024"/>
      <c r="Z35" s="870"/>
      <c r="AA35" s="873"/>
      <c r="AB35" s="870"/>
      <c r="AC35" s="870"/>
      <c r="AD35" s="870"/>
    </row>
    <row customHeight="1" ht="18">
      <c r="A36" s="869"/>
      <c r="B36" s="923">
        <v>19</v>
      </c>
      <c r="C36" s="867">
        <v>11</v>
      </c>
      <c r="D36" s="991"/>
      <c r="E36" s="867"/>
      <c r="F36" s="867"/>
      <c r="G36" s="915"/>
      <c r="H36" s="982"/>
      <c r="I36" s="1029" t="str">
        <f>INDEX(TEMPLATE_NUMBER_POINT_FHD,B36,MATCH(TEMPLATE_SPHERE,TEMPLATE_SPHERE_LIST_FOR_NOTE,0))</f>
        <v>2.8</v>
      </c>
      <c r="J36" s="1029" t="str">
        <f>INDEX(TEMPLATE_DATA_POINT_FHD,B36,MATCH(TEMPLATE_SPHERE,TEMPLATE_SPHERE_LIST_FOR_NOTE,0))</f>
        <v>Расходы на амортизацию основных средств и нематериальных активов</v>
      </c>
      <c r="K36" s="1029">
        <f>INDEX(TEMPLATE_NOTE_POINT_FHD,B36,MATCH(TEMPLATE_SPHERE,TEMPLATE_SPHERE_LIST_FOR_NOTE,0))</f>
        <v>0</v>
      </c>
      <c r="L36" s="868" t="str">
        <f>IF(I36=0,"",I36)</f>
        <v>2.8</v>
      </c>
      <c r="M36" s="868" t="str">
        <f>IF(J36=0,"",J36)</f>
        <v>Расходы на амортизацию основных средств и нематериальных активов</v>
      </c>
      <c r="N36" s="868" t="str">
        <f>IF(K36=0,"",K36)</f>
        <v/>
      </c>
      <c r="O36" s="981" t="s">
        <v>839</v>
      </c>
      <c r="P36" s="981" t="s">
        <v>835</v>
      </c>
      <c r="Q36" s="981" t="s">
        <v>839</v>
      </c>
      <c r="R36" s="981" t="s">
        <v>835</v>
      </c>
      <c r="S36" s="981"/>
      <c r="T36" s="988" t="s">
        <v>2419</v>
      </c>
      <c r="U36" s="870" t="s">
        <v>2419</v>
      </c>
      <c r="V36" s="870" t="s">
        <v>2419</v>
      </c>
      <c r="W36" s="870" t="s">
        <v>2419</v>
      </c>
      <c r="X36" s="867"/>
      <c r="Y36" s="1024"/>
      <c r="Z36" s="870"/>
      <c r="AA36" s="873"/>
      <c r="AB36" s="870"/>
      <c r="AC36" s="870"/>
      <c r="AD36" s="870"/>
    </row>
    <row customHeight="1" ht="18">
      <c r="A37" s="869"/>
      <c r="B37" s="923">
        <v>20</v>
      </c>
      <c r="C37" s="867" t="s">
        <v>2420</v>
      </c>
      <c r="D37" s="991"/>
      <c r="E37" s="867"/>
      <c r="F37" s="867"/>
      <c r="G37" s="915"/>
      <c r="H37" s="982"/>
      <c r="I37" s="1029" t="str">
        <f>INDEX(TEMPLATE_NUMBER_POINT_FHD,B37,MATCH(TEMPLATE_SPHERE,TEMPLATE_SPHERE_LIST_FOR_NOTE,0))</f>
        <v>2.8.1</v>
      </c>
      <c r="J37" s="1029" t="str">
        <f>INDEX(TEMPLATE_DATA_POINT_FHD,B37,MATCH(TEMPLATE_SPHERE,TEMPLATE_SPHERE_LIST_FOR_NOTE,0))</f>
        <v>Расходы на амортизацию основных средств</v>
      </c>
      <c r="K37" s="1029">
        <f>INDEX(TEMPLATE_NOTE_POINT_FHD,B37,MATCH(TEMPLATE_SPHERE,TEMPLATE_SPHERE_LIST_FOR_NOTE,0))</f>
        <v>0</v>
      </c>
      <c r="L37" s="868" t="str">
        <f>IF(I37=0,"",I37)</f>
        <v>2.8.1</v>
      </c>
      <c r="M37" s="868" t="str">
        <f>IF(J37=0,"",J37)</f>
        <v>Расходы на амортизацию основных средств</v>
      </c>
      <c r="N37" s="868" t="str">
        <f>IF(K37=0,"",K37)</f>
        <v/>
      </c>
      <c r="O37" s="981" t="s">
        <v>2421</v>
      </c>
      <c r="P37" s="981" t="s">
        <v>2404</v>
      </c>
      <c r="Q37" s="981" t="s">
        <v>2421</v>
      </c>
      <c r="R37" s="981" t="s">
        <v>2404</v>
      </c>
      <c r="S37" s="981"/>
      <c r="T37" s="988" t="s">
        <v>2422</v>
      </c>
      <c r="U37" s="870" t="s">
        <v>2422</v>
      </c>
      <c r="V37" s="870" t="s">
        <v>2422</v>
      </c>
      <c r="W37" s="870" t="s">
        <v>2422</v>
      </c>
      <c r="X37" s="867"/>
      <c r="Y37" s="1024"/>
      <c r="Z37" s="870"/>
      <c r="AA37" s="873"/>
      <c r="AB37" s="870"/>
      <c r="AC37" s="870"/>
      <c r="AD37" s="870"/>
    </row>
    <row customHeight="1" ht="18">
      <c r="A38" s="869"/>
      <c r="B38" s="923">
        <v>21</v>
      </c>
      <c r="C38" s="867" t="s">
        <v>2423</v>
      </c>
      <c r="D38" s="991"/>
      <c r="E38" s="867"/>
      <c r="F38" s="867"/>
      <c r="G38" s="915"/>
      <c r="H38" s="982"/>
      <c r="I38" s="1029" t="str">
        <f>INDEX(TEMPLATE_NUMBER_POINT_FHD,B38,MATCH(TEMPLATE_SPHERE,TEMPLATE_SPHERE_LIST_FOR_NOTE,0))</f>
        <v>2.8.2</v>
      </c>
      <c r="J38" s="1029" t="str">
        <f>INDEX(TEMPLATE_DATA_POINT_FHD,B38,MATCH(TEMPLATE_SPHERE,TEMPLATE_SPHERE_LIST_FOR_NOTE,0))</f>
        <v>Расходы на амортизацию нематериальных активов</v>
      </c>
      <c r="K38" s="1029">
        <f>INDEX(TEMPLATE_NOTE_POINT_FHD,B38,MATCH(TEMPLATE_SPHERE,TEMPLATE_SPHERE_LIST_FOR_NOTE,0))</f>
        <v>0</v>
      </c>
      <c r="L38" s="868" t="str">
        <f>IF(I38=0,"",I38)</f>
        <v>2.8.2</v>
      </c>
      <c r="M38" s="868" t="str">
        <f>IF(J38=0,"",J38)</f>
        <v>Расходы на амортизацию нематериальных активов</v>
      </c>
      <c r="N38" s="868" t="str">
        <f>IF(K38=0,"",K38)</f>
        <v/>
      </c>
      <c r="O38" s="981" t="s">
        <v>2424</v>
      </c>
      <c r="P38" s="981" t="s">
        <v>2407</v>
      </c>
      <c r="Q38" s="981" t="s">
        <v>2424</v>
      </c>
      <c r="R38" s="981" t="s">
        <v>2407</v>
      </c>
      <c r="S38" s="981"/>
      <c r="T38" s="988" t="s">
        <v>2425</v>
      </c>
      <c r="U38" s="870" t="s">
        <v>2425</v>
      </c>
      <c r="V38" s="870" t="s">
        <v>2425</v>
      </c>
      <c r="W38" s="870" t="s">
        <v>2425</v>
      </c>
      <c r="X38" s="867"/>
      <c r="Y38" s="1024"/>
      <c r="Z38" s="870"/>
      <c r="AA38" s="873"/>
      <c r="AB38" s="870"/>
      <c r="AC38" s="870"/>
      <c r="AD38" s="870"/>
    </row>
    <row customHeight="1" ht="36">
      <c r="A39" s="869"/>
      <c r="B39" s="923">
        <v>22</v>
      </c>
      <c r="C39" s="867">
        <v>12</v>
      </c>
      <c r="D39" s="991"/>
      <c r="E39" s="867"/>
      <c r="F39" s="867"/>
      <c r="G39" s="915"/>
      <c r="H39" s="982"/>
      <c r="I39" s="1029" t="str">
        <f>INDEX(TEMPLATE_NUMBER_POINT_FHD,B39,MATCH(TEMPLATE_SPHERE,TEMPLATE_SPHERE_LIST_FOR_NOTE,0))</f>
        <v>2.9</v>
      </c>
      <c r="J39" s="1029" t="str">
        <f>INDEX(TEMPLATE_DATA_POINT_FHD,B39,MATCH(TEMPLATE_SPHERE,TEMPLATE_SPHERE_LIST_FOR_NOTE,0))</f>
        <v>Расходы на аренду имущества, используемого для осуществления регулируемого вида деятельности</v>
      </c>
      <c r="K39" s="1029">
        <f>INDEX(TEMPLATE_NOTE_POINT_FHD,B39,MATCH(TEMPLATE_SPHERE,TEMPLATE_SPHERE_LIST_FOR_NOTE,0))</f>
        <v>0</v>
      </c>
      <c r="L39" s="868" t="str">
        <f>IF(I39=0,"",I39)</f>
        <v>2.9</v>
      </c>
      <c r="M39" s="868" t="str">
        <f>IF(J39=0,"",J39)</f>
        <v>Расходы на аренду имущества, используемого для осуществления регулируемого вида деятельности</v>
      </c>
      <c r="N39" s="868" t="str">
        <f>IF(K39=0,"",K39)</f>
        <v/>
      </c>
      <c r="O39" s="981" t="s">
        <v>843</v>
      </c>
      <c r="P39" s="981" t="s">
        <v>837</v>
      </c>
      <c r="Q39" s="981" t="s">
        <v>843</v>
      </c>
      <c r="R39" s="981" t="s">
        <v>837</v>
      </c>
      <c r="S39" s="981"/>
      <c r="T39" s="988" t="s">
        <v>2426</v>
      </c>
      <c r="U39" s="870" t="s">
        <v>2427</v>
      </c>
      <c r="V39" s="870" t="s">
        <v>2428</v>
      </c>
      <c r="W39" s="870" t="s">
        <v>2429</v>
      </c>
      <c r="X39" s="867"/>
      <c r="Y39" s="1024"/>
      <c r="Z39" s="870"/>
      <c r="AA39" s="873"/>
      <c r="AB39" s="870"/>
      <c r="AC39" s="870"/>
      <c r="AD39" s="870"/>
    </row>
    <row customHeight="1" ht="18">
      <c r="A40" s="869"/>
      <c r="B40" s="923">
        <v>23</v>
      </c>
      <c r="C40" s="867">
        <v>13</v>
      </c>
      <c r="D40" s="991"/>
      <c r="E40" s="867"/>
      <c r="F40" s="867"/>
      <c r="G40" s="867"/>
      <c r="H40" s="918"/>
      <c r="I40" s="1029" t="str">
        <f>INDEX(TEMPLATE_NUMBER_POINT_FHD,B40,MATCH(TEMPLATE_SPHERE,TEMPLATE_SPHERE_LIST_FOR_NOTE,0))</f>
        <v>2.10</v>
      </c>
      <c r="J40" s="1029" t="str">
        <f>INDEX(TEMPLATE_DATA_POINT_FHD,B40,MATCH(TEMPLATE_SPHERE,TEMPLATE_SPHERE_LIST_FOR_NOTE,0))</f>
        <v>Общепроизводственные расходы, в том числе:</v>
      </c>
      <c r="K40" s="1029" t="str">
        <f>INDEX(TEMPLATE_NOTE_POINT_FHD,B40,MATCH(TEMPLATE_SPHERE,TEMPLATE_SPHERE_LIST_FOR_NOTE,0))</f>
        <v>Указывается общая сумма общепроизводственных расходов.</v>
      </c>
      <c r="L40" s="868" t="str">
        <f>IF(I40=0,"",I40)</f>
        <v>2.10</v>
      </c>
      <c r="M40" s="868" t="str">
        <f>IF(J40=0,"",J40)</f>
        <v>Общепроизводственные расходы, в том числе:</v>
      </c>
      <c r="N40" s="868" t="str">
        <f>IF(K40=0,"",K40)</f>
        <v>Указывается общая сумма общепроизводственных расходов.</v>
      </c>
      <c r="O40" s="981" t="s">
        <v>2430</v>
      </c>
      <c r="P40" s="981" t="s">
        <v>839</v>
      </c>
      <c r="Q40" s="981" t="s">
        <v>2430</v>
      </c>
      <c r="R40" s="981" t="s">
        <v>839</v>
      </c>
      <c r="S40" s="981"/>
      <c r="T40" s="867" t="s">
        <v>2431</v>
      </c>
      <c r="U40" s="867" t="s">
        <v>2431</v>
      </c>
      <c r="V40" s="867" t="s">
        <v>2431</v>
      </c>
      <c r="W40" s="867" t="s">
        <v>2431</v>
      </c>
      <c r="X40" s="867"/>
      <c r="Y40" s="1024"/>
      <c r="Z40" s="870" t="s">
        <v>2432</v>
      </c>
      <c r="AA40" s="873" t="s">
        <v>2432</v>
      </c>
      <c r="AB40" s="873" t="s">
        <v>2432</v>
      </c>
      <c r="AC40" s="873" t="s">
        <v>2432</v>
      </c>
      <c r="AD40" s="870"/>
    </row>
    <row customHeight="1" ht="27">
      <c r="A41" s="869"/>
      <c r="B41" s="923">
        <v>24</v>
      </c>
      <c r="C41" s="867" t="s">
        <v>2433</v>
      </c>
      <c r="D41" s="991"/>
      <c r="E41" s="867"/>
      <c r="F41" s="867"/>
      <c r="G41" s="867"/>
      <c r="H41" s="915"/>
      <c r="I41" s="1029" t="str">
        <f>INDEX(TEMPLATE_NUMBER_POINT_FHD,B41,MATCH(TEMPLATE_SPHERE,TEMPLATE_SPHERE_LIST_FOR_NOTE,0))</f>
        <v>2.10.1</v>
      </c>
      <c r="J41" s="1029" t="str">
        <f>INDEX(TEMPLATE_DATA_POINT_FHD,B41,MATCH(TEMPLATE_SPHERE,TEMPLATE_SPHERE_LIST_FOR_NOTE,0))</f>
        <v>Расходы на текущий ремонт</v>
      </c>
      <c r="K41" s="1029" t="str">
        <f>INDEX(TEMPLATE_NOTE_POINT_FHD,B41,MATCH(TEMPLATE_SPHERE,TEMPLATE_SPHERE_LIST_FOR_NOTE,0))</f>
        <v>Указываются расходы на текущий ремонт, отнесенные к общепроизводственным расходам.</v>
      </c>
      <c r="L41" s="868" t="str">
        <f>IF(I41=0,"",I41)</f>
        <v>2.10.1</v>
      </c>
      <c r="M41" s="868" t="str">
        <f>IF(J41=0,"",J41)</f>
        <v>Расходы на текущий ремонт</v>
      </c>
      <c r="N41" s="868" t="str">
        <f>IF(K41=0,"",K41)</f>
        <v>Указываются расходы на текущий ремонт, отнесенные к общепроизводственным расходам.</v>
      </c>
      <c r="O41" s="981" t="s">
        <v>2434</v>
      </c>
      <c r="P41" s="981" t="s">
        <v>2421</v>
      </c>
      <c r="Q41" s="981" t="s">
        <v>2434</v>
      </c>
      <c r="R41" s="981" t="s">
        <v>2421</v>
      </c>
      <c r="S41" s="981"/>
      <c r="T41" s="867" t="s">
        <v>2435</v>
      </c>
      <c r="U41" s="867" t="s">
        <v>2435</v>
      </c>
      <c r="V41" s="867" t="s">
        <v>2435</v>
      </c>
      <c r="W41" s="867" t="s">
        <v>2435</v>
      </c>
      <c r="X41" s="867"/>
      <c r="Y41" s="1024"/>
      <c r="Z41" s="870" t="s">
        <v>2436</v>
      </c>
      <c r="AA41" s="870" t="s">
        <v>2436</v>
      </c>
      <c r="AB41" s="870" t="s">
        <v>2436</v>
      </c>
      <c r="AC41" s="870" t="s">
        <v>2436</v>
      </c>
      <c r="AD41" s="870"/>
    </row>
    <row customHeight="1" ht="27">
      <c r="A42" s="869"/>
      <c r="B42" s="923">
        <v>25</v>
      </c>
      <c r="C42" s="867" t="s">
        <v>2437</v>
      </c>
      <c r="D42" s="991"/>
      <c r="E42" s="867"/>
      <c r="F42" s="867"/>
      <c r="G42" s="867"/>
      <c r="H42" s="915"/>
      <c r="I42" s="1029" t="str">
        <f>INDEX(TEMPLATE_NUMBER_POINT_FHD,B42,MATCH(TEMPLATE_SPHERE,TEMPLATE_SPHERE_LIST_FOR_NOTE,0))</f>
        <v>2.10.2</v>
      </c>
      <c r="J42" s="1029" t="str">
        <f>INDEX(TEMPLATE_DATA_POINT_FHD,B42,MATCH(TEMPLATE_SPHERE,TEMPLATE_SPHERE_LIST_FOR_NOTE,0))</f>
        <v>Расходы на капитальный ремонт</v>
      </c>
      <c r="K42" s="1029" t="str">
        <f>INDEX(TEMPLATE_NOTE_POINT_FHD,B42,MATCH(TEMPLATE_SPHERE,TEMPLATE_SPHERE_LIST_FOR_NOTE,0))</f>
        <v>Указываются расходы на капитальный ремонт, отнесенные к общепроизводственным расходам.</v>
      </c>
      <c r="L42" s="868" t="str">
        <f>IF(I42=0,"",I42)</f>
        <v>2.10.2</v>
      </c>
      <c r="M42" s="868" t="str">
        <f>IF(J42=0,"",J42)</f>
        <v>Расходы на капитальный ремонт</v>
      </c>
      <c r="N42" s="868" t="str">
        <f>IF(K42=0,"",K42)</f>
        <v>Указываются расходы на капитальный ремонт, отнесенные к общепроизводственным расходам.</v>
      </c>
      <c r="O42" s="981" t="s">
        <v>2438</v>
      </c>
      <c r="P42" s="981" t="s">
        <v>2424</v>
      </c>
      <c r="Q42" s="981" t="s">
        <v>2438</v>
      </c>
      <c r="R42" s="981" t="s">
        <v>2424</v>
      </c>
      <c r="S42" s="981"/>
      <c r="T42" s="867" t="s">
        <v>2439</v>
      </c>
      <c r="U42" s="867" t="s">
        <v>2439</v>
      </c>
      <c r="V42" s="867" t="s">
        <v>2439</v>
      </c>
      <c r="W42" s="867" t="s">
        <v>2439</v>
      </c>
      <c r="X42" s="867"/>
      <c r="Y42" s="1024"/>
      <c r="Z42" s="870" t="s">
        <v>2440</v>
      </c>
      <c r="AA42" s="870" t="s">
        <v>2440</v>
      </c>
      <c r="AB42" s="870" t="s">
        <v>2440</v>
      </c>
      <c r="AC42" s="870" t="s">
        <v>2440</v>
      </c>
      <c r="AD42" s="870"/>
    </row>
    <row customHeight="1" ht="18">
      <c r="A43" s="869"/>
      <c r="B43" s="923">
        <v>26</v>
      </c>
      <c r="C43" s="867">
        <v>14</v>
      </c>
      <c r="D43" s="991"/>
      <c r="E43" s="867"/>
      <c r="F43" s="867"/>
      <c r="G43" s="867"/>
      <c r="H43" s="915"/>
      <c r="I43" s="1029" t="str">
        <f>INDEX(TEMPLATE_NUMBER_POINT_FHD,B43,MATCH(TEMPLATE_SPHERE,TEMPLATE_SPHERE_LIST_FOR_NOTE,0))</f>
        <v>2.11</v>
      </c>
      <c r="J43" s="1029" t="str">
        <f>INDEX(TEMPLATE_DATA_POINT_FHD,B43,MATCH(TEMPLATE_SPHERE,TEMPLATE_SPHERE_LIST_FOR_NOTE,0))</f>
        <v>Общехозяйственные расходы, в том числе:</v>
      </c>
      <c r="K43" s="1029" t="str">
        <f>INDEX(TEMPLATE_NOTE_POINT_FHD,B43,MATCH(TEMPLATE_SPHERE,TEMPLATE_SPHERE_LIST_FOR_NOTE,0))</f>
        <v>Указывается общая сумма общехозяйственных расходов.</v>
      </c>
      <c r="L43" s="868" t="str">
        <f>IF(I43=0,"",I43)</f>
        <v>2.11</v>
      </c>
      <c r="M43" s="868" t="str">
        <f>IF(J43=0,"",J43)</f>
        <v>Общехозяйственные расходы, в том числе:</v>
      </c>
      <c r="N43" s="868" t="str">
        <f>IF(K43=0,"",K43)</f>
        <v>Указывается общая сумма общехозяйственных расходов.</v>
      </c>
      <c r="O43" s="981" t="s">
        <v>2441</v>
      </c>
      <c r="P43" s="981" t="s">
        <v>843</v>
      </c>
      <c r="Q43" s="981" t="s">
        <v>2441</v>
      </c>
      <c r="R43" s="981" t="s">
        <v>843</v>
      </c>
      <c r="S43" s="981"/>
      <c r="T43" s="867" t="s">
        <v>2442</v>
      </c>
      <c r="U43" s="867" t="s">
        <v>2442</v>
      </c>
      <c r="V43" s="867" t="s">
        <v>2442</v>
      </c>
      <c r="W43" s="867" t="s">
        <v>2442</v>
      </c>
      <c r="X43" s="867"/>
      <c r="Y43" s="1024"/>
      <c r="Z43" s="870" t="s">
        <v>2443</v>
      </c>
      <c r="AA43" s="870" t="s">
        <v>2443</v>
      </c>
      <c r="AB43" s="870" t="s">
        <v>2443</v>
      </c>
      <c r="AC43" s="870" t="s">
        <v>2443</v>
      </c>
      <c r="AD43" s="870"/>
    </row>
    <row customHeight="1" ht="27">
      <c r="A44" s="869"/>
      <c r="B44" s="923">
        <v>27</v>
      </c>
      <c r="C44" s="867" t="s">
        <v>2444</v>
      </c>
      <c r="D44" s="991"/>
      <c r="E44" s="867"/>
      <c r="F44" s="867"/>
      <c r="G44" s="867"/>
      <c r="H44" s="915"/>
      <c r="I44" s="1029" t="str">
        <f>INDEX(TEMPLATE_NUMBER_POINT_FHD,B44,MATCH(TEMPLATE_SPHERE,TEMPLATE_SPHERE_LIST_FOR_NOTE,0))</f>
        <v>2.11.1</v>
      </c>
      <c r="J44" s="1029" t="str">
        <f>INDEX(TEMPLATE_DATA_POINT_FHD,B44,MATCH(TEMPLATE_SPHERE,TEMPLATE_SPHERE_LIST_FOR_NOTE,0))</f>
        <v>Расходы на текущий ремонт</v>
      </c>
      <c r="K44" s="1029" t="str">
        <f>INDEX(TEMPLATE_NOTE_POINT_FHD,B44,MATCH(TEMPLATE_SPHERE,TEMPLATE_SPHERE_LIST_FOR_NOTE,0))</f>
        <v>Указываются расходы на текущий ремонт, отнесенные к общехозяйственным расходам.</v>
      </c>
      <c r="L44" s="868" t="str">
        <f>IF(I44=0,"",I44)</f>
        <v>2.11.1</v>
      </c>
      <c r="M44" s="868" t="str">
        <f>IF(J44=0,"",J44)</f>
        <v>Расходы на текущий ремонт</v>
      </c>
      <c r="N44" s="868" t="str">
        <f>IF(K44=0,"",K44)</f>
        <v>Указываются расходы на текущий ремонт, отнесенные к общехозяйственным расходам.</v>
      </c>
      <c r="O44" s="981" t="s">
        <v>2445</v>
      </c>
      <c r="P44" s="981" t="s">
        <v>2446</v>
      </c>
      <c r="Q44" s="981" t="s">
        <v>2445</v>
      </c>
      <c r="R44" s="981" t="s">
        <v>2446</v>
      </c>
      <c r="S44" s="981"/>
      <c r="T44" s="867" t="s">
        <v>2435</v>
      </c>
      <c r="U44" s="867" t="s">
        <v>2435</v>
      </c>
      <c r="V44" s="867" t="s">
        <v>2435</v>
      </c>
      <c r="W44" s="867" t="s">
        <v>2435</v>
      </c>
      <c r="X44" s="867"/>
      <c r="Y44" s="1024"/>
      <c r="Z44" s="870" t="s">
        <v>2447</v>
      </c>
      <c r="AA44" s="870" t="s">
        <v>2447</v>
      </c>
      <c r="AB44" s="870" t="s">
        <v>2447</v>
      </c>
      <c r="AC44" s="870" t="s">
        <v>2447</v>
      </c>
      <c r="AD44" s="870"/>
    </row>
    <row customHeight="1" ht="27">
      <c r="A45" s="869"/>
      <c r="B45" s="923">
        <v>28</v>
      </c>
      <c r="C45" s="867" t="s">
        <v>2448</v>
      </c>
      <c r="D45" s="991"/>
      <c r="E45" s="867"/>
      <c r="F45" s="867"/>
      <c r="G45" s="867"/>
      <c r="H45" s="915"/>
      <c r="I45" s="1029" t="str">
        <f>INDEX(TEMPLATE_NUMBER_POINT_FHD,B45,MATCH(TEMPLATE_SPHERE,TEMPLATE_SPHERE_LIST_FOR_NOTE,0))</f>
        <v>2.11.2</v>
      </c>
      <c r="J45" s="1029" t="str">
        <f>INDEX(TEMPLATE_DATA_POINT_FHD,B45,MATCH(TEMPLATE_SPHERE,TEMPLATE_SPHERE_LIST_FOR_NOTE,0))</f>
        <v>Расходы на капитальный ремонт</v>
      </c>
      <c r="K45" s="1029" t="str">
        <f>INDEX(TEMPLATE_NOTE_POINT_FHD,B45,MATCH(TEMPLATE_SPHERE,TEMPLATE_SPHERE_LIST_FOR_NOTE,0))</f>
        <v>Указываются расходы на капитальный ремонт, отнесенные к общехозяйственным расходам.</v>
      </c>
      <c r="L45" s="868" t="str">
        <f>IF(I45=0,"",I45)</f>
        <v>2.11.2</v>
      </c>
      <c r="M45" s="868" t="str">
        <f>IF(J45=0,"",J45)</f>
        <v>Расходы на капитальный ремонт</v>
      </c>
      <c r="N45" s="868" t="str">
        <f>IF(K45=0,"",K45)</f>
        <v>Указываются расходы на капитальный ремонт, отнесенные к общехозяйственным расходам.</v>
      </c>
      <c r="O45" s="981" t="s">
        <v>2449</v>
      </c>
      <c r="P45" s="981" t="s">
        <v>2450</v>
      </c>
      <c r="Q45" s="981" t="s">
        <v>2449</v>
      </c>
      <c r="R45" s="981" t="s">
        <v>2450</v>
      </c>
      <c r="S45" s="981"/>
      <c r="T45" s="867" t="s">
        <v>2439</v>
      </c>
      <c r="U45" s="867" t="s">
        <v>2439</v>
      </c>
      <c r="V45" s="867" t="s">
        <v>2439</v>
      </c>
      <c r="W45" s="867" t="s">
        <v>2439</v>
      </c>
      <c r="X45" s="867"/>
      <c r="Y45" s="1024"/>
      <c r="Z45" s="870" t="s">
        <v>2451</v>
      </c>
      <c r="AA45" s="870" t="s">
        <v>2451</v>
      </c>
      <c r="AB45" s="870" t="s">
        <v>2451</v>
      </c>
      <c r="AC45" s="870" t="s">
        <v>2451</v>
      </c>
      <c r="AD45" s="870"/>
    </row>
    <row customHeight="1" ht="54">
      <c r="A46" s="869"/>
      <c r="B46" s="923">
        <v>29</v>
      </c>
      <c r="C46" s="867">
        <v>15</v>
      </c>
      <c r="D46" s="991"/>
      <c r="E46" s="867"/>
      <c r="F46" s="867"/>
      <c r="G46" s="867"/>
      <c r="H46" s="915"/>
      <c r="I46" s="1029" t="str">
        <f>INDEX(TEMPLATE_NUMBER_POINT_FHD,B46,MATCH(TEMPLATE_SPHERE,TEMPLATE_SPHERE_LIST_FOR_NOTE,0))</f>
        <v>2.12</v>
      </c>
      <c r="J46" s="1029" t="str">
        <f>INDEX(TEMPLATE_DATA_POINT_FHD,B46,MATCH(TEMPLATE_SPHERE,TEMPLATE_SPHERE_LIST_FOR_NOTE,0))</f>
        <v>Расходы на капитальный и текущий ремонт основных средств</v>
      </c>
      <c r="K46" s="102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68" t="str">
        <f>IF(I46=0,"",I46)</f>
        <v>2.12</v>
      </c>
      <c r="M46" s="868" t="str">
        <f>IF(J46=0,"",J46)</f>
        <v>Расходы на капитальный и текущий ремонт основных средств</v>
      </c>
      <c r="N46" s="86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81" t="s">
        <v>2452</v>
      </c>
      <c r="P46" s="981" t="s">
        <v>2430</v>
      </c>
      <c r="Q46" s="981" t="s">
        <v>2452</v>
      </c>
      <c r="R46" s="981" t="s">
        <v>2430</v>
      </c>
      <c r="S46" s="981"/>
      <c r="T46" s="86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67" t="s">
        <v>2453</v>
      </c>
      <c r="V46" s="867" t="s">
        <v>2453</v>
      </c>
      <c r="W46" s="867" t="s">
        <v>2453</v>
      </c>
      <c r="X46" s="867"/>
      <c r="Y46" s="1024"/>
      <c r="Z46" s="870" t="s">
        <v>2454</v>
      </c>
      <c r="AA46" s="870" t="s">
        <v>2455</v>
      </c>
      <c r="AB46" s="870" t="s">
        <v>2455</v>
      </c>
      <c r="AC46" s="870" t="s">
        <v>2455</v>
      </c>
      <c r="AD46" s="870"/>
    </row>
    <row customHeight="1" ht="54">
      <c r="A47" s="869"/>
      <c r="B47" s="923">
        <v>30</v>
      </c>
      <c r="C47" s="867" t="s">
        <v>2456</v>
      </c>
      <c r="D47" s="991"/>
      <c r="E47" s="867"/>
      <c r="F47" s="867"/>
      <c r="G47" s="867"/>
      <c r="H47" s="915"/>
      <c r="I47" s="1029" t="str">
        <f>INDEX(TEMPLATE_NUMBER_POINT_FHD,B47,MATCH(TEMPLATE_SPHERE,TEMPLATE_SPHERE_LIST_FOR_NOTE,0))</f>
        <v>2.12.1</v>
      </c>
      <c r="J47" s="102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29">
        <f>INDEX(TEMPLATE_NOTE_POINT_FHD,B47,MATCH(TEMPLATE_SPHERE,TEMPLATE_SPHERE_LIST_FOR_NOTE,0))</f>
        <v>0</v>
      </c>
      <c r="L47" s="868" t="str">
        <f>IF(I47=0,"",I47)</f>
        <v>2.12.1</v>
      </c>
      <c r="M47" s="86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68" t="str">
        <f>IF(K47=0,"",K47)</f>
        <v/>
      </c>
      <c r="O47" s="981" t="s">
        <v>2457</v>
      </c>
      <c r="P47" s="981" t="s">
        <v>2434</v>
      </c>
      <c r="Q47" s="981" t="s">
        <v>2457</v>
      </c>
      <c r="R47" s="981" t="s">
        <v>2434</v>
      </c>
      <c r="S47" s="981"/>
      <c r="T47" s="867" t="s">
        <v>2458</v>
      </c>
      <c r="U47" s="867" t="s">
        <v>2458</v>
      </c>
      <c r="V47" s="867" t="s">
        <v>2458</v>
      </c>
      <c r="W47" s="867" t="s">
        <v>2458</v>
      </c>
      <c r="X47" s="867"/>
      <c r="Y47" s="1024"/>
      <c r="Z47" s="870"/>
      <c r="AA47" s="873"/>
      <c r="AB47" s="873"/>
      <c r="AC47" s="873"/>
      <c r="AD47" s="870"/>
    </row>
    <row customHeight="1" ht="54">
      <c r="A48" s="869"/>
      <c r="B48" s="923">
        <v>31</v>
      </c>
      <c r="C48" s="867">
        <v>16</v>
      </c>
      <c r="D48" s="991"/>
      <c r="E48" s="867"/>
      <c r="F48" s="867"/>
      <c r="G48" s="867"/>
      <c r="H48" s="915"/>
      <c r="I48" s="1029">
        <f>INDEX(TEMPLATE_NUMBER_POINT_FHD,B48,MATCH(TEMPLATE_SPHERE,TEMPLATE_SPHERE_LIST_FOR_NOTE,0))</f>
        <v>0</v>
      </c>
      <c r="J48" s="1029">
        <f>INDEX(TEMPLATE_DATA_POINT_FHD,B48,MATCH(TEMPLATE_SPHERE,TEMPLATE_SPHERE_LIST_FOR_NOTE,0))</f>
        <v>0</v>
      </c>
      <c r="K48" s="1029">
        <f>INDEX(TEMPLATE_NOTE_POINT_FHD,B48,MATCH(TEMPLATE_SPHERE,TEMPLATE_SPHERE_LIST_FOR_NOTE,0))</f>
        <v>0</v>
      </c>
      <c r="L48" s="868" t="str">
        <f>IF(I48=0,"",I48)</f>
        <v/>
      </c>
      <c r="M48" s="868" t="str">
        <f>IF(J48=0,"",J48)</f>
        <v/>
      </c>
      <c r="N48" s="868" t="str">
        <f>IF(K48=0,"",K48)</f>
        <v/>
      </c>
      <c r="O48" s="981"/>
      <c r="P48" s="981" t="s">
        <v>2441</v>
      </c>
      <c r="Q48" s="981" t="s">
        <v>2459</v>
      </c>
      <c r="R48" s="981" t="s">
        <v>2441</v>
      </c>
      <c r="S48" s="981"/>
      <c r="T48" s="867"/>
      <c r="U48" s="867" t="s">
        <v>2460</v>
      </c>
      <c r="V48" s="867" t="s">
        <v>2461</v>
      </c>
      <c r="W48" s="867" t="s">
        <v>2461</v>
      </c>
      <c r="X48" s="867"/>
      <c r="Y48" s="1024"/>
      <c r="Z48" s="870"/>
      <c r="AA48" s="873" t="s">
        <v>2455</v>
      </c>
      <c r="AB48" s="873" t="s">
        <v>2455</v>
      </c>
      <c r="AC48" s="873" t="s">
        <v>2455</v>
      </c>
      <c r="AD48" s="870"/>
    </row>
    <row customHeight="1" ht="54">
      <c r="A49" s="869"/>
      <c r="B49" s="923">
        <v>32</v>
      </c>
      <c r="C49" s="867" t="s">
        <v>2462</v>
      </c>
      <c r="D49" s="991"/>
      <c r="E49" s="867"/>
      <c r="F49" s="867"/>
      <c r="G49" s="867"/>
      <c r="H49" s="915"/>
      <c r="I49" s="1029">
        <f>INDEX(TEMPLATE_NUMBER_POINT_FHD,B49,MATCH(TEMPLATE_SPHERE,TEMPLATE_SPHERE_LIST_FOR_NOTE,0))</f>
        <v>0</v>
      </c>
      <c r="J49" s="1029">
        <f>INDEX(TEMPLATE_DATA_POINT_FHD,B49,MATCH(TEMPLATE_SPHERE,TEMPLATE_SPHERE_LIST_FOR_NOTE,0))</f>
        <v>0</v>
      </c>
      <c r="K49" s="1029">
        <f>INDEX(TEMPLATE_NOTE_POINT_FHD,B49,MATCH(TEMPLATE_SPHERE,TEMPLATE_SPHERE_LIST_FOR_NOTE,0))</f>
        <v>0</v>
      </c>
      <c r="L49" s="868" t="str">
        <f>IF(I49=0,"",I49)</f>
        <v/>
      </c>
      <c r="M49" s="868" t="str">
        <f>IF(J49=0,"",J49)</f>
        <v/>
      </c>
      <c r="N49" s="868" t="str">
        <f>IF(K49=0,"",K49)</f>
        <v/>
      </c>
      <c r="O49" s="981"/>
      <c r="P49" s="981" t="s">
        <v>2445</v>
      </c>
      <c r="Q49" s="981" t="s">
        <v>2463</v>
      </c>
      <c r="R49" s="981" t="s">
        <v>2445</v>
      </c>
      <c r="S49" s="981"/>
      <c r="T49" s="867"/>
      <c r="U49" s="867" t="s">
        <v>2458</v>
      </c>
      <c r="V49" s="867" t="s">
        <v>2458</v>
      </c>
      <c r="W49" s="867" t="s">
        <v>2458</v>
      </c>
      <c r="X49" s="867"/>
      <c r="Y49" s="1024"/>
      <c r="Z49" s="870"/>
      <c r="AA49" s="873"/>
      <c r="AB49" s="873"/>
      <c r="AC49" s="873"/>
      <c r="AD49" s="870"/>
    </row>
    <row customHeight="1" ht="126">
      <c r="A50" s="869"/>
      <c r="B50" s="923">
        <v>33</v>
      </c>
      <c r="C50" s="867">
        <v>17</v>
      </c>
      <c r="D50" s="991"/>
      <c r="E50" s="867"/>
      <c r="F50" s="867"/>
      <c r="G50" s="867"/>
      <c r="H50" s="915"/>
      <c r="I50" s="1029" t="str">
        <f>INDEX(TEMPLATE_NUMBER_POINT_FHD,B50,MATCH(TEMPLATE_SPHERE,TEMPLATE_SPHERE_LIST_FOR_NOTE,0))</f>
        <v>2.13</v>
      </c>
      <c r="J50" s="102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2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68" t="str">
        <f>IF(I50=0,"",I50)</f>
        <v>2.13</v>
      </c>
      <c r="M50" s="86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6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81" t="s">
        <v>2459</v>
      </c>
      <c r="P50" s="981" t="s">
        <v>2452</v>
      </c>
      <c r="Q50" s="981" t="s">
        <v>2464</v>
      </c>
      <c r="R50" s="981" t="s">
        <v>2452</v>
      </c>
      <c r="S50" s="981"/>
      <c r="T50" s="867" t="s">
        <v>2465</v>
      </c>
      <c r="U50" s="867" t="s">
        <v>2466</v>
      </c>
      <c r="V50" s="867" t="s">
        <v>2467</v>
      </c>
      <c r="W50" s="867" t="s">
        <v>2468</v>
      </c>
      <c r="X50" s="867"/>
      <c r="Y50" s="1024"/>
      <c r="Z50" s="870" t="s">
        <v>2469</v>
      </c>
      <c r="AA50" s="873" t="s">
        <v>2470</v>
      </c>
      <c r="AB50" s="873" t="s">
        <v>2470</v>
      </c>
      <c r="AC50" s="873" t="s">
        <v>2470</v>
      </c>
      <c r="AD50" s="870"/>
    </row>
    <row customHeight="1" ht="27">
      <c r="A51" s="869"/>
      <c r="B51" s="923">
        <v>34</v>
      </c>
      <c r="C51" s="867" t="s">
        <v>2471</v>
      </c>
      <c r="D51" s="991"/>
      <c r="E51" s="867"/>
      <c r="F51" s="867"/>
      <c r="G51" s="867"/>
      <c r="H51" s="915"/>
      <c r="I51" s="1029" t="str">
        <f>INDEX(TEMPLATE_NUMBER_POINT_FHD,B51,MATCH(TEMPLATE_SPHERE,TEMPLATE_SPHERE_LIST_FOR_NOTE,0))</f>
        <v>3</v>
      </c>
      <c r="J51" s="102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29">
        <f>INDEX(TEMPLATE_NOTE_POINT_FHD,B51,MATCH(TEMPLATE_SPHERE,TEMPLATE_SPHERE_LIST_FOR_NOTE,0))</f>
        <v>0</v>
      </c>
      <c r="L51" s="868" t="str">
        <f>IF(I51=0,"",I51)</f>
        <v>3</v>
      </c>
      <c r="M51" s="868" t="str">
        <f>IF(J51=0,"",J51)</f>
        <v>Валовая прибыль (убытки) от реализации товаров и оказания услуг по регулируемому виду деятельности</v>
      </c>
      <c r="N51" s="868" t="str">
        <f>IF(K51=0,"",K51)</f>
        <v/>
      </c>
      <c r="O51" s="981" t="s">
        <v>90</v>
      </c>
      <c r="P51" s="981"/>
      <c r="Q51" s="981"/>
      <c r="R51" s="981"/>
      <c r="S51" s="981"/>
      <c r="T51" s="867" t="s">
        <v>2472</v>
      </c>
      <c r="U51" s="867"/>
      <c r="V51" s="867"/>
      <c r="W51" s="867"/>
      <c r="X51" s="867"/>
      <c r="Y51" s="1024"/>
      <c r="Z51" s="870"/>
      <c r="AA51" s="873"/>
      <c r="AB51" s="873"/>
      <c r="AC51" s="873"/>
      <c r="AD51" s="870"/>
    </row>
    <row customHeight="1" ht="36">
      <c r="A52" s="869"/>
      <c r="B52" s="923">
        <v>35</v>
      </c>
      <c r="C52" s="867" t="s">
        <v>2365</v>
      </c>
      <c r="D52" s="991" t="s">
        <v>2365</v>
      </c>
      <c r="E52" s="867" t="s">
        <v>2365</v>
      </c>
      <c r="F52" s="867" t="s">
        <v>2365</v>
      </c>
      <c r="G52" s="867"/>
      <c r="H52" s="915"/>
      <c r="I52" s="1029" t="str">
        <f>INDEX(TEMPLATE_NUMBER_POINT_FHD,B52,MATCH(TEMPLATE_SPHERE,TEMPLATE_SPHERE_LIST_FOR_NOTE,0))</f>
        <v>4</v>
      </c>
      <c r="J52" s="1029" t="str">
        <f>INDEX(TEMPLATE_DATA_POINT_FHD,B52,MATCH(TEMPLATE_SPHERE,TEMPLATE_SPHERE_LIST_FOR_NOTE,0))</f>
        <v>Чистая прибыль, полученная от регулируемого вида деятельности, в том числе:</v>
      </c>
      <c r="K52" s="1029" t="str">
        <f>INDEX(TEMPLATE_NOTE_POINT_FHD,B52,MATCH(TEMPLATE_SPHERE,TEMPLATE_SPHERE_LIST_FOR_NOTE,0))</f>
        <v>Указывается общая сумма чистой прибыли, полученной от регулируемого вида деятельности.</v>
      </c>
      <c r="L52" s="868" t="str">
        <f>IF(I52=0,"",I52)</f>
        <v>4</v>
      </c>
      <c r="M52" s="868" t="str">
        <f>IF(J52=0,"",J52)</f>
        <v>Чистая прибыль, полученная от регулируемого вида деятельности, в том числе:</v>
      </c>
      <c r="N52" s="868" t="str">
        <f>IF(K52=0,"",K52)</f>
        <v>Указывается общая сумма чистой прибыли, полученной от регулируемого вида деятельности.</v>
      </c>
      <c r="O52" s="981" t="s">
        <v>91</v>
      </c>
      <c r="P52" s="981" t="s">
        <v>90</v>
      </c>
      <c r="Q52" s="981" t="s">
        <v>90</v>
      </c>
      <c r="R52" s="981" t="s">
        <v>90</v>
      </c>
      <c r="S52" s="981"/>
      <c r="T52" s="867" t="s">
        <v>2473</v>
      </c>
      <c r="U52" s="867" t="s">
        <v>2474</v>
      </c>
      <c r="V52" s="867" t="s">
        <v>2475</v>
      </c>
      <c r="W52" s="867" t="s">
        <v>2476</v>
      </c>
      <c r="X52" s="867"/>
      <c r="Y52" s="1024"/>
      <c r="Z52" s="870" t="s">
        <v>847</v>
      </c>
      <c r="AA52" s="873" t="s">
        <v>847</v>
      </c>
      <c r="AB52" s="873" t="s">
        <v>847</v>
      </c>
      <c r="AC52" s="873" t="s">
        <v>847</v>
      </c>
      <c r="AD52" s="870"/>
    </row>
    <row customHeight="1" ht="36">
      <c r="A53" s="869"/>
      <c r="B53" s="923">
        <v>36</v>
      </c>
      <c r="C53" s="867">
        <v>1</v>
      </c>
      <c r="D53" s="991"/>
      <c r="E53" s="867"/>
      <c r="F53" s="867"/>
      <c r="G53" s="867"/>
      <c r="H53" s="915"/>
      <c r="I53" s="1029" t="str">
        <f>INDEX(TEMPLATE_NUMBER_POINT_FHD,B53,MATCH(TEMPLATE_SPHERE,TEMPLATE_SPHERE_LIST_FOR_NOTE,0))</f>
        <v>4.1</v>
      </c>
      <c r="J53" s="102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29">
        <f>INDEX(TEMPLATE_NOTE_POINT_FHD,B53,MATCH(TEMPLATE_SPHERE,TEMPLATE_SPHERE_LIST_FOR_NOTE,0))</f>
        <v>0</v>
      </c>
      <c r="L53" s="868" t="str">
        <f>IF(I53=0,"",I53)</f>
        <v>4.1</v>
      </c>
      <c r="M53" s="86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68" t="str">
        <f>IF(K53=0,"",K53)</f>
        <v/>
      </c>
      <c r="O53" s="981" t="s">
        <v>851</v>
      </c>
      <c r="P53" s="981" t="s">
        <v>408</v>
      </c>
      <c r="Q53" s="981" t="s">
        <v>408</v>
      </c>
      <c r="R53" s="981" t="s">
        <v>408</v>
      </c>
      <c r="S53" s="981"/>
      <c r="T53" s="867" t="s">
        <v>2477</v>
      </c>
      <c r="U53" s="867" t="s">
        <v>2477</v>
      </c>
      <c r="V53" s="867" t="s">
        <v>2477</v>
      </c>
      <c r="W53" s="867" t="s">
        <v>2477</v>
      </c>
      <c r="X53" s="867"/>
      <c r="Y53" s="1024"/>
      <c r="Z53" s="870"/>
      <c r="AA53" s="873"/>
      <c r="AB53" s="870"/>
      <c r="AC53" s="870"/>
      <c r="AD53" s="870"/>
    </row>
    <row customHeight="1" ht="18">
      <c r="A54" s="869"/>
      <c r="B54" s="923">
        <v>37</v>
      </c>
      <c r="C54" s="867" t="s">
        <v>2371</v>
      </c>
      <c r="D54" s="991" t="s">
        <v>2371</v>
      </c>
      <c r="E54" s="867" t="s">
        <v>2371</v>
      </c>
      <c r="F54" s="867" t="s">
        <v>2371</v>
      </c>
      <c r="G54" s="867"/>
      <c r="H54" s="915"/>
      <c r="I54" s="1029" t="str">
        <f>INDEX(TEMPLATE_NUMBER_POINT_FHD,B54,MATCH(TEMPLATE_SPHERE,TEMPLATE_SPHERE_LIST_FOR_NOTE,0))</f>
        <v>5</v>
      </c>
      <c r="J54" s="1029" t="str">
        <f>INDEX(TEMPLATE_DATA_POINT_FHD,B54,MATCH(TEMPLATE_SPHERE,TEMPLATE_SPHERE_LIST_FOR_NOTE,0))</f>
        <v>Изменение стоимости основных фондов, в том числе:</v>
      </c>
      <c r="K54" s="1029" t="str">
        <f>INDEX(TEMPLATE_NOTE_POINT_FHD,B54,MATCH(TEMPLATE_SPHERE,TEMPLATE_SPHERE_LIST_FOR_NOTE,0))</f>
        <v>Указывается общее изменение стоимости основных фондов.</v>
      </c>
      <c r="L54" s="868" t="str">
        <f>IF(I54=0,"",I54)</f>
        <v>5</v>
      </c>
      <c r="M54" s="868" t="str">
        <f>IF(J54=0,"",J54)</f>
        <v>Изменение стоимости основных фондов, в том числе:</v>
      </c>
      <c r="N54" s="868" t="str">
        <f>IF(K54=0,"",K54)</f>
        <v>Указывается общее изменение стоимости основных фондов.</v>
      </c>
      <c r="O54" s="981" t="s">
        <v>119</v>
      </c>
      <c r="P54" s="981" t="s">
        <v>91</v>
      </c>
      <c r="Q54" s="981" t="s">
        <v>91</v>
      </c>
      <c r="R54" s="981" t="s">
        <v>91</v>
      </c>
      <c r="S54" s="981"/>
      <c r="T54" s="867" t="s">
        <v>849</v>
      </c>
      <c r="U54" s="867" t="s">
        <v>849</v>
      </c>
      <c r="V54" s="867" t="s">
        <v>849</v>
      </c>
      <c r="W54" s="867" t="s">
        <v>849</v>
      </c>
      <c r="X54" s="867"/>
      <c r="Y54" s="1024"/>
      <c r="Z54" s="870" t="s">
        <v>850</v>
      </c>
      <c r="AA54" s="870" t="s">
        <v>850</v>
      </c>
      <c r="AB54" s="870" t="s">
        <v>850</v>
      </c>
      <c r="AC54" s="870" t="s">
        <v>850</v>
      </c>
      <c r="AD54" s="870"/>
    </row>
    <row customHeight="1" ht="36">
      <c r="A55" s="869"/>
      <c r="B55" s="923">
        <v>38</v>
      </c>
      <c r="C55" s="867">
        <v>1</v>
      </c>
      <c r="D55" s="991"/>
      <c r="E55" s="867"/>
      <c r="F55" s="867"/>
      <c r="G55" s="867"/>
      <c r="H55" s="915"/>
      <c r="I55" s="1029" t="str">
        <f>INDEX(TEMPLATE_NUMBER_POINT_FHD,B55,MATCH(TEMPLATE_SPHERE,TEMPLATE_SPHERE_LIST_FOR_NOTE,0))</f>
        <v>5.1</v>
      </c>
      <c r="J55" s="1029" t="str">
        <f>INDEX(TEMPLATE_DATA_POINT_FHD,B55,MATCH(TEMPLATE_SPHERE,TEMPLATE_SPHERE_LIST_FOR_NOTE,0))</f>
        <v>Изменение стоимости основных фондов за счет:</v>
      </c>
      <c r="K55" s="102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68" t="str">
        <f>IF(I55=0,"",I55)</f>
        <v>5.1</v>
      </c>
      <c r="M55" s="868" t="str">
        <f>IF(J55=0,"",J55)</f>
        <v>Изменение стоимости основных фондов за счет:</v>
      </c>
      <c r="N55" s="868" t="str">
        <f>IF(K55=0,"",K55)</f>
        <v>Указываются общее изменение стоимости основных фондов за счет их ввода в эксплуатацию и вывода из эксплуатации.</v>
      </c>
      <c r="O55" s="981" t="s">
        <v>397</v>
      </c>
      <c r="P55" s="981" t="s">
        <v>851</v>
      </c>
      <c r="Q55" s="981" t="s">
        <v>851</v>
      </c>
      <c r="R55" s="981" t="s">
        <v>851</v>
      </c>
      <c r="S55" s="981"/>
      <c r="T55" s="86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67" t="s">
        <v>2478</v>
      </c>
      <c r="V55" s="867" t="s">
        <v>2478</v>
      </c>
      <c r="W55" s="867" t="s">
        <v>2478</v>
      </c>
      <c r="X55" s="867"/>
      <c r="Y55" s="1024"/>
      <c r="Z55" s="870" t="s">
        <v>2479</v>
      </c>
      <c r="AA55" s="870" t="s">
        <v>2479</v>
      </c>
      <c r="AB55" s="870" t="s">
        <v>2479</v>
      </c>
      <c r="AC55" s="870" t="s">
        <v>2479</v>
      </c>
      <c r="AD55" s="870"/>
    </row>
    <row customHeight="1" ht="27">
      <c r="A56" s="869"/>
      <c r="B56" s="923">
        <v>39</v>
      </c>
      <c r="C56" s="867" t="s">
        <v>1050</v>
      </c>
      <c r="D56" s="991"/>
      <c r="E56" s="867"/>
      <c r="F56" s="867"/>
      <c r="G56" s="867"/>
      <c r="H56" s="915"/>
      <c r="I56" s="1029" t="str">
        <f>INDEX(TEMPLATE_NUMBER_POINT_FHD,B56,MATCH(TEMPLATE_SPHERE,TEMPLATE_SPHERE_LIST_FOR_NOTE,0))</f>
        <v>5.1.1</v>
      </c>
      <c r="J56" s="1029" t="str">
        <f>INDEX(TEMPLATE_DATA_POINT_FHD,B56,MATCH(TEMPLATE_SPHERE,TEMPLATE_SPHERE_LIST_FOR_NOTE,0))</f>
        <v>Изменения стоимости основных фондов за счет их ввода в эксплуатацию</v>
      </c>
      <c r="K56" s="1029" t="str">
        <f>INDEX(TEMPLATE_NOTE_POINT_FHD,B56,MATCH(TEMPLATE_SPHERE,TEMPLATE_SPHERE_LIST_FOR_NOTE,0))</f>
        <v>Указываются изменение стоимости основных фондов за счет их ввода в эксплуатацию.</v>
      </c>
      <c r="L56" s="868" t="str">
        <f>IF(I56=0,"",I56)</f>
        <v>5.1.1</v>
      </c>
      <c r="M56" s="868" t="str">
        <f>IF(J56=0,"",J56)</f>
        <v>Изменения стоимости основных фондов за счет их ввода в эксплуатацию</v>
      </c>
      <c r="N56" s="868" t="str">
        <f>IF(K56=0,"",K56)</f>
        <v>Указываются изменение стоимости основных фондов за счет их ввода в эксплуатацию.</v>
      </c>
      <c r="O56" s="981" t="s">
        <v>1476</v>
      </c>
      <c r="P56" s="981" t="s">
        <v>854</v>
      </c>
      <c r="Q56" s="981" t="s">
        <v>854</v>
      </c>
      <c r="R56" s="981" t="s">
        <v>854</v>
      </c>
      <c r="S56" s="981"/>
      <c r="T56" s="86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67" t="s">
        <v>2480</v>
      </c>
      <c r="V56" s="867" t="s">
        <v>2480</v>
      </c>
      <c r="W56" s="867" t="s">
        <v>2480</v>
      </c>
      <c r="X56" s="867"/>
      <c r="Y56" s="1024"/>
      <c r="Z56" s="870" t="s">
        <v>856</v>
      </c>
      <c r="AA56" s="870" t="s">
        <v>856</v>
      </c>
      <c r="AB56" s="870" t="s">
        <v>856</v>
      </c>
      <c r="AC56" s="870" t="s">
        <v>856</v>
      </c>
      <c r="AD56" s="870"/>
    </row>
    <row customHeight="1" ht="27">
      <c r="A57" s="869"/>
      <c r="B57" s="923">
        <v>40</v>
      </c>
      <c r="C57" s="867" t="s">
        <v>1359</v>
      </c>
      <c r="D57" s="991"/>
      <c r="E57" s="867"/>
      <c r="F57" s="867"/>
      <c r="G57" s="867"/>
      <c r="H57" s="915"/>
      <c r="I57" s="1029" t="str">
        <f>INDEX(TEMPLATE_NUMBER_POINT_FHD,B57,MATCH(TEMPLATE_SPHERE,TEMPLATE_SPHERE_LIST_FOR_NOTE,0))</f>
        <v>5.1.2</v>
      </c>
      <c r="J57" s="1029" t="str">
        <f>INDEX(TEMPLATE_DATA_POINT_FHD,B57,MATCH(TEMPLATE_SPHERE,TEMPLATE_SPHERE_LIST_FOR_NOTE,0))</f>
        <v>Изменения стоимости основных фондов за счет их вывода в эксплуатацию</v>
      </c>
      <c r="K57" s="1029" t="str">
        <f>INDEX(TEMPLATE_NOTE_POINT_FHD,B57,MATCH(TEMPLATE_SPHERE,TEMPLATE_SPHERE_LIST_FOR_NOTE,0))</f>
        <v>Указываются изменение стоимости основных фондов за счет их вывода из эксплуатации.</v>
      </c>
      <c r="L57" s="868" t="str">
        <f>IF(I57=0,"",I57)</f>
        <v>5.1.2</v>
      </c>
      <c r="M57" s="868" t="str">
        <f>IF(J57=0,"",J57)</f>
        <v>Изменения стоимости основных фондов за счет их вывода в эксплуатацию</v>
      </c>
      <c r="N57" s="868" t="str">
        <f>IF(K57=0,"",K57)</f>
        <v>Указываются изменение стоимости основных фондов за счет их вывода из эксплуатации.</v>
      </c>
      <c r="O57" s="981" t="s">
        <v>2481</v>
      </c>
      <c r="P57" s="981" t="s">
        <v>857</v>
      </c>
      <c r="Q57" s="981" t="s">
        <v>857</v>
      </c>
      <c r="R57" s="981" t="s">
        <v>857</v>
      </c>
      <c r="S57" s="981"/>
      <c r="T57" s="86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67" t="s">
        <v>2482</v>
      </c>
      <c r="V57" s="867" t="s">
        <v>2482</v>
      </c>
      <c r="W57" s="867" t="s">
        <v>2482</v>
      </c>
      <c r="X57" s="867"/>
      <c r="Y57" s="1024"/>
      <c r="Z57" s="870" t="s">
        <v>859</v>
      </c>
      <c r="AA57" s="870" t="s">
        <v>859</v>
      </c>
      <c r="AB57" s="870" t="s">
        <v>859</v>
      </c>
      <c r="AC57" s="870" t="s">
        <v>859</v>
      </c>
      <c r="AD57" s="870"/>
    </row>
    <row customHeight="1" ht="18">
      <c r="A58" s="869"/>
      <c r="B58" s="923">
        <v>41</v>
      </c>
      <c r="C58" s="867">
        <v>2</v>
      </c>
      <c r="D58" s="991"/>
      <c r="E58" s="867"/>
      <c r="F58" s="867"/>
      <c r="G58" s="867"/>
      <c r="H58" s="915"/>
      <c r="I58" s="1029" t="str">
        <f>INDEX(TEMPLATE_NUMBER_POINT_FHD,B58,MATCH(TEMPLATE_SPHERE,TEMPLATE_SPHERE_LIST_FOR_NOTE,0))</f>
        <v>5.2</v>
      </c>
      <c r="J58" s="1029" t="str">
        <f>INDEX(TEMPLATE_DATA_POINT_FHD,B58,MATCH(TEMPLATE_SPHERE,TEMPLATE_SPHERE_LIST_FOR_NOTE,0))</f>
        <v>Изменение стоимости основных фондов за счет их переоценки</v>
      </c>
      <c r="K58" s="1029">
        <f>INDEX(TEMPLATE_NOTE_POINT_FHD,B58,MATCH(TEMPLATE_SPHERE,TEMPLATE_SPHERE_LIST_FOR_NOTE,0))</f>
        <v>0</v>
      </c>
      <c r="L58" s="868" t="str">
        <f>IF(I58=0,"",I58)</f>
        <v>5.2</v>
      </c>
      <c r="M58" s="868" t="str">
        <f>IF(J58=0,"",J58)</f>
        <v>Изменение стоимости основных фондов за счет их переоценки</v>
      </c>
      <c r="N58" s="868" t="str">
        <f>IF(K58=0,"",K58)</f>
        <v/>
      </c>
      <c r="O58" s="981" t="s">
        <v>979</v>
      </c>
      <c r="P58" s="981" t="s">
        <v>893</v>
      </c>
      <c r="Q58" s="981" t="s">
        <v>893</v>
      </c>
      <c r="R58" s="981" t="s">
        <v>893</v>
      </c>
      <c r="S58" s="981"/>
      <c r="T58" s="86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67" t="s">
        <v>2483</v>
      </c>
      <c r="V58" s="867" t="s">
        <v>2483</v>
      </c>
      <c r="W58" s="867" t="s">
        <v>2483</v>
      </c>
      <c r="X58" s="867"/>
      <c r="Y58" s="1024"/>
      <c r="Z58" s="870"/>
      <c r="AA58" s="873"/>
      <c r="AB58" s="870"/>
      <c r="AC58" s="870"/>
      <c r="AD58" s="870"/>
    </row>
    <row customHeight="1" ht="36">
      <c r="A59" s="869"/>
      <c r="B59" s="923">
        <v>42</v>
      </c>
      <c r="C59" s="867">
        <v>3</v>
      </c>
      <c r="D59" s="991" t="s">
        <v>2471</v>
      </c>
      <c r="E59" s="867" t="s">
        <v>2471</v>
      </c>
      <c r="F59" s="867" t="s">
        <v>2471</v>
      </c>
      <c r="G59" s="867"/>
      <c r="H59" s="915"/>
      <c r="I59" s="1029">
        <f>INDEX(TEMPLATE_NUMBER_POINT_FHD,B59,MATCH(TEMPLATE_SPHERE,TEMPLATE_SPHERE_LIST_FOR_NOTE,0))</f>
        <v>0</v>
      </c>
      <c r="J59" s="1029">
        <f>INDEX(TEMPLATE_DATA_POINT_FHD,B59,MATCH(TEMPLATE_SPHERE,TEMPLATE_SPHERE_LIST_FOR_NOTE,0))</f>
        <v>0</v>
      </c>
      <c r="K59" s="1029">
        <f>INDEX(TEMPLATE_NOTE_POINT_FHD,B59,MATCH(TEMPLATE_SPHERE,TEMPLATE_SPHERE_LIST_FOR_NOTE,0))</f>
        <v>0</v>
      </c>
      <c r="L59" s="868" t="str">
        <f>IF(I59=0,"",I59)</f>
        <v/>
      </c>
      <c r="M59" s="868" t="str">
        <f>IF(J59=0,"",J59)</f>
        <v/>
      </c>
      <c r="N59" s="868" t="str">
        <f>IF(K59=0,"",K59)</f>
        <v/>
      </c>
      <c r="O59" s="981"/>
      <c r="P59" s="981" t="s">
        <v>119</v>
      </c>
      <c r="Q59" s="981" t="s">
        <v>119</v>
      </c>
      <c r="R59" s="981" t="s">
        <v>119</v>
      </c>
      <c r="S59" s="981"/>
      <c r="T59" s="867"/>
      <c r="U59" s="867" t="s">
        <v>2484</v>
      </c>
      <c r="V59" s="867" t="s">
        <v>2485</v>
      </c>
      <c r="W59" s="867" t="s">
        <v>2486</v>
      </c>
      <c r="X59" s="867"/>
      <c r="Y59" s="1024"/>
      <c r="Z59" s="870"/>
      <c r="AA59" s="873"/>
      <c r="AB59" s="870"/>
      <c r="AC59" s="870"/>
      <c r="AD59" s="870"/>
    </row>
    <row customHeight="1" ht="81">
      <c r="A60" s="869"/>
      <c r="B60" s="923">
        <v>43</v>
      </c>
      <c r="C60" s="867" t="s">
        <v>2487</v>
      </c>
      <c r="D60" s="991" t="s">
        <v>2487</v>
      </c>
      <c r="E60" s="867" t="s">
        <v>2487</v>
      </c>
      <c r="F60" s="867" t="s">
        <v>2487</v>
      </c>
      <c r="G60" s="867"/>
      <c r="H60" s="915"/>
      <c r="I60" s="1029" t="str">
        <f>INDEX(TEMPLATE_NUMBER_POINT_FHD,B60,MATCH(TEMPLATE_SPHERE,TEMPLATE_SPHERE_LIST_FOR_NOTE,0))</f>
        <v>6</v>
      </c>
      <c r="J60" s="102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2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68" t="str">
        <f>IF(I60=0,"",I60)</f>
        <v>6</v>
      </c>
      <c r="M60" s="868" t="str">
        <f>IF(J60=0,"",J60)</f>
        <v>Годовая бухгалтерская (финансовая) отчетность, включая бухгалтерский баланс и приложения к нему</v>
      </c>
      <c r="N60" s="86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81" t="s">
        <v>92</v>
      </c>
      <c r="P60" s="981" t="s">
        <v>92</v>
      </c>
      <c r="Q60" s="981" t="s">
        <v>92</v>
      </c>
      <c r="R60" s="981" t="s">
        <v>92</v>
      </c>
      <c r="S60" s="981"/>
      <c r="T60" s="867" t="s">
        <v>727</v>
      </c>
      <c r="U60" s="867" t="s">
        <v>727</v>
      </c>
      <c r="V60" s="867" t="s">
        <v>727</v>
      </c>
      <c r="W60" s="867" t="s">
        <v>727</v>
      </c>
      <c r="X60" s="867"/>
      <c r="Y60" s="1024"/>
      <c r="Z60" s="870" t="s">
        <v>2488</v>
      </c>
      <c r="AA60" s="873" t="s">
        <v>2489</v>
      </c>
      <c r="AB60" s="870" t="s">
        <v>2490</v>
      </c>
      <c r="AC60" s="870" t="s">
        <v>2489</v>
      </c>
      <c r="AD60" s="870"/>
    </row>
    <row customHeight="1" ht="9">
      <c r="A61" s="869"/>
      <c r="B61" s="923">
        <v>44</v>
      </c>
      <c r="C61" s="867"/>
      <c r="D61" s="991" t="s">
        <v>2491</v>
      </c>
      <c r="E61" s="867"/>
      <c r="F61" s="867"/>
      <c r="G61" s="867"/>
      <c r="H61" s="915"/>
      <c r="I61" s="1029">
        <f>INDEX(TEMPLATE_NUMBER_POINT_FHD,B61,MATCH(TEMPLATE_SPHERE,TEMPLATE_SPHERE_LIST_FOR_NOTE,0))</f>
        <v>0</v>
      </c>
      <c r="J61" s="1029">
        <f>INDEX(TEMPLATE_DATA_POINT_FHD,B61,MATCH(TEMPLATE_SPHERE,TEMPLATE_SPHERE_LIST_FOR_NOTE,0))</f>
        <v>0</v>
      </c>
      <c r="K61" s="1029">
        <f>INDEX(TEMPLATE_NOTE_POINT_FHD,B61,MATCH(TEMPLATE_SPHERE,TEMPLATE_SPHERE_LIST_FOR_NOTE,0))</f>
        <v>0</v>
      </c>
      <c r="L61" s="868" t="str">
        <f>IF(I61=0,"",I61)</f>
        <v/>
      </c>
      <c r="M61" s="868" t="str">
        <f>IF(J61=0,"",J61)</f>
        <v/>
      </c>
      <c r="N61" s="868" t="str">
        <f>IF(K61=0,"",K61)</f>
        <v/>
      </c>
      <c r="O61" s="981"/>
      <c r="P61" s="981" t="s">
        <v>93</v>
      </c>
      <c r="Q61" s="981"/>
      <c r="R61" s="981"/>
      <c r="S61" s="981"/>
      <c r="T61" s="867"/>
      <c r="U61" s="867" t="s">
        <v>2492</v>
      </c>
      <c r="V61" s="867"/>
      <c r="W61" s="867"/>
      <c r="X61" s="867"/>
      <c r="Y61" s="1024"/>
      <c r="Z61" s="870"/>
      <c r="AA61" s="873"/>
      <c r="AB61" s="870"/>
      <c r="AC61" s="870"/>
      <c r="AD61" s="870"/>
    </row>
    <row customHeight="1" ht="9">
      <c r="A62" s="869"/>
      <c r="B62" s="923">
        <v>45</v>
      </c>
      <c r="C62" s="867"/>
      <c r="D62" s="991" t="s">
        <v>2493</v>
      </c>
      <c r="E62" s="867"/>
      <c r="F62" s="867"/>
      <c r="G62" s="867"/>
      <c r="H62" s="915"/>
      <c r="I62" s="1029">
        <f>INDEX(TEMPLATE_NUMBER_POINT_FHD,B62,MATCH(TEMPLATE_SPHERE,TEMPLATE_SPHERE_LIST_FOR_NOTE,0))</f>
        <v>0</v>
      </c>
      <c r="J62" s="1029">
        <f>INDEX(TEMPLATE_DATA_POINT_FHD,B62,MATCH(TEMPLATE_SPHERE,TEMPLATE_SPHERE_LIST_FOR_NOTE,0))</f>
        <v>0</v>
      </c>
      <c r="K62" s="1029">
        <f>INDEX(TEMPLATE_NOTE_POINT_FHD,B62,MATCH(TEMPLATE_SPHERE,TEMPLATE_SPHERE_LIST_FOR_NOTE,0))</f>
        <v>0</v>
      </c>
      <c r="L62" s="868" t="str">
        <f>IF(I62=0,"",I62)</f>
        <v/>
      </c>
      <c r="M62" s="868" t="str">
        <f>IF(J62=0,"",J62)</f>
        <v/>
      </c>
      <c r="N62" s="868" t="str">
        <f>IF(K62=0,"",K62)</f>
        <v/>
      </c>
      <c r="O62" s="981"/>
      <c r="P62" s="981" t="s">
        <v>143</v>
      </c>
      <c r="Q62" s="981"/>
      <c r="R62" s="981"/>
      <c r="S62" s="981"/>
      <c r="T62" s="867"/>
      <c r="U62" s="867" t="s">
        <v>2494</v>
      </c>
      <c r="V62" s="867"/>
      <c r="W62" s="867"/>
      <c r="X62" s="867"/>
      <c r="Y62" s="1024"/>
      <c r="Z62" s="870"/>
      <c r="AA62" s="873"/>
      <c r="AB62" s="870"/>
      <c r="AC62" s="870"/>
      <c r="AD62" s="870"/>
    </row>
    <row customHeight="1" ht="18">
      <c r="A63" s="869"/>
      <c r="B63" s="923">
        <v>46</v>
      </c>
      <c r="C63" s="867"/>
      <c r="D63" s="991" t="s">
        <v>2495</v>
      </c>
      <c r="E63" s="867"/>
      <c r="F63" s="867"/>
      <c r="G63" s="867"/>
      <c r="H63" s="915"/>
      <c r="I63" s="1029">
        <f>INDEX(TEMPLATE_NUMBER_POINT_FHD,B63,MATCH(TEMPLATE_SPHERE,TEMPLATE_SPHERE_LIST_FOR_NOTE,0))</f>
        <v>0</v>
      </c>
      <c r="J63" s="1029">
        <f>INDEX(TEMPLATE_DATA_POINT_FHD,B63,MATCH(TEMPLATE_SPHERE,TEMPLATE_SPHERE_LIST_FOR_NOTE,0))</f>
        <v>0</v>
      </c>
      <c r="K63" s="1029">
        <f>INDEX(TEMPLATE_NOTE_POINT_FHD,B63,MATCH(TEMPLATE_SPHERE,TEMPLATE_SPHERE_LIST_FOR_NOTE,0))</f>
        <v>0</v>
      </c>
      <c r="L63" s="868" t="str">
        <f>IF(I63=0,"",I63)</f>
        <v/>
      </c>
      <c r="M63" s="868" t="str">
        <f>IF(J63=0,"",J63)</f>
        <v/>
      </c>
      <c r="N63" s="868" t="str">
        <f>IF(K63=0,"",K63)</f>
        <v/>
      </c>
      <c r="O63" s="981"/>
      <c r="P63" s="981" t="s">
        <v>145</v>
      </c>
      <c r="Q63" s="981"/>
      <c r="R63" s="981"/>
      <c r="S63" s="981"/>
      <c r="T63" s="867"/>
      <c r="U63" s="867" t="s">
        <v>2496</v>
      </c>
      <c r="V63" s="867"/>
      <c r="W63" s="867"/>
      <c r="X63" s="867"/>
      <c r="Y63" s="1024"/>
      <c r="Z63" s="870"/>
      <c r="AA63" s="873"/>
      <c r="AB63" s="870"/>
      <c r="AC63" s="870"/>
      <c r="AD63" s="870"/>
    </row>
    <row customHeight="1" ht="18">
      <c r="A64" s="869"/>
      <c r="B64" s="923">
        <v>47</v>
      </c>
      <c r="C64" s="867"/>
      <c r="D64" s="991" t="s">
        <v>2497</v>
      </c>
      <c r="E64" s="867"/>
      <c r="F64" s="867"/>
      <c r="G64" s="867"/>
      <c r="H64" s="915"/>
      <c r="I64" s="1029">
        <f>INDEX(TEMPLATE_NUMBER_POINT_FHD,B64,MATCH(TEMPLATE_SPHERE,TEMPLATE_SPHERE_LIST_FOR_NOTE,0))</f>
        <v>0</v>
      </c>
      <c r="J64" s="1029">
        <f>INDEX(TEMPLATE_DATA_POINT_FHD,B64,MATCH(TEMPLATE_SPHERE,TEMPLATE_SPHERE_LIST_FOR_NOTE,0))</f>
        <v>0</v>
      </c>
      <c r="K64" s="1029">
        <f>INDEX(TEMPLATE_NOTE_POINT_FHD,B64,MATCH(TEMPLATE_SPHERE,TEMPLATE_SPHERE_LIST_FOR_NOTE,0))</f>
        <v>0</v>
      </c>
      <c r="L64" s="868" t="str">
        <f>IF(I64=0,"",I64)</f>
        <v/>
      </c>
      <c r="M64" s="868" t="str">
        <f>IF(J64=0,"",J64)</f>
        <v/>
      </c>
      <c r="N64" s="868" t="str">
        <f>IF(K64=0,"",K64)</f>
        <v/>
      </c>
      <c r="O64" s="981"/>
      <c r="P64" s="981" t="s">
        <v>156</v>
      </c>
      <c r="Q64" s="981"/>
      <c r="R64" s="981"/>
      <c r="S64" s="981"/>
      <c r="T64" s="867"/>
      <c r="U64" s="867" t="s">
        <v>2498</v>
      </c>
      <c r="V64" s="867"/>
      <c r="W64" s="867"/>
      <c r="X64" s="867"/>
      <c r="Y64" s="1024"/>
      <c r="Z64" s="870"/>
      <c r="AA64" s="873" t="s">
        <v>2499</v>
      </c>
      <c r="AB64" s="870"/>
      <c r="AC64" s="870"/>
      <c r="AD64" s="870"/>
    </row>
    <row customHeight="1" ht="18">
      <c r="A65" s="869"/>
      <c r="B65" s="923">
        <v>48</v>
      </c>
      <c r="C65" s="867"/>
      <c r="D65" s="991"/>
      <c r="E65" s="867"/>
      <c r="F65" s="867"/>
      <c r="G65" s="867"/>
      <c r="H65" s="915"/>
      <c r="I65" s="1029">
        <f>INDEX(TEMPLATE_NUMBER_POINT_FHD,B65,MATCH(TEMPLATE_SPHERE,TEMPLATE_SPHERE_LIST_FOR_NOTE,0))</f>
        <v>0</v>
      </c>
      <c r="J65" s="1029">
        <f>INDEX(TEMPLATE_DATA_POINT_FHD,B65,MATCH(TEMPLATE_SPHERE,TEMPLATE_SPHERE_LIST_FOR_NOTE,0))</f>
        <v>0</v>
      </c>
      <c r="K65" s="1029">
        <f>INDEX(TEMPLATE_NOTE_POINT_FHD,B65,MATCH(TEMPLATE_SPHERE,TEMPLATE_SPHERE_LIST_FOR_NOTE,0))</f>
        <v>0</v>
      </c>
      <c r="L65" s="868" t="str">
        <f>IF(I65=0,"",I65)</f>
        <v/>
      </c>
      <c r="M65" s="868" t="str">
        <f>IF(J65=0,"",J65)</f>
        <v/>
      </c>
      <c r="N65" s="868" t="str">
        <f>IF(K65=0,"",K65)</f>
        <v/>
      </c>
      <c r="O65" s="981"/>
      <c r="P65" s="981" t="s">
        <v>2412</v>
      </c>
      <c r="Q65" s="981"/>
      <c r="R65" s="981"/>
      <c r="S65" s="981"/>
      <c r="T65" s="867"/>
      <c r="U65" s="867" t="s">
        <v>2500</v>
      </c>
      <c r="V65" s="867"/>
      <c r="W65" s="867"/>
      <c r="X65" s="867"/>
      <c r="Y65" s="1024"/>
      <c r="Z65" s="870"/>
      <c r="AA65" s="873"/>
      <c r="AB65" s="870"/>
      <c r="AC65" s="870"/>
      <c r="AD65" s="870"/>
    </row>
    <row customHeight="1" ht="18">
      <c r="A66" s="869"/>
      <c r="B66" s="923">
        <v>49</v>
      </c>
      <c r="C66" s="867"/>
      <c r="D66" s="991"/>
      <c r="E66" s="867"/>
      <c r="F66" s="867"/>
      <c r="G66" s="867"/>
      <c r="H66" s="915"/>
      <c r="I66" s="1029">
        <f>INDEX(TEMPLATE_NUMBER_POINT_FHD,B66,MATCH(TEMPLATE_SPHERE,TEMPLATE_SPHERE_LIST_FOR_NOTE,0))</f>
        <v>0</v>
      </c>
      <c r="J66" s="1029">
        <f>INDEX(TEMPLATE_DATA_POINT_FHD,B66,MATCH(TEMPLATE_SPHERE,TEMPLATE_SPHERE_LIST_FOR_NOTE,0))</f>
        <v>0</v>
      </c>
      <c r="K66" s="1029">
        <f>INDEX(TEMPLATE_NOTE_POINT_FHD,B66,MATCH(TEMPLATE_SPHERE,TEMPLATE_SPHERE_LIST_FOR_NOTE,0))</f>
        <v>0</v>
      </c>
      <c r="L66" s="868" t="str">
        <f>IF(I66=0,"",I66)</f>
        <v/>
      </c>
      <c r="M66" s="868" t="str">
        <f>IF(J66=0,"",J66)</f>
        <v/>
      </c>
      <c r="N66" s="868" t="str">
        <f>IF(K66=0,"",K66)</f>
        <v/>
      </c>
      <c r="O66" s="981"/>
      <c r="P66" s="981" t="s">
        <v>2416</v>
      </c>
      <c r="Q66" s="981"/>
      <c r="R66" s="981"/>
      <c r="S66" s="981"/>
      <c r="T66" s="867"/>
      <c r="U66" s="867" t="s">
        <v>2501</v>
      </c>
      <c r="V66" s="867"/>
      <c r="W66" s="867"/>
      <c r="X66" s="867"/>
      <c r="Y66" s="1024"/>
      <c r="Z66" s="870"/>
      <c r="AA66" s="873"/>
      <c r="AB66" s="870"/>
      <c r="AC66" s="870"/>
      <c r="AD66" s="870"/>
    </row>
    <row customHeight="1" ht="27">
      <c r="A67" s="869"/>
      <c r="B67" s="923">
        <v>50</v>
      </c>
      <c r="C67" s="867"/>
      <c r="D67" s="991"/>
      <c r="E67" s="867"/>
      <c r="F67" s="867"/>
      <c r="G67" s="867"/>
      <c r="H67" s="915"/>
      <c r="I67" s="1029">
        <f>INDEX(TEMPLATE_NUMBER_POINT_FHD,B67,MATCH(TEMPLATE_SPHERE,TEMPLATE_SPHERE_LIST_FOR_NOTE,0))</f>
        <v>0</v>
      </c>
      <c r="J67" s="1029">
        <f>INDEX(TEMPLATE_DATA_POINT_FHD,B67,MATCH(TEMPLATE_SPHERE,TEMPLATE_SPHERE_LIST_FOR_NOTE,0))</f>
        <v>0</v>
      </c>
      <c r="K67" s="1029">
        <f>INDEX(TEMPLATE_NOTE_POINT_FHD,B67,MATCH(TEMPLATE_SPHERE,TEMPLATE_SPHERE_LIST_FOR_NOTE,0))</f>
        <v>0</v>
      </c>
      <c r="L67" s="868" t="str">
        <f>IF(I67=0,"",I67)</f>
        <v/>
      </c>
      <c r="M67" s="868" t="str">
        <f>IF(J67=0,"",J67)</f>
        <v/>
      </c>
      <c r="N67" s="868" t="str">
        <f>IF(K67=0,"",K67)</f>
        <v/>
      </c>
      <c r="O67" s="981"/>
      <c r="P67" s="981" t="s">
        <v>2502</v>
      </c>
      <c r="Q67" s="981"/>
      <c r="R67" s="981"/>
      <c r="S67" s="981"/>
      <c r="T67" s="867"/>
      <c r="U67" s="867" t="s">
        <v>2503</v>
      </c>
      <c r="V67" s="867"/>
      <c r="W67" s="867"/>
      <c r="X67" s="867"/>
      <c r="Y67" s="1024"/>
      <c r="Z67" s="870"/>
      <c r="AA67" s="873"/>
      <c r="AB67" s="870"/>
      <c r="AC67" s="870"/>
      <c r="AD67" s="870"/>
    </row>
    <row customHeight="1" ht="27">
      <c r="A68" s="869"/>
      <c r="B68" s="923">
        <v>51</v>
      </c>
      <c r="C68" s="867"/>
      <c r="D68" s="991"/>
      <c r="E68" s="867"/>
      <c r="F68" s="867"/>
      <c r="G68" s="867"/>
      <c r="H68" s="915"/>
      <c r="I68" s="1029">
        <f>INDEX(TEMPLATE_NUMBER_POINT_FHD,B68,MATCH(TEMPLATE_SPHERE,TEMPLATE_SPHERE_LIST_FOR_NOTE,0))</f>
        <v>0</v>
      </c>
      <c r="J68" s="1029">
        <f>INDEX(TEMPLATE_DATA_POINT_FHD,B68,MATCH(TEMPLATE_SPHERE,TEMPLATE_SPHERE_LIST_FOR_NOTE,0))</f>
        <v>0</v>
      </c>
      <c r="K68" s="1029">
        <f>INDEX(TEMPLATE_NOTE_POINT_FHD,B68,MATCH(TEMPLATE_SPHERE,TEMPLATE_SPHERE_LIST_FOR_NOTE,0))</f>
        <v>0</v>
      </c>
      <c r="L68" s="868" t="str">
        <f>IF(I68=0,"",I68)</f>
        <v/>
      </c>
      <c r="M68" s="868" t="str">
        <f>IF(J68=0,"",J68)</f>
        <v/>
      </c>
      <c r="N68" s="868" t="str">
        <f>IF(K68=0,"",K68)</f>
        <v/>
      </c>
      <c r="O68" s="981"/>
      <c r="P68" s="981" t="s">
        <v>2504</v>
      </c>
      <c r="Q68" s="981"/>
      <c r="R68" s="981"/>
      <c r="S68" s="981"/>
      <c r="T68" s="867"/>
      <c r="U68" s="867" t="s">
        <v>2505</v>
      </c>
      <c r="V68" s="867"/>
      <c r="W68" s="867"/>
      <c r="X68" s="867"/>
      <c r="Y68" s="1024"/>
      <c r="Z68" s="870"/>
      <c r="AA68" s="873"/>
      <c r="AB68" s="870"/>
      <c r="AC68" s="870"/>
      <c r="AD68" s="870"/>
    </row>
    <row customHeight="1" ht="9">
      <c r="A69" s="869"/>
      <c r="B69" s="923">
        <v>52</v>
      </c>
      <c r="C69" s="867"/>
      <c r="D69" s="991" t="s">
        <v>2506</v>
      </c>
      <c r="E69" s="867"/>
      <c r="F69" s="867"/>
      <c r="G69" s="867"/>
      <c r="H69" s="915"/>
      <c r="I69" s="1029">
        <f>INDEX(TEMPLATE_NUMBER_POINT_FHD,B69,MATCH(TEMPLATE_SPHERE,TEMPLATE_SPHERE_LIST_FOR_NOTE,0))</f>
        <v>0</v>
      </c>
      <c r="J69" s="1029">
        <f>INDEX(TEMPLATE_DATA_POINT_FHD,B69,MATCH(TEMPLATE_SPHERE,TEMPLATE_SPHERE_LIST_FOR_NOTE,0))</f>
        <v>0</v>
      </c>
      <c r="K69" s="1029">
        <f>INDEX(TEMPLATE_NOTE_POINT_FHD,B69,MATCH(TEMPLATE_SPHERE,TEMPLATE_SPHERE_LIST_FOR_NOTE,0))</f>
        <v>0</v>
      </c>
      <c r="L69" s="868" t="str">
        <f>IF(I69=0,"",I69)</f>
        <v/>
      </c>
      <c r="M69" s="868" t="str">
        <f>IF(J69=0,"",J69)</f>
        <v/>
      </c>
      <c r="N69" s="868" t="str">
        <f>IF(K69=0,"",K69)</f>
        <v/>
      </c>
      <c r="O69" s="981"/>
      <c r="P69" s="981" t="s">
        <v>236</v>
      </c>
      <c r="Q69" s="981"/>
      <c r="R69" s="981"/>
      <c r="S69" s="981"/>
      <c r="T69" s="867"/>
      <c r="U69" s="867" t="s">
        <v>2507</v>
      </c>
      <c r="V69" s="867"/>
      <c r="W69" s="867"/>
      <c r="X69" s="867"/>
      <c r="Y69" s="1024"/>
      <c r="Z69" s="870"/>
      <c r="AA69" s="873"/>
      <c r="AB69" s="870"/>
      <c r="AC69" s="870"/>
      <c r="AD69" s="870"/>
    </row>
    <row customHeight="1" ht="27">
      <c r="A70" s="869"/>
      <c r="B70" s="923">
        <v>53</v>
      </c>
      <c r="C70" s="867"/>
      <c r="D70" s="991"/>
      <c r="E70" s="867" t="s">
        <v>2491</v>
      </c>
      <c r="F70" s="867"/>
      <c r="G70" s="867"/>
      <c r="H70" s="915"/>
      <c r="I70" s="1029">
        <f>INDEX(TEMPLATE_NUMBER_POINT_FHD,B70,MATCH(TEMPLATE_SPHERE,TEMPLATE_SPHERE_LIST_FOR_NOTE,0))</f>
        <v>0</v>
      </c>
      <c r="J70" s="1029">
        <f>INDEX(TEMPLATE_DATA_POINT_FHD,B70,MATCH(TEMPLATE_SPHERE,TEMPLATE_SPHERE_LIST_FOR_NOTE,0))</f>
        <v>0</v>
      </c>
      <c r="K70" s="1029">
        <f>INDEX(TEMPLATE_NOTE_POINT_FHD,B70,MATCH(TEMPLATE_SPHERE,TEMPLATE_SPHERE_LIST_FOR_NOTE,0))</f>
        <v>0</v>
      </c>
      <c r="L70" s="868" t="str">
        <f>IF(I70=0,"",I70)</f>
        <v/>
      </c>
      <c r="M70" s="868" t="str">
        <f>IF(J70=0,"",J70)</f>
        <v/>
      </c>
      <c r="N70" s="868" t="str">
        <f>IF(K70=0,"",K70)</f>
        <v/>
      </c>
      <c r="O70" s="981"/>
      <c r="P70" s="981"/>
      <c r="Q70" s="981" t="s">
        <v>93</v>
      </c>
      <c r="R70" s="981"/>
      <c r="S70" s="981"/>
      <c r="T70" s="867"/>
      <c r="U70" s="867"/>
      <c r="V70" s="867" t="s">
        <v>2508</v>
      </c>
      <c r="W70" s="867"/>
      <c r="X70" s="867"/>
      <c r="Y70" s="1024"/>
      <c r="Z70" s="870"/>
      <c r="AA70" s="873"/>
      <c r="AB70" s="870"/>
      <c r="AC70" s="870"/>
      <c r="AD70" s="870"/>
    </row>
    <row customHeight="1" ht="36">
      <c r="A71" s="869"/>
      <c r="B71" s="923">
        <v>54</v>
      </c>
      <c r="C71" s="867"/>
      <c r="D71" s="991"/>
      <c r="E71" s="867" t="s">
        <v>2493</v>
      </c>
      <c r="F71" s="867"/>
      <c r="G71" s="867"/>
      <c r="H71" s="915"/>
      <c r="I71" s="1029">
        <f>INDEX(TEMPLATE_NUMBER_POINT_FHD,B71,MATCH(TEMPLATE_SPHERE,TEMPLATE_SPHERE_LIST_FOR_NOTE,0))</f>
        <v>0</v>
      </c>
      <c r="J71" s="1029">
        <f>INDEX(TEMPLATE_DATA_POINT_FHD,B71,MATCH(TEMPLATE_SPHERE,TEMPLATE_SPHERE_LIST_FOR_NOTE,0))</f>
        <v>0</v>
      </c>
      <c r="K71" s="1029">
        <f>INDEX(TEMPLATE_NOTE_POINT_FHD,B71,MATCH(TEMPLATE_SPHERE,TEMPLATE_SPHERE_LIST_FOR_NOTE,0))</f>
        <v>0</v>
      </c>
      <c r="L71" s="868" t="str">
        <f>IF(I71=0,"",I71)</f>
        <v/>
      </c>
      <c r="M71" s="868" t="str">
        <f>IF(J71=0,"",J71)</f>
        <v/>
      </c>
      <c r="N71" s="868" t="str">
        <f>IF(K71=0,"",K71)</f>
        <v/>
      </c>
      <c r="O71" s="981"/>
      <c r="P71" s="981"/>
      <c r="Q71" s="981" t="s">
        <v>143</v>
      </c>
      <c r="R71" s="981"/>
      <c r="S71" s="981"/>
      <c r="T71" s="867"/>
      <c r="U71" s="867"/>
      <c r="V71" s="867" t="s">
        <v>2509</v>
      </c>
      <c r="W71" s="867"/>
      <c r="X71" s="867"/>
      <c r="Y71" s="1024"/>
      <c r="Z71" s="870"/>
      <c r="AA71" s="873"/>
      <c r="AB71" s="870"/>
      <c r="AC71" s="870"/>
      <c r="AD71" s="870"/>
    </row>
    <row customHeight="1" ht="27">
      <c r="A72" s="869"/>
      <c r="B72" s="923">
        <v>55</v>
      </c>
      <c r="C72" s="867"/>
      <c r="D72" s="991"/>
      <c r="E72" s="867" t="s">
        <v>2495</v>
      </c>
      <c r="F72" s="867"/>
      <c r="G72" s="867"/>
      <c r="H72" s="915"/>
      <c r="I72" s="1029">
        <f>INDEX(TEMPLATE_NUMBER_POINT_FHD,B72,MATCH(TEMPLATE_SPHERE,TEMPLATE_SPHERE_LIST_FOR_NOTE,0))</f>
        <v>0</v>
      </c>
      <c r="J72" s="1029">
        <f>INDEX(TEMPLATE_DATA_POINT_FHD,B72,MATCH(TEMPLATE_SPHERE,TEMPLATE_SPHERE_LIST_FOR_NOTE,0))</f>
        <v>0</v>
      </c>
      <c r="K72" s="1029">
        <f>INDEX(TEMPLATE_NOTE_POINT_FHD,B72,MATCH(TEMPLATE_SPHERE,TEMPLATE_SPHERE_LIST_FOR_NOTE,0))</f>
        <v>0</v>
      </c>
      <c r="L72" s="868" t="str">
        <f>IF(I72=0,"",I72)</f>
        <v/>
      </c>
      <c r="M72" s="868" t="str">
        <f>IF(J72=0,"",J72)</f>
        <v/>
      </c>
      <c r="N72" s="868" t="str">
        <f>IF(K72=0,"",K72)</f>
        <v/>
      </c>
      <c r="O72" s="981"/>
      <c r="P72" s="981"/>
      <c r="Q72" s="981" t="s">
        <v>145</v>
      </c>
      <c r="R72" s="981"/>
      <c r="S72" s="981"/>
      <c r="T72" s="867"/>
      <c r="U72" s="867"/>
      <c r="V72" s="867" t="s">
        <v>2510</v>
      </c>
      <c r="W72" s="867"/>
      <c r="X72" s="867"/>
      <c r="Y72" s="1024"/>
      <c r="Z72" s="870"/>
      <c r="AA72" s="873"/>
      <c r="AB72" s="870"/>
      <c r="AC72" s="870"/>
      <c r="AD72" s="870"/>
    </row>
    <row customHeight="1" ht="36">
      <c r="A73" s="869"/>
      <c r="B73" s="923">
        <v>56</v>
      </c>
      <c r="C73" s="867"/>
      <c r="D73" s="991"/>
      <c r="E73" s="867" t="s">
        <v>2497</v>
      </c>
      <c r="F73" s="867"/>
      <c r="G73" s="867"/>
      <c r="H73" s="915"/>
      <c r="I73" s="1029">
        <f>INDEX(TEMPLATE_NUMBER_POINT_FHD,B73,MATCH(TEMPLATE_SPHERE,TEMPLATE_SPHERE_LIST_FOR_NOTE,0))</f>
        <v>0</v>
      </c>
      <c r="J73" s="1029">
        <f>INDEX(TEMPLATE_DATA_POINT_FHD,B73,MATCH(TEMPLATE_SPHERE,TEMPLATE_SPHERE_LIST_FOR_NOTE,0))</f>
        <v>0</v>
      </c>
      <c r="K73" s="1029">
        <f>INDEX(TEMPLATE_NOTE_POINT_FHD,B73,MATCH(TEMPLATE_SPHERE,TEMPLATE_SPHERE_LIST_FOR_NOTE,0))</f>
        <v>0</v>
      </c>
      <c r="L73" s="868" t="str">
        <f>IF(I73=0,"",I73)</f>
        <v/>
      </c>
      <c r="M73" s="868" t="str">
        <f>IF(J73=0,"",J73)</f>
        <v/>
      </c>
      <c r="N73" s="868" t="str">
        <f>IF(K73=0,"",K73)</f>
        <v/>
      </c>
      <c r="O73" s="981"/>
      <c r="P73" s="981"/>
      <c r="Q73" s="981" t="s">
        <v>156</v>
      </c>
      <c r="R73" s="981"/>
      <c r="S73" s="981"/>
      <c r="T73" s="867"/>
      <c r="U73" s="867"/>
      <c r="V73" s="867" t="s">
        <v>2511</v>
      </c>
      <c r="W73" s="867"/>
      <c r="X73" s="867"/>
      <c r="Y73" s="1024"/>
      <c r="Z73" s="870"/>
      <c r="AA73" s="873"/>
      <c r="AB73" s="870"/>
      <c r="AC73" s="870"/>
      <c r="AD73" s="870"/>
    </row>
    <row customHeight="1" ht="18">
      <c r="A74" s="869"/>
      <c r="B74" s="923">
        <v>57</v>
      </c>
      <c r="C74" s="867"/>
      <c r="D74" s="991"/>
      <c r="E74" s="867" t="s">
        <v>2506</v>
      </c>
      <c r="F74" s="867"/>
      <c r="G74" s="867"/>
      <c r="H74" s="915"/>
      <c r="I74" s="1029">
        <f>INDEX(TEMPLATE_NUMBER_POINT_FHD,B74,MATCH(TEMPLATE_SPHERE,TEMPLATE_SPHERE_LIST_FOR_NOTE,0))</f>
        <v>0</v>
      </c>
      <c r="J74" s="1029">
        <f>INDEX(TEMPLATE_DATA_POINT_FHD,B74,MATCH(TEMPLATE_SPHERE,TEMPLATE_SPHERE_LIST_FOR_NOTE,0))</f>
        <v>0</v>
      </c>
      <c r="K74" s="1029">
        <f>INDEX(TEMPLATE_NOTE_POINT_FHD,B74,MATCH(TEMPLATE_SPHERE,TEMPLATE_SPHERE_LIST_FOR_NOTE,0))</f>
        <v>0</v>
      </c>
      <c r="L74" s="868" t="str">
        <f>IF(I74=0,"",I74)</f>
        <v/>
      </c>
      <c r="M74" s="868" t="str">
        <f>IF(J74=0,"",J74)</f>
        <v/>
      </c>
      <c r="N74" s="868" t="str">
        <f>IF(K74=0,"",K74)</f>
        <v/>
      </c>
      <c r="O74" s="981"/>
      <c r="P74" s="981"/>
      <c r="Q74" s="981" t="s">
        <v>236</v>
      </c>
      <c r="R74" s="981"/>
      <c r="S74" s="981"/>
      <c r="T74" s="867"/>
      <c r="U74" s="867"/>
      <c r="V74" s="867" t="s">
        <v>2512</v>
      </c>
      <c r="W74" s="867"/>
      <c r="X74" s="867"/>
      <c r="Y74" s="1024"/>
      <c r="Z74" s="870"/>
      <c r="AA74" s="873"/>
      <c r="AB74" s="870"/>
      <c r="AC74" s="870"/>
      <c r="AD74" s="870"/>
    </row>
    <row customHeight="1" ht="18">
      <c r="A75" s="869"/>
      <c r="B75" s="923">
        <v>58</v>
      </c>
      <c r="C75" s="867"/>
      <c r="D75" s="991"/>
      <c r="E75" s="867"/>
      <c r="F75" s="867" t="s">
        <v>2491</v>
      </c>
      <c r="G75" s="867"/>
      <c r="H75" s="915"/>
      <c r="I75" s="1029">
        <f>INDEX(TEMPLATE_NUMBER_POINT_FHD,B75,MATCH(TEMPLATE_SPHERE,TEMPLATE_SPHERE_LIST_FOR_NOTE,0))</f>
        <v>0</v>
      </c>
      <c r="J75" s="1029">
        <f>INDEX(TEMPLATE_DATA_POINT_FHD,B75,MATCH(TEMPLATE_SPHERE,TEMPLATE_SPHERE_LIST_FOR_NOTE,0))</f>
        <v>0</v>
      </c>
      <c r="K75" s="1029">
        <f>INDEX(TEMPLATE_NOTE_POINT_FHD,B75,MATCH(TEMPLATE_SPHERE,TEMPLATE_SPHERE_LIST_FOR_NOTE,0))</f>
        <v>0</v>
      </c>
      <c r="L75" s="868" t="str">
        <f>IF(I75=0,"",I75)</f>
        <v/>
      </c>
      <c r="M75" s="868" t="str">
        <f>IF(J75=0,"",J75)</f>
        <v/>
      </c>
      <c r="N75" s="868" t="str">
        <f>IF(K75=0,"",K75)</f>
        <v/>
      </c>
      <c r="O75" s="981"/>
      <c r="P75" s="981"/>
      <c r="Q75" s="981"/>
      <c r="R75" s="981" t="s">
        <v>93</v>
      </c>
      <c r="S75" s="981"/>
      <c r="T75" s="867"/>
      <c r="U75" s="867"/>
      <c r="V75" s="867"/>
      <c r="W75" s="867" t="s">
        <v>2513</v>
      </c>
      <c r="X75" s="867"/>
      <c r="Y75" s="1024"/>
      <c r="Z75" s="870"/>
      <c r="AA75" s="873"/>
      <c r="AB75" s="870"/>
      <c r="AC75" s="870"/>
      <c r="AD75" s="870"/>
    </row>
    <row customHeight="1" ht="36">
      <c r="A76" s="869"/>
      <c r="B76" s="923">
        <v>59</v>
      </c>
      <c r="C76" s="867"/>
      <c r="D76" s="991"/>
      <c r="E76" s="867"/>
      <c r="F76" s="867" t="s">
        <v>2493</v>
      </c>
      <c r="G76" s="867"/>
      <c r="H76" s="915"/>
      <c r="I76" s="1029">
        <f>INDEX(TEMPLATE_NUMBER_POINT_FHD,B76,MATCH(TEMPLATE_SPHERE,TEMPLATE_SPHERE_LIST_FOR_NOTE,0))</f>
        <v>0</v>
      </c>
      <c r="J76" s="1029">
        <f>INDEX(TEMPLATE_DATA_POINT_FHD,B76,MATCH(TEMPLATE_SPHERE,TEMPLATE_SPHERE_LIST_FOR_NOTE,0))</f>
        <v>0</v>
      </c>
      <c r="K76" s="1029">
        <f>INDEX(TEMPLATE_NOTE_POINT_FHD,B76,MATCH(TEMPLATE_SPHERE,TEMPLATE_SPHERE_LIST_FOR_NOTE,0))</f>
        <v>0</v>
      </c>
      <c r="L76" s="868" t="str">
        <f>IF(I76=0,"",I76)</f>
        <v/>
      </c>
      <c r="M76" s="868" t="str">
        <f>IF(J76=0,"",J76)</f>
        <v/>
      </c>
      <c r="N76" s="868" t="str">
        <f>IF(K76=0,"",K76)</f>
        <v/>
      </c>
      <c r="O76" s="981"/>
      <c r="P76" s="981"/>
      <c r="Q76" s="981"/>
      <c r="R76" s="981" t="s">
        <v>143</v>
      </c>
      <c r="S76" s="981"/>
      <c r="T76" s="867"/>
      <c r="U76" s="867"/>
      <c r="V76" s="867"/>
      <c r="W76" s="867" t="s">
        <v>2514</v>
      </c>
      <c r="X76" s="867"/>
      <c r="Y76" s="1024"/>
      <c r="Z76" s="870"/>
      <c r="AA76" s="873"/>
      <c r="AB76" s="870"/>
      <c r="AC76" s="870"/>
      <c r="AD76" s="870"/>
    </row>
    <row customHeight="1" ht="18">
      <c r="A77" s="869"/>
      <c r="B77" s="923">
        <v>60</v>
      </c>
      <c r="C77" s="867"/>
      <c r="D77" s="991"/>
      <c r="E77" s="867"/>
      <c r="F77" s="867" t="s">
        <v>2495</v>
      </c>
      <c r="G77" s="867"/>
      <c r="H77" s="915"/>
      <c r="I77" s="1029">
        <f>INDEX(TEMPLATE_NUMBER_POINT_FHD,B77,MATCH(TEMPLATE_SPHERE,TEMPLATE_SPHERE_LIST_FOR_NOTE,0))</f>
        <v>0</v>
      </c>
      <c r="J77" s="1029">
        <f>INDEX(TEMPLATE_DATA_POINT_FHD,B77,MATCH(TEMPLATE_SPHERE,TEMPLATE_SPHERE_LIST_FOR_NOTE,0))</f>
        <v>0</v>
      </c>
      <c r="K77" s="1029">
        <f>INDEX(TEMPLATE_NOTE_POINT_FHD,B77,MATCH(TEMPLATE_SPHERE,TEMPLATE_SPHERE_LIST_FOR_NOTE,0))</f>
        <v>0</v>
      </c>
      <c r="L77" s="868" t="str">
        <f>IF(I77=0,"",I77)</f>
        <v/>
      </c>
      <c r="M77" s="868" t="str">
        <f>IF(J77=0,"",J77)</f>
        <v/>
      </c>
      <c r="N77" s="868" t="str">
        <f>IF(K77=0,"",K77)</f>
        <v/>
      </c>
      <c r="O77" s="981"/>
      <c r="P77" s="981"/>
      <c r="Q77" s="981"/>
      <c r="R77" s="981" t="s">
        <v>145</v>
      </c>
      <c r="S77" s="981"/>
      <c r="T77" s="867"/>
      <c r="U77" s="867"/>
      <c r="V77" s="867"/>
      <c r="W77" s="867" t="s">
        <v>2515</v>
      </c>
      <c r="X77" s="867"/>
      <c r="Y77" s="1024"/>
      <c r="Z77" s="870"/>
      <c r="AA77" s="873"/>
      <c r="AB77" s="870"/>
      <c r="AC77" s="870"/>
      <c r="AD77" s="870"/>
    </row>
    <row customHeight="1" ht="72">
      <c r="A78" s="869"/>
      <c r="B78" s="923">
        <v>61</v>
      </c>
      <c r="C78" s="867" t="s">
        <v>2491</v>
      </c>
      <c r="D78" s="991"/>
      <c r="E78" s="867"/>
      <c r="F78" s="867"/>
      <c r="G78" s="867"/>
      <c r="H78" s="915"/>
      <c r="I78" s="1029" t="str">
        <f>INDEX(TEMPLATE_NUMBER_POINT_FHD,B78,MATCH(TEMPLATE_SPHERE,TEMPLATE_SPHERE_LIST_FOR_NOTE,0))</f>
        <v>7</v>
      </c>
      <c r="J78" s="102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2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68" t="str">
        <f>IF(I78=0,"",I78)</f>
        <v>7</v>
      </c>
      <c r="M78" s="86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6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81" t="s">
        <v>93</v>
      </c>
      <c r="P78" s="981"/>
      <c r="Q78" s="981"/>
      <c r="R78" s="981"/>
      <c r="S78" s="981"/>
      <c r="T78" s="867" t="s">
        <v>732</v>
      </c>
      <c r="U78" s="867"/>
      <c r="V78" s="867"/>
      <c r="W78" s="867"/>
      <c r="X78" s="867"/>
      <c r="Y78" s="1024"/>
      <c r="Z78" s="870" t="s">
        <v>2516</v>
      </c>
      <c r="AA78" s="873"/>
      <c r="AB78" s="870"/>
      <c r="AC78" s="870"/>
      <c r="AD78" s="870"/>
    </row>
    <row customHeight="1" ht="36">
      <c r="A79" s="869"/>
      <c r="B79" s="923">
        <v>62</v>
      </c>
      <c r="C79" s="867" t="s">
        <v>2493</v>
      </c>
      <c r="D79" s="991"/>
      <c r="E79" s="867"/>
      <c r="F79" s="867"/>
      <c r="G79" s="867"/>
      <c r="H79" s="915"/>
      <c r="I79" s="1029" t="str">
        <f>INDEX(TEMPLATE_NUMBER_POINT_FHD,B79,MATCH(TEMPLATE_SPHERE,TEMPLATE_SPHERE_LIST_FOR_NOTE,0))</f>
        <v>8</v>
      </c>
      <c r="J79" s="102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2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68" t="str">
        <f>IF(I79=0,"",I79)</f>
        <v>8</v>
      </c>
      <c r="M79" s="868" t="str">
        <f>IF(J79=0,"",J79)</f>
        <v>Тепловая нагрузка по договорам, заключенным в рамках осуществления регулируемых видов деятельности</v>
      </c>
      <c r="N79" s="86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81" t="s">
        <v>143</v>
      </c>
      <c r="P79" s="981"/>
      <c r="Q79" s="981"/>
      <c r="R79" s="981"/>
      <c r="S79" s="981"/>
      <c r="T79" s="867" t="s">
        <v>2517</v>
      </c>
      <c r="U79" s="867"/>
      <c r="V79" s="867"/>
      <c r="W79" s="867"/>
      <c r="X79" s="867"/>
      <c r="Y79" s="1024"/>
      <c r="Z79" s="870" t="s">
        <v>2518</v>
      </c>
      <c r="AA79" s="873"/>
      <c r="AB79" s="870"/>
      <c r="AC79" s="870"/>
      <c r="AD79" s="870"/>
    </row>
    <row customHeight="1" ht="45">
      <c r="A80" s="869"/>
      <c r="B80" s="923">
        <v>63</v>
      </c>
      <c r="C80" s="867" t="s">
        <v>2495</v>
      </c>
      <c r="D80" s="991"/>
      <c r="E80" s="867"/>
      <c r="F80" s="867"/>
      <c r="G80" s="867"/>
      <c r="H80" s="915"/>
      <c r="I80" s="1029" t="str">
        <f>INDEX(TEMPLATE_NUMBER_POINT_FHD,B80,MATCH(TEMPLATE_SPHERE,TEMPLATE_SPHERE_LIST_FOR_NOTE,0))</f>
        <v>9</v>
      </c>
      <c r="J80" s="102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2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68" t="str">
        <f>IF(I80=0,"",I80)</f>
        <v>9</v>
      </c>
      <c r="M80" s="868" t="str">
        <f>IF(J80=0,"",J80)</f>
        <v>Объем вырабатываемой регулируемой организацией тепловой энергии в рамках осуществления регулируемых видов деятельности</v>
      </c>
      <c r="N80" s="86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81" t="s">
        <v>145</v>
      </c>
      <c r="P80" s="981"/>
      <c r="Q80" s="981"/>
      <c r="R80" s="981"/>
      <c r="S80" s="981"/>
      <c r="T80" s="867" t="s">
        <v>2519</v>
      </c>
      <c r="U80" s="867"/>
      <c r="V80" s="867"/>
      <c r="W80" s="867"/>
      <c r="X80" s="867"/>
      <c r="Y80" s="1024"/>
      <c r="Z80" s="870" t="s">
        <v>2520</v>
      </c>
      <c r="AA80" s="873"/>
      <c r="AB80" s="870"/>
      <c r="AC80" s="870"/>
      <c r="AD80" s="870"/>
    </row>
    <row customHeight="1" ht="36">
      <c r="A81" s="869"/>
      <c r="B81" s="923">
        <v>64</v>
      </c>
      <c r="C81" s="867" t="s">
        <v>2497</v>
      </c>
      <c r="D81" s="991"/>
      <c r="E81" s="867"/>
      <c r="F81" s="867"/>
      <c r="G81" s="867"/>
      <c r="H81" s="915"/>
      <c r="I81" s="1029" t="str">
        <f>INDEX(TEMPLATE_NUMBER_POINT_FHD,B81,MATCH(TEMPLATE_SPHERE,TEMPLATE_SPHERE_LIST_FOR_NOTE,0))</f>
        <v>9.1</v>
      </c>
      <c r="J81" s="102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29" t="str">
        <f>INDEX(TEMPLATE_NOTE_POINT_FHD,B81,MATCH(TEMPLATE_SPHERE,TEMPLATE_SPHERE_LIST_FOR_NOTE,0))</f>
        <v>Информация указывается только едиными теплоснабжающими организациями.</v>
      </c>
      <c r="L81" s="868" t="str">
        <f>IF(I81=0,"",I81)</f>
        <v>9.1</v>
      </c>
      <c r="M81" s="868" t="str">
        <f>IF(J81=0,"",J81)</f>
        <v>Объем приобретаемой регулируемой организацией тепловой энергии в рамках осуществления регулируемых видов деятельности</v>
      </c>
      <c r="N81" s="868" t="str">
        <f>IF(K81=0,"",K81)</f>
        <v>Информация указывается только едиными теплоснабжающими организациями.</v>
      </c>
      <c r="O81" s="981" t="s">
        <v>2403</v>
      </c>
      <c r="P81" s="981"/>
      <c r="Q81" s="981"/>
      <c r="R81" s="981"/>
      <c r="S81" s="981"/>
      <c r="T81" s="867" t="s">
        <v>2521</v>
      </c>
      <c r="U81" s="867"/>
      <c r="V81" s="867"/>
      <c r="W81" s="867"/>
      <c r="X81" s="867"/>
      <c r="Y81" s="1024"/>
      <c r="Z81" s="870" t="s">
        <v>2522</v>
      </c>
      <c r="AA81" s="873"/>
      <c r="AB81" s="870"/>
      <c r="AC81" s="870"/>
      <c r="AD81" s="870"/>
    </row>
    <row customHeight="1" ht="90">
      <c r="A82" s="869"/>
      <c r="B82" s="923">
        <v>65</v>
      </c>
      <c r="C82" s="867" t="s">
        <v>2506</v>
      </c>
      <c r="D82" s="991"/>
      <c r="E82" s="867"/>
      <c r="F82" s="867"/>
      <c r="G82" s="867"/>
      <c r="H82" s="915"/>
      <c r="I82" s="1029" t="str">
        <f>INDEX(TEMPLATE_NUMBER_POINT_FHD,B82,MATCH(TEMPLATE_SPHERE,TEMPLATE_SPHERE_LIST_FOR_NOTE,0))</f>
        <v>10</v>
      </c>
      <c r="J82" s="102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2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68" t="str">
        <f>IF(I82=0,"",I82)</f>
        <v>10</v>
      </c>
      <c r="M82" s="86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6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81" t="s">
        <v>156</v>
      </c>
      <c r="P82" s="981"/>
      <c r="Q82" s="981"/>
      <c r="R82" s="981"/>
      <c r="S82" s="981"/>
      <c r="T82" s="867" t="s">
        <v>2523</v>
      </c>
      <c r="U82" s="867"/>
      <c r="V82" s="867"/>
      <c r="W82" s="867"/>
      <c r="X82" s="867"/>
      <c r="Y82" s="1024"/>
      <c r="Z82" s="870" t="s">
        <v>2524</v>
      </c>
      <c r="AA82" s="873"/>
      <c r="AB82" s="870"/>
      <c r="AC82" s="870"/>
      <c r="AD82" s="870"/>
    </row>
    <row customHeight="1" ht="9">
      <c r="A83" s="869"/>
      <c r="B83" s="923">
        <v>66</v>
      </c>
      <c r="C83" s="867"/>
      <c r="D83" s="991"/>
      <c r="E83" s="867"/>
      <c r="F83" s="867"/>
      <c r="G83" s="867"/>
      <c r="H83" s="915"/>
      <c r="I83" s="1029" t="str">
        <f>INDEX(TEMPLATE_NUMBER_POINT_FHD,B83,MATCH(TEMPLATE_SPHERE,TEMPLATE_SPHERE_LIST_FOR_NOTE,0))</f>
        <v>10.1</v>
      </c>
      <c r="J83" s="1029" t="str">
        <f>INDEX(TEMPLATE_DATA_POINT_FHD,B83,MATCH(TEMPLATE_SPHERE,TEMPLATE_SPHERE_LIST_FOR_NOTE,0))</f>
        <v>По приборам учёта </v>
      </c>
      <c r="K83" s="1029">
        <f>INDEX(TEMPLATE_NOTE_POINT_FHD,B83,MATCH(TEMPLATE_SPHERE,TEMPLATE_SPHERE_LIST_FOR_NOTE,0))</f>
        <v>0</v>
      </c>
      <c r="L83" s="868" t="str">
        <f>IF(I83=0,"",I83)</f>
        <v>10.1</v>
      </c>
      <c r="M83" s="868" t="str">
        <f>IF(J83=0,"",J83)</f>
        <v>По приборам учёта </v>
      </c>
      <c r="N83" s="868" t="str">
        <f>IF(K83=0,"",K83)</f>
        <v/>
      </c>
      <c r="O83" s="981" t="s">
        <v>2412</v>
      </c>
      <c r="P83" s="981"/>
      <c r="Q83" s="981"/>
      <c r="R83" s="981"/>
      <c r="S83" s="981"/>
      <c r="T83" s="867" t="s">
        <v>2525</v>
      </c>
      <c r="U83" s="867"/>
      <c r="V83" s="867"/>
      <c r="W83" s="867"/>
      <c r="X83" s="867"/>
      <c r="Y83" s="1024"/>
      <c r="Z83" s="870"/>
      <c r="AA83" s="873"/>
      <c r="AB83" s="870"/>
      <c r="AC83" s="870"/>
      <c r="AD83" s="870"/>
    </row>
    <row customHeight="1" ht="54">
      <c r="A84" s="869"/>
      <c r="B84" s="923">
        <v>67</v>
      </c>
      <c r="C84" s="867"/>
      <c r="D84" s="991"/>
      <c r="E84" s="867"/>
      <c r="F84" s="867"/>
      <c r="G84" s="867"/>
      <c r="H84" s="915"/>
      <c r="I84" s="1029" t="str">
        <f>INDEX(TEMPLATE_NUMBER_POINT_FHD,B84,MATCH(TEMPLATE_SPHERE,TEMPLATE_SPHERE_LIST_FOR_NOTE,0))</f>
        <v>10.1.1</v>
      </c>
      <c r="J84" s="102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29">
        <f>INDEX(TEMPLATE_NOTE_POINT_FHD,B84,MATCH(TEMPLATE_SPHERE,TEMPLATE_SPHERE_LIST_FOR_NOTE,0))</f>
        <v>0</v>
      </c>
      <c r="L84" s="868" t="str">
        <f>IF(I84=0,"",I84)</f>
        <v>10.1.1</v>
      </c>
      <c r="M84" s="86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68" t="str">
        <f>IF(K84=0,"",K84)</f>
        <v/>
      </c>
      <c r="O84" s="981" t="s">
        <v>2526</v>
      </c>
      <c r="P84" s="981"/>
      <c r="Q84" s="981"/>
      <c r="R84" s="981"/>
      <c r="S84" s="981"/>
      <c r="T84" s="867" t="s">
        <v>2527</v>
      </c>
      <c r="U84" s="867"/>
      <c r="V84" s="867"/>
      <c r="W84" s="867"/>
      <c r="X84" s="867"/>
      <c r="Y84" s="1024"/>
      <c r="Z84" s="870"/>
      <c r="AA84" s="873"/>
      <c r="AB84" s="870"/>
      <c r="AC84" s="870"/>
      <c r="AD84" s="870"/>
    </row>
    <row customHeight="1" ht="9">
      <c r="A85" s="869"/>
      <c r="B85" s="923">
        <v>68</v>
      </c>
      <c r="C85" s="867"/>
      <c r="D85" s="991"/>
      <c r="E85" s="867"/>
      <c r="F85" s="867"/>
      <c r="G85" s="867"/>
      <c r="H85" s="915"/>
      <c r="I85" s="1029" t="str">
        <f>INDEX(TEMPLATE_NUMBER_POINT_FHD,B85,MATCH(TEMPLATE_SPHERE,TEMPLATE_SPHERE_LIST_FOR_NOTE,0))</f>
        <v>10.2</v>
      </c>
      <c r="J85" s="1029" t="str">
        <f>INDEX(TEMPLATE_DATA_POINT_FHD,B85,MATCH(TEMPLATE_SPHERE,TEMPLATE_SPHERE_LIST_FOR_NOTE,0))</f>
        <v>Расчётным путём</v>
      </c>
      <c r="K85" s="1029">
        <f>INDEX(TEMPLATE_NOTE_POINT_FHD,B85,MATCH(TEMPLATE_SPHERE,TEMPLATE_SPHERE_LIST_FOR_NOTE,0))</f>
        <v>0</v>
      </c>
      <c r="L85" s="868" t="str">
        <f>IF(I85=0,"",I85)</f>
        <v>10.2</v>
      </c>
      <c r="M85" s="868" t="str">
        <f>IF(J85=0,"",J85)</f>
        <v>Расчётным путём</v>
      </c>
      <c r="N85" s="868" t="str">
        <f>IF(K85=0,"",K85)</f>
        <v/>
      </c>
      <c r="O85" s="981" t="s">
        <v>2416</v>
      </c>
      <c r="P85" s="981"/>
      <c r="Q85" s="981"/>
      <c r="R85" s="981"/>
      <c r="S85" s="981"/>
      <c r="T85" s="867" t="s">
        <v>2528</v>
      </c>
      <c r="U85" s="867"/>
      <c r="V85" s="867"/>
      <c r="W85" s="867"/>
      <c r="X85" s="867"/>
      <c r="Y85" s="1024"/>
      <c r="Z85" s="870"/>
      <c r="AA85" s="873"/>
      <c r="AB85" s="870"/>
      <c r="AC85" s="870"/>
      <c r="AD85" s="870"/>
    </row>
    <row customHeight="1" ht="27">
      <c r="A86" s="869"/>
      <c r="B86" s="923">
        <v>69</v>
      </c>
      <c r="C86" s="867"/>
      <c r="D86" s="991"/>
      <c r="E86" s="867"/>
      <c r="F86" s="867"/>
      <c r="G86" s="867"/>
      <c r="H86" s="915"/>
      <c r="I86" s="1029" t="str">
        <f>INDEX(TEMPLATE_NUMBER_POINT_FHD,B86,MATCH(TEMPLATE_SPHERE,TEMPLATE_SPHERE_LIST_FOR_NOTE,0))</f>
        <v>10.3</v>
      </c>
      <c r="J86" s="1029" t="str">
        <f>INDEX(TEMPLATE_DATA_POINT_FHD,B86,MATCH(TEMPLATE_SPHERE,TEMPLATE_SPHERE_LIST_FOR_NOTE,0))</f>
        <v>По нормативам потребления коммунальных услуг и нормативам потребления коммунальных ресурсов</v>
      </c>
      <c r="K86" s="1029">
        <f>INDEX(TEMPLATE_NOTE_POINT_FHD,B86,MATCH(TEMPLATE_SPHERE,TEMPLATE_SPHERE_LIST_FOR_NOTE,0))</f>
        <v>0</v>
      </c>
      <c r="L86" s="868" t="str">
        <f>IF(I86=0,"",I86)</f>
        <v>10.3</v>
      </c>
      <c r="M86" s="868" t="str">
        <f>IF(J86=0,"",J86)</f>
        <v>По нормативам потребления коммунальных услуг и нормативам потребления коммунальных ресурсов</v>
      </c>
      <c r="N86" s="868" t="str">
        <f>IF(K86=0,"",K86)</f>
        <v/>
      </c>
      <c r="O86" s="981" t="s">
        <v>2529</v>
      </c>
      <c r="P86" s="981"/>
      <c r="Q86" s="981"/>
      <c r="R86" s="981"/>
      <c r="S86" s="981"/>
      <c r="T86" s="867" t="s">
        <v>2530</v>
      </c>
      <c r="U86" s="867"/>
      <c r="V86" s="867"/>
      <c r="W86" s="867"/>
      <c r="X86" s="867"/>
      <c r="Y86" s="1024"/>
      <c r="Z86" s="870"/>
      <c r="AA86" s="873"/>
      <c r="AB86" s="870"/>
      <c r="AC86" s="870"/>
      <c r="AD86" s="870"/>
    </row>
    <row customHeight="1" ht="36">
      <c r="A87" s="869"/>
      <c r="B87" s="923">
        <v>70</v>
      </c>
      <c r="C87" s="867" t="s">
        <v>2531</v>
      </c>
      <c r="D87" s="991"/>
      <c r="E87" s="867"/>
      <c r="F87" s="867"/>
      <c r="G87" s="867"/>
      <c r="H87" s="915"/>
      <c r="I87" s="1029" t="str">
        <f>INDEX(TEMPLATE_NUMBER_POINT_FHD,B87,MATCH(TEMPLATE_SPHERE,TEMPLATE_SPHERE_LIST_FOR_NOTE,0))</f>
        <v>11</v>
      </c>
      <c r="J87" s="102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29">
        <f>INDEX(TEMPLATE_NOTE_POINT_FHD,B87,MATCH(TEMPLATE_SPHERE,TEMPLATE_SPHERE_LIST_FOR_NOTE,0))</f>
        <v>0</v>
      </c>
      <c r="L87" s="868" t="str">
        <f>IF(I87=0,"",I87)</f>
        <v>11</v>
      </c>
      <c r="M87" s="86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68" t="str">
        <f>IF(K87=0,"",K87)</f>
        <v/>
      </c>
      <c r="O87" s="981" t="s">
        <v>236</v>
      </c>
      <c r="P87" s="981"/>
      <c r="Q87" s="981"/>
      <c r="R87" s="981"/>
      <c r="S87" s="981"/>
      <c r="T87" s="867" t="s">
        <v>2532</v>
      </c>
      <c r="U87" s="867"/>
      <c r="V87" s="867"/>
      <c r="W87" s="867"/>
      <c r="X87" s="867"/>
      <c r="Y87" s="1024"/>
      <c r="Z87" s="870"/>
      <c r="AA87" s="873"/>
      <c r="AB87" s="870"/>
      <c r="AC87" s="870"/>
      <c r="AD87" s="870"/>
    </row>
    <row customHeight="1" ht="18">
      <c r="A88" s="869"/>
      <c r="B88" s="923">
        <v>71</v>
      </c>
      <c r="C88" s="867" t="s">
        <v>2533</v>
      </c>
      <c r="D88" s="991"/>
      <c r="E88" s="867"/>
      <c r="F88" s="867"/>
      <c r="G88" s="867"/>
      <c r="H88" s="915"/>
      <c r="I88" s="1029" t="str">
        <f>INDEX(TEMPLATE_NUMBER_POINT_FHD,B88,MATCH(TEMPLATE_SPHERE,TEMPLATE_SPHERE_LIST_FOR_NOTE,0))</f>
        <v>12</v>
      </c>
      <c r="J88" s="1029" t="str">
        <f>INDEX(TEMPLATE_DATA_POINT_FHD,B88,MATCH(TEMPLATE_SPHERE,TEMPLATE_SPHERE_LIST_FOR_NOTE,0))</f>
        <v>Фактический объем потерь при передаче тепловой энергии</v>
      </c>
      <c r="K88" s="1029">
        <f>INDEX(TEMPLATE_NOTE_POINT_FHD,B88,MATCH(TEMPLATE_SPHERE,TEMPLATE_SPHERE_LIST_FOR_NOTE,0))</f>
        <v>0</v>
      </c>
      <c r="L88" s="868" t="str">
        <f>IF(I88=0,"",I88)</f>
        <v>12</v>
      </c>
      <c r="M88" s="868" t="str">
        <f>IF(J88=0,"",J88)</f>
        <v>Фактический объем потерь при передаче тепловой энергии</v>
      </c>
      <c r="N88" s="868" t="str">
        <f>IF(K88=0,"",K88)</f>
        <v/>
      </c>
      <c r="O88" s="981" t="s">
        <v>237</v>
      </c>
      <c r="P88" s="981"/>
      <c r="Q88" s="981"/>
      <c r="R88" s="981"/>
      <c r="S88" s="981"/>
      <c r="T88" s="867" t="s">
        <v>764</v>
      </c>
      <c r="U88" s="867"/>
      <c r="V88" s="867"/>
      <c r="W88" s="867"/>
      <c r="X88" s="867"/>
      <c r="Y88" s="1024"/>
      <c r="Z88" s="870"/>
      <c r="AA88" s="873"/>
      <c r="AB88" s="870"/>
      <c r="AC88" s="870"/>
      <c r="AD88" s="870"/>
    </row>
    <row customHeight="1" ht="18">
      <c r="A89" s="869"/>
      <c r="B89" s="923">
        <v>72</v>
      </c>
      <c r="C89" s="867" t="s">
        <v>2534</v>
      </c>
      <c r="D89" s="991" t="s">
        <v>2531</v>
      </c>
      <c r="E89" s="867" t="s">
        <v>2531</v>
      </c>
      <c r="F89" s="867" t="s">
        <v>2497</v>
      </c>
      <c r="G89" s="867"/>
      <c r="H89" s="915"/>
      <c r="I89" s="1029" t="str">
        <f>INDEX(TEMPLATE_NUMBER_POINT_FHD,B89,MATCH(TEMPLATE_SPHERE,TEMPLATE_SPHERE_LIST_FOR_NOTE,0))</f>
        <v>13</v>
      </c>
      <c r="J89" s="1029" t="str">
        <f>INDEX(TEMPLATE_DATA_POINT_FHD,B89,MATCH(TEMPLATE_SPHERE,TEMPLATE_SPHERE_LIST_FOR_NOTE,0))</f>
        <v>Среднесписочная численность основного производственного персонала</v>
      </c>
      <c r="K89" s="1029">
        <f>INDEX(TEMPLATE_NOTE_POINT_FHD,B89,MATCH(TEMPLATE_SPHERE,TEMPLATE_SPHERE_LIST_FOR_NOTE,0))</f>
        <v>0</v>
      </c>
      <c r="L89" s="868" t="str">
        <f>IF(I89=0,"",I89)</f>
        <v>13</v>
      </c>
      <c r="M89" s="868" t="str">
        <f>IF(J89=0,"",J89)</f>
        <v>Среднесписочная численность основного производственного персонала</v>
      </c>
      <c r="N89" s="868" t="str">
        <f>IF(K89=0,"",K89)</f>
        <v/>
      </c>
      <c r="O89" s="981" t="s">
        <v>238</v>
      </c>
      <c r="P89" s="981" t="s">
        <v>237</v>
      </c>
      <c r="Q89" s="981" t="s">
        <v>237</v>
      </c>
      <c r="R89" s="981" t="s">
        <v>156</v>
      </c>
      <c r="S89" s="981"/>
      <c r="T89" s="867" t="s">
        <v>772</v>
      </c>
      <c r="U89" s="867" t="s">
        <v>772</v>
      </c>
      <c r="V89" s="867" t="s">
        <v>772</v>
      </c>
      <c r="W89" s="867" t="s">
        <v>772</v>
      </c>
      <c r="X89" s="867"/>
      <c r="Y89" s="1024"/>
      <c r="Z89" s="870"/>
      <c r="AA89" s="873"/>
      <c r="AB89" s="870"/>
      <c r="AC89" s="870"/>
      <c r="AD89" s="870"/>
    </row>
    <row customHeight="1" ht="27">
      <c r="A90" s="869"/>
      <c r="B90" s="923">
        <v>73</v>
      </c>
      <c r="C90" s="867" t="s">
        <v>2535</v>
      </c>
      <c r="D90" s="991"/>
      <c r="E90" s="867"/>
      <c r="F90" s="867"/>
      <c r="G90" s="867"/>
      <c r="H90" s="915"/>
      <c r="I90" s="1029" t="str">
        <f>INDEX(TEMPLATE_NUMBER_POINT_FHD,B90,MATCH(TEMPLATE_SPHERE,TEMPLATE_SPHERE_LIST_FOR_NOTE,0))</f>
        <v>14</v>
      </c>
      <c r="J90" s="1029" t="str">
        <f>INDEX(TEMPLATE_DATA_POINT_FHD,B90,MATCH(TEMPLATE_SPHERE,TEMPLATE_SPHERE_LIST_FOR_NOTE,0))</f>
        <v>Среднесписочная численность административно-управленческого персонала</v>
      </c>
      <c r="K90" s="1029">
        <f>INDEX(TEMPLATE_NOTE_POINT_FHD,B90,MATCH(TEMPLATE_SPHERE,TEMPLATE_SPHERE_LIST_FOR_NOTE,0))</f>
        <v>0</v>
      </c>
      <c r="L90" s="868" t="str">
        <f>IF(I90=0,"",I90)</f>
        <v>14</v>
      </c>
      <c r="M90" s="868" t="str">
        <f>IF(J90=0,"",J90)</f>
        <v>Среднесписочная численность административно-управленческого персонала</v>
      </c>
      <c r="N90" s="868" t="str">
        <f>IF(K90=0,"",K90)</f>
        <v/>
      </c>
      <c r="O90" s="981" t="s">
        <v>239</v>
      </c>
      <c r="P90" s="981"/>
      <c r="Q90" s="981"/>
      <c r="R90" s="981"/>
      <c r="S90" s="981"/>
      <c r="T90" s="867" t="s">
        <v>774</v>
      </c>
      <c r="U90" s="867"/>
      <c r="V90" s="867"/>
      <c r="W90" s="867"/>
      <c r="X90" s="867"/>
      <c r="Y90" s="1024"/>
      <c r="Z90" s="870"/>
      <c r="AA90" s="873"/>
      <c r="AB90" s="870"/>
      <c r="AC90" s="870"/>
      <c r="AD90" s="870"/>
    </row>
    <row customHeight="1" ht="18">
      <c r="A91" s="869"/>
      <c r="B91" s="923">
        <v>74</v>
      </c>
      <c r="C91" s="867"/>
      <c r="D91" s="991" t="s">
        <v>2533</v>
      </c>
      <c r="E91" s="867" t="s">
        <v>2533</v>
      </c>
      <c r="F91" s="867"/>
      <c r="G91" s="867"/>
      <c r="H91" s="915"/>
      <c r="I91" s="1029">
        <f>INDEX(TEMPLATE_NUMBER_POINT_FHD,B91,MATCH(TEMPLATE_SPHERE,TEMPLATE_SPHERE_LIST_FOR_NOTE,0))</f>
        <v>0</v>
      </c>
      <c r="J91" s="1029">
        <f>INDEX(TEMPLATE_DATA_POINT_FHD,B91,MATCH(TEMPLATE_SPHERE,TEMPLATE_SPHERE_LIST_FOR_NOTE,0))</f>
        <v>0</v>
      </c>
      <c r="K91" s="1029">
        <f>INDEX(TEMPLATE_NOTE_POINT_FHD,B91,MATCH(TEMPLATE_SPHERE,TEMPLATE_SPHERE_LIST_FOR_NOTE,0))</f>
        <v>0</v>
      </c>
      <c r="L91" s="868" t="str">
        <f>IF(I91=0,"",I91)</f>
        <v/>
      </c>
      <c r="M91" s="868" t="str">
        <f>IF(J91=0,"",J91)</f>
        <v/>
      </c>
      <c r="N91" s="868" t="str">
        <f>IF(K91=0,"",K91)</f>
        <v/>
      </c>
      <c r="O91" s="981"/>
      <c r="P91" s="981" t="s">
        <v>238</v>
      </c>
      <c r="Q91" s="981" t="s">
        <v>238</v>
      </c>
      <c r="R91" s="981"/>
      <c r="S91" s="981"/>
      <c r="T91" s="867"/>
      <c r="U91" s="867" t="s">
        <v>2536</v>
      </c>
      <c r="V91" s="867" t="s">
        <v>2536</v>
      </c>
      <c r="W91" s="867"/>
      <c r="X91" s="867"/>
      <c r="Y91" s="1024"/>
      <c r="Z91" s="870"/>
      <c r="AA91" s="873"/>
      <c r="AB91" s="870"/>
      <c r="AC91" s="870"/>
      <c r="AD91" s="870"/>
    </row>
    <row customHeight="1" ht="27">
      <c r="A92" s="869"/>
      <c r="B92" s="923">
        <v>75</v>
      </c>
      <c r="C92" s="867"/>
      <c r="D92" s="991" t="s">
        <v>2534</v>
      </c>
      <c r="E92" s="867"/>
      <c r="F92" s="867"/>
      <c r="G92" s="867"/>
      <c r="H92" s="915"/>
      <c r="I92" s="1029">
        <f>INDEX(TEMPLATE_NUMBER_POINT_FHD,B92,MATCH(TEMPLATE_SPHERE,TEMPLATE_SPHERE_LIST_FOR_NOTE,0))</f>
        <v>0</v>
      </c>
      <c r="J92" s="1029">
        <f>INDEX(TEMPLATE_DATA_POINT_FHD,B92,MATCH(TEMPLATE_SPHERE,TEMPLATE_SPHERE_LIST_FOR_NOTE,0))</f>
        <v>0</v>
      </c>
      <c r="K92" s="1029">
        <f>INDEX(TEMPLATE_NOTE_POINT_FHD,B92,MATCH(TEMPLATE_SPHERE,TEMPLATE_SPHERE_LIST_FOR_NOTE,0))</f>
        <v>0</v>
      </c>
      <c r="L92" s="868" t="str">
        <f>IF(I92=0,"",I92)</f>
        <v/>
      </c>
      <c r="M92" s="868" t="str">
        <f>IF(J92=0,"",J92)</f>
        <v/>
      </c>
      <c r="N92" s="868" t="str">
        <f>IF(K92=0,"",K92)</f>
        <v/>
      </c>
      <c r="O92" s="981"/>
      <c r="P92" s="981" t="s">
        <v>239</v>
      </c>
      <c r="Q92" s="981"/>
      <c r="R92" s="981"/>
      <c r="S92" s="981"/>
      <c r="T92" s="867"/>
      <c r="U92" s="867" t="s">
        <v>2537</v>
      </c>
      <c r="V92" s="867"/>
      <c r="W92" s="867"/>
      <c r="X92" s="867"/>
      <c r="Y92" s="1024"/>
      <c r="Z92" s="870"/>
      <c r="AA92" s="873" t="s">
        <v>2538</v>
      </c>
      <c r="AB92" s="870"/>
      <c r="AC92" s="870"/>
      <c r="AD92" s="870"/>
    </row>
    <row customHeight="1" ht="27">
      <c r="A93" s="869"/>
      <c r="B93" s="923">
        <v>76</v>
      </c>
      <c r="C93" s="867"/>
      <c r="D93" s="991"/>
      <c r="E93" s="867"/>
      <c r="F93" s="867"/>
      <c r="G93" s="867"/>
      <c r="H93" s="915"/>
      <c r="I93" s="1029">
        <f>INDEX(TEMPLATE_NUMBER_POINT_FHD,B93,MATCH(TEMPLATE_SPHERE,TEMPLATE_SPHERE_LIST_FOR_NOTE,0))</f>
        <v>0</v>
      </c>
      <c r="J93" s="1029">
        <f>INDEX(TEMPLATE_DATA_POINT_FHD,B93,MATCH(TEMPLATE_SPHERE,TEMPLATE_SPHERE_LIST_FOR_NOTE,0))</f>
        <v>0</v>
      </c>
      <c r="K93" s="1029">
        <f>INDEX(TEMPLATE_NOTE_POINT_FHD,B93,MATCH(TEMPLATE_SPHERE,TEMPLATE_SPHERE_LIST_FOR_NOTE,0))</f>
        <v>0</v>
      </c>
      <c r="L93" s="868" t="str">
        <f>IF(I93=0,"",I93)</f>
        <v/>
      </c>
      <c r="M93" s="868" t="str">
        <f>IF(J93=0,"",J93)</f>
        <v/>
      </c>
      <c r="N93" s="868" t="str">
        <f>IF(K93=0,"",K93)</f>
        <v/>
      </c>
      <c r="O93" s="981"/>
      <c r="P93" s="981" t="s">
        <v>2444</v>
      </c>
      <c r="Q93" s="981"/>
      <c r="R93" s="981"/>
      <c r="S93" s="981"/>
      <c r="T93" s="867"/>
      <c r="U93" s="867" t="s">
        <v>2539</v>
      </c>
      <c r="V93" s="867"/>
      <c r="W93" s="867"/>
      <c r="X93" s="867"/>
      <c r="Y93" s="1024"/>
      <c r="Z93" s="870"/>
      <c r="AA93" s="873" t="s">
        <v>2540</v>
      </c>
      <c r="AB93" s="870"/>
      <c r="AC93" s="870"/>
      <c r="AD93" s="870"/>
    </row>
    <row customHeight="1" ht="45">
      <c r="A94" s="869"/>
      <c r="B94" s="923">
        <v>77</v>
      </c>
      <c r="C94" s="867"/>
      <c r="D94" s="991" t="s">
        <v>2535</v>
      </c>
      <c r="E94" s="867"/>
      <c r="F94" s="867"/>
      <c r="G94" s="867"/>
      <c r="H94" s="915"/>
      <c r="I94" s="1029">
        <f>INDEX(TEMPLATE_NUMBER_POINT_FHD,B94,MATCH(TEMPLATE_SPHERE,TEMPLATE_SPHERE_LIST_FOR_NOTE,0))</f>
        <v>0</v>
      </c>
      <c r="J94" s="1029">
        <f>INDEX(TEMPLATE_DATA_POINT_FHD,B94,MATCH(TEMPLATE_SPHERE,TEMPLATE_SPHERE_LIST_FOR_NOTE,0))</f>
        <v>0</v>
      </c>
      <c r="K94" s="1029">
        <f>INDEX(TEMPLATE_NOTE_POINT_FHD,B94,MATCH(TEMPLATE_SPHERE,TEMPLATE_SPHERE_LIST_FOR_NOTE,0))</f>
        <v>0</v>
      </c>
      <c r="L94" s="868" t="str">
        <f>IF(I94=0,"",I94)</f>
        <v/>
      </c>
      <c r="M94" s="868" t="str">
        <f>IF(J94=0,"",J94)</f>
        <v/>
      </c>
      <c r="N94" s="868" t="str">
        <f>IF(K94=0,"",K94)</f>
        <v/>
      </c>
      <c r="O94" s="981"/>
      <c r="P94" s="981" t="s">
        <v>1798</v>
      </c>
      <c r="Q94" s="981"/>
      <c r="R94" s="981"/>
      <c r="S94" s="981"/>
      <c r="T94" s="867"/>
      <c r="U94" s="867" t="s">
        <v>2541</v>
      </c>
      <c r="V94" s="867"/>
      <c r="W94" s="867"/>
      <c r="X94" s="867"/>
      <c r="Y94" s="1024"/>
      <c r="Z94" s="870"/>
      <c r="AA94" s="873" t="s">
        <v>2542</v>
      </c>
      <c r="AB94" s="870"/>
      <c r="AC94" s="870"/>
      <c r="AD94" s="870"/>
    </row>
    <row customHeight="1" ht="99">
      <c r="A95" s="869"/>
      <c r="B95" s="923">
        <v>78</v>
      </c>
      <c r="C95" s="867" t="s">
        <v>2543</v>
      </c>
      <c r="D95" s="991"/>
      <c r="E95" s="867"/>
      <c r="F95" s="867"/>
      <c r="G95" s="867"/>
      <c r="H95" s="915"/>
      <c r="I95" s="1029" t="str">
        <f>INDEX(TEMPLATE_NUMBER_POINT_FHD,B95,MATCH(TEMPLATE_SPHERE,TEMPLATE_SPHERE_LIST_FOR_NOTE,0))</f>
        <v>15</v>
      </c>
      <c r="J95" s="102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29">
        <f>INDEX(TEMPLATE_NOTE_POINT_FHD,B95,MATCH(TEMPLATE_SPHERE,TEMPLATE_SPHERE_LIST_FOR_NOTE,0))</f>
        <v>0</v>
      </c>
      <c r="L95" s="868" t="str">
        <f>IF(I95=0,"",I95)</f>
        <v>15</v>
      </c>
      <c r="M95" s="86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68" t="str">
        <f>IF(K95=0,"",K95)</f>
        <v/>
      </c>
      <c r="O95" s="981" t="s">
        <v>1798</v>
      </c>
      <c r="P95" s="981"/>
      <c r="Q95" s="981"/>
      <c r="R95" s="981"/>
      <c r="S95" s="981"/>
      <c r="T95" s="867" t="s">
        <v>2544</v>
      </c>
      <c r="U95" s="867"/>
      <c r="V95" s="867"/>
      <c r="W95" s="867"/>
      <c r="X95" s="867"/>
      <c r="Y95" s="1024"/>
      <c r="Z95" s="870"/>
      <c r="AA95" s="873"/>
      <c r="AB95" s="870"/>
      <c r="AC95" s="870"/>
      <c r="AD95" s="870"/>
    </row>
    <row customHeight="1" ht="99">
      <c r="A96" s="869"/>
      <c r="B96" s="923">
        <v>79</v>
      </c>
      <c r="C96" s="867" t="s">
        <v>1485</v>
      </c>
      <c r="D96" s="991"/>
      <c r="E96" s="867"/>
      <c r="F96" s="867"/>
      <c r="G96" s="867"/>
      <c r="H96" s="915"/>
      <c r="I96" s="1029" t="str">
        <f>INDEX(TEMPLATE_NUMBER_POINT_FHD,B96,MATCH(TEMPLATE_SPHERE,TEMPLATE_SPHERE_LIST_FOR_NOTE,0))</f>
        <v>16</v>
      </c>
      <c r="J96" s="102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2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68" t="str">
        <f>IF(I96=0,"",I96)</f>
        <v>16</v>
      </c>
      <c r="M96" s="86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6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81" t="s">
        <v>1804</v>
      </c>
      <c r="P96" s="981"/>
      <c r="Q96" s="981"/>
      <c r="R96" s="981"/>
      <c r="S96" s="981"/>
      <c r="T96" s="867" t="s">
        <v>2545</v>
      </c>
      <c r="U96" s="867"/>
      <c r="V96" s="867"/>
      <c r="W96" s="867"/>
      <c r="X96" s="867"/>
      <c r="Y96" s="1024"/>
      <c r="Z96" s="870" t="s">
        <v>2546</v>
      </c>
      <c r="AA96" s="873"/>
      <c r="AB96" s="870"/>
      <c r="AC96" s="870"/>
      <c r="AD96" s="870"/>
    </row>
    <row customHeight="1" ht="63">
      <c r="A97" s="869"/>
      <c r="B97" s="923">
        <v>80</v>
      </c>
      <c r="C97" s="867" t="s">
        <v>2547</v>
      </c>
      <c r="D97" s="991"/>
      <c r="E97" s="867"/>
      <c r="F97" s="867"/>
      <c r="G97" s="867"/>
      <c r="H97" s="915"/>
      <c r="I97" s="1029" t="str">
        <f>INDEX(TEMPLATE_NUMBER_POINT_FHD,B97,MATCH(TEMPLATE_SPHERE,TEMPLATE_SPHERE_LIST_FOR_NOTE,0))</f>
        <v>17</v>
      </c>
      <c r="J97" s="102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2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68" t="str">
        <f>IF(I97=0,"",I97)</f>
        <v>17</v>
      </c>
      <c r="M97" s="86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68" t="str">
        <f>IF(K97=0,"",K97)</f>
        <v>Регулируемыми организациями указывается информация с по договорам, заключенным в рамках осуществления регулируемой деятельности.</v>
      </c>
      <c r="O97" s="981" t="s">
        <v>1816</v>
      </c>
      <c r="P97" s="981"/>
      <c r="Q97" s="981"/>
      <c r="R97" s="981"/>
      <c r="S97" s="981"/>
      <c r="T97" s="867" t="s">
        <v>2548</v>
      </c>
      <c r="U97" s="867"/>
      <c r="V97" s="867"/>
      <c r="W97" s="867"/>
      <c r="X97" s="867"/>
      <c r="Y97" s="1024"/>
      <c r="Z97" s="870" t="s">
        <v>2549</v>
      </c>
      <c r="AA97" s="873"/>
      <c r="AB97" s="870"/>
      <c r="AC97" s="870"/>
      <c r="AD97" s="870"/>
    </row>
    <row customHeight="1" ht="63">
      <c r="A98" s="869"/>
      <c r="B98" s="923">
        <v>81</v>
      </c>
      <c r="C98" s="867" t="s">
        <v>2550</v>
      </c>
      <c r="D98" s="991"/>
      <c r="E98" s="867"/>
      <c r="F98" s="867"/>
      <c r="G98" s="867"/>
      <c r="H98" s="915"/>
      <c r="I98" s="1029" t="str">
        <f>INDEX(TEMPLATE_NUMBER_POINT_FHD,B98,MATCH(TEMPLATE_SPHERE,TEMPLATE_SPHERE_LIST_FOR_NOTE,0))</f>
        <v>18</v>
      </c>
      <c r="J98" s="102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2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68" t="str">
        <f>IF(I98=0,"",I98)</f>
        <v>18</v>
      </c>
      <c r="M98" s="86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68" t="str">
        <f>IF(K98=0,"",K98)</f>
        <v>Регулируемыми организациями указывается информация с по договорам, заключенным в рамках осуществления регулируемой деятельности.</v>
      </c>
      <c r="O98" s="981" t="s">
        <v>1830</v>
      </c>
      <c r="P98" s="981"/>
      <c r="Q98" s="981"/>
      <c r="R98" s="981"/>
      <c r="S98" s="981"/>
      <c r="T98" s="867" t="s">
        <v>2551</v>
      </c>
      <c r="U98" s="867"/>
      <c r="V98" s="867"/>
      <c r="W98" s="867"/>
      <c r="X98" s="867"/>
      <c r="Y98" s="1024"/>
      <c r="Z98" s="870" t="s">
        <v>2549</v>
      </c>
      <c r="AA98" s="873"/>
      <c r="AB98" s="870"/>
      <c r="AC98" s="870"/>
      <c r="AD98" s="870"/>
    </row>
    <row customHeight="1" ht="90">
      <c r="A99" s="869"/>
      <c r="B99" s="923">
        <v>82</v>
      </c>
      <c r="C99" s="867" t="s">
        <v>2552</v>
      </c>
      <c r="D99" s="991"/>
      <c r="E99" s="867"/>
      <c r="F99" s="867"/>
      <c r="G99" s="867"/>
      <c r="H99" s="915"/>
      <c r="I99" s="1029" t="str">
        <f>INDEX(TEMPLATE_NUMBER_POINT_FHD,B99,MATCH(TEMPLATE_SPHERE,TEMPLATE_SPHERE_LIST_FOR_NOTE,0))</f>
        <v>19</v>
      </c>
      <c r="J99" s="102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29" t="str">
        <f>INDEX(TEMPLATE_NOTE_POINT_FHD,B99,MATCH(TEMPLATE_SPHERE,TEMPLATE_SPHERE_LIST_FOR_NOTE,0))</f>
        <v>Указывается ссылка на документ, предварительно загруженный в хранилище файлов ФГИС ЕИАС.</v>
      </c>
      <c r="L99" s="868" t="str">
        <f>IF(I99=0,"",I99)</f>
        <v>19</v>
      </c>
      <c r="M99" s="86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68" t="str">
        <f>IF(K99=0,"",K99)</f>
        <v>Указывается ссылка на документ, предварительно загруженный в хранилище файлов ФГИС ЕИАС.</v>
      </c>
      <c r="O99" s="981" t="s">
        <v>1842</v>
      </c>
      <c r="P99" s="981"/>
      <c r="Q99" s="981"/>
      <c r="R99" s="981"/>
      <c r="S99" s="981"/>
      <c r="T99" s="867" t="s">
        <v>2553</v>
      </c>
      <c r="U99" s="867"/>
      <c r="V99" s="867"/>
      <c r="W99" s="867"/>
      <c r="X99" s="867"/>
      <c r="Y99" s="1024"/>
      <c r="Z99" s="870" t="s">
        <v>729</v>
      </c>
      <c r="AA99" s="873"/>
      <c r="AB99" s="870"/>
      <c r="AC99" s="870"/>
      <c r="AD99" s="870"/>
    </row>
    <row customHeight="1" ht="27">
      <c r="A100" s="869"/>
      <c r="B100" s="923">
        <v>83</v>
      </c>
      <c r="C100" s="867"/>
      <c r="D100" s="991"/>
      <c r="E100" s="867"/>
      <c r="F100" s="867"/>
      <c r="G100" s="867"/>
      <c r="H100" s="915"/>
      <c r="I100" s="1029" t="str">
        <f>INDEX(TEMPLATE_NUMBER_POINT_FHD,B100,MATCH(TEMPLATE_SPHERE,TEMPLATE_SPHERE_LIST_FOR_NOTE,0))</f>
        <v>19.1</v>
      </c>
      <c r="J100" s="1029" t="str">
        <f>INDEX(TEMPLATE_DATA_POINT_FHD,B100,MATCH(TEMPLATE_SPHERE,TEMPLATE_SPHERE_LIST_FOR_NOTE,0))</f>
        <v>Информация о показателях физического износа объектов теплоснабжения</v>
      </c>
      <c r="K100" s="1029" t="str">
        <f>INDEX(TEMPLATE_NOTE_POINT_FHD,B100,MATCH(TEMPLATE_SPHERE,TEMPLATE_SPHERE_LIST_FOR_NOTE,0))</f>
        <v>Указывается ссылка на документ, предварительно загруженный в хранилище файлов ФГИС ЕИАС.</v>
      </c>
      <c r="L100" s="868" t="str">
        <f>IF(I100=0,"",I100)</f>
        <v>19.1</v>
      </c>
      <c r="M100" s="868" t="str">
        <f>IF(J100=0,"",J100)</f>
        <v>Информация о показателях физического износа объектов теплоснабжения</v>
      </c>
      <c r="N100" s="868" t="str">
        <f>IF(K100=0,"",K100)</f>
        <v>Указывается ссылка на документ, предварительно загруженный в хранилище файлов ФГИС ЕИАС.</v>
      </c>
      <c r="O100" s="981" t="s">
        <v>2554</v>
      </c>
      <c r="P100" s="981"/>
      <c r="Q100" s="981"/>
      <c r="R100" s="981"/>
      <c r="S100" s="981"/>
      <c r="T100" s="867" t="s">
        <v>2555</v>
      </c>
      <c r="U100" s="867"/>
      <c r="V100" s="867"/>
      <c r="W100" s="867"/>
      <c r="X100" s="867"/>
      <c r="Y100" s="1024"/>
      <c r="Z100" s="870" t="s">
        <v>729</v>
      </c>
      <c r="AA100" s="873"/>
      <c r="AB100" s="870"/>
      <c r="AC100" s="870"/>
      <c r="AD100" s="870"/>
    </row>
    <row customHeight="1" ht="27">
      <c r="A101" s="869"/>
      <c r="B101" s="923">
        <v>84</v>
      </c>
      <c r="C101" s="867"/>
      <c r="D101" s="991"/>
      <c r="E101" s="867"/>
      <c r="F101" s="867"/>
      <c r="G101" s="867"/>
      <c r="H101" s="915"/>
      <c r="I101" s="1029" t="str">
        <f>INDEX(TEMPLATE_NUMBER_POINT_FHD,B101,MATCH(TEMPLATE_SPHERE,TEMPLATE_SPHERE_LIST_FOR_NOTE,0))</f>
        <v>19.2</v>
      </c>
      <c r="J101" s="1029" t="str">
        <f>INDEX(TEMPLATE_DATA_POINT_FHD,B101,MATCH(TEMPLATE_SPHERE,TEMPLATE_SPHERE_LIST_FOR_NOTE,0))</f>
        <v>Информация о показателях энергетической эффективности объектов теплоснабжения</v>
      </c>
      <c r="K101" s="1029" t="str">
        <f>INDEX(TEMPLATE_NOTE_POINT_FHD,B101,MATCH(TEMPLATE_SPHERE,TEMPLATE_SPHERE_LIST_FOR_NOTE,0))</f>
        <v>Указывается ссылка на документ, предварительно загруженный в хранилище файлов ФГИС ЕИАС.</v>
      </c>
      <c r="L101" s="868" t="str">
        <f>IF(I101=0,"",I101)</f>
        <v>19.2</v>
      </c>
      <c r="M101" s="868" t="str">
        <f>IF(J101=0,"",J101)</f>
        <v>Информация о показателях энергетической эффективности объектов теплоснабжения</v>
      </c>
      <c r="N101" s="868" t="str">
        <f>IF(K101=0,"",K101)</f>
        <v>Указывается ссылка на документ, предварительно загруженный в хранилище файлов ФГИС ЕИАС.</v>
      </c>
      <c r="O101" s="981" t="s">
        <v>2556</v>
      </c>
      <c r="P101" s="981"/>
      <c r="Q101" s="981"/>
      <c r="R101" s="981"/>
      <c r="S101" s="981"/>
      <c r="T101" s="867" t="s">
        <v>2557</v>
      </c>
      <c r="U101" s="867"/>
      <c r="V101" s="867"/>
      <c r="W101" s="867"/>
      <c r="X101" s="867"/>
      <c r="Y101" s="1024"/>
      <c r="Z101" s="870" t="s">
        <v>729</v>
      </c>
      <c r="AA101" s="873"/>
      <c r="AB101" s="870"/>
      <c r="AC101" s="870"/>
      <c r="AD101" s="870"/>
    </row>
    <row customHeight="1" ht="9">
      <c r="A102" s="869"/>
      <c r="B102" s="869"/>
      <c r="C102" s="867"/>
      <c r="D102" s="867"/>
      <c r="E102" s="867"/>
      <c r="F102" s="867"/>
      <c r="G102" s="867"/>
      <c r="H102" s="915"/>
      <c r="I102" s="915"/>
      <c r="J102" s="915"/>
      <c r="K102" s="915"/>
      <c r="L102" s="915"/>
      <c r="M102" s="867"/>
      <c r="N102" s="914"/>
      <c r="O102" s="981"/>
      <c r="P102" s="981"/>
      <c r="Q102" s="981"/>
      <c r="R102" s="981"/>
      <c r="S102" s="867"/>
      <c r="T102" s="867"/>
      <c r="U102" s="867"/>
      <c r="V102" s="867"/>
      <c r="W102" s="867"/>
      <c r="X102" s="867"/>
      <c r="Y102" s="1024"/>
      <c r="Z102" s="870"/>
      <c r="AA102" s="873"/>
      <c r="AB102" s="870"/>
      <c r="AC102" s="870"/>
      <c r="AD102" s="870"/>
    </row>
    <row customHeight="1" ht="9">
      <c r="A103" s="869"/>
      <c r="B103" s="869"/>
      <c r="C103" s="867"/>
      <c r="D103" s="867"/>
      <c r="E103" s="867"/>
      <c r="F103" s="867"/>
      <c r="G103" s="867"/>
      <c r="H103" s="915"/>
      <c r="I103" s="915"/>
      <c r="J103" s="915"/>
      <c r="K103" s="915"/>
      <c r="L103" s="915"/>
      <c r="M103" s="867"/>
      <c r="N103" s="914"/>
      <c r="O103" s="981"/>
      <c r="P103" s="981"/>
      <c r="Q103" s="981"/>
      <c r="R103" s="981"/>
      <c r="S103" s="867"/>
      <c r="T103" s="867"/>
      <c r="U103" s="867"/>
      <c r="V103" s="867"/>
      <c r="W103" s="867"/>
      <c r="X103" s="867"/>
      <c r="Y103" s="1024"/>
      <c r="Z103" s="870"/>
      <c r="AA103" s="873"/>
      <c r="AB103" s="870"/>
      <c r="AC103" s="870"/>
      <c r="AD103" s="870"/>
    </row>
    <row customHeight="1" ht="9">
      <c r="A104" s="869"/>
      <c r="B104" s="869"/>
      <c r="C104" s="867"/>
      <c r="D104" s="867"/>
      <c r="E104" s="867"/>
      <c r="F104" s="867"/>
      <c r="G104" s="867"/>
      <c r="H104" s="915"/>
      <c r="I104" s="915"/>
      <c r="J104" s="915"/>
      <c r="K104" s="915"/>
      <c r="L104" s="915"/>
      <c r="M104" s="867"/>
      <c r="N104" s="914"/>
      <c r="O104" s="981"/>
      <c r="P104" s="981"/>
      <c r="Q104" s="981"/>
      <c r="R104" s="981"/>
      <c r="S104" s="867"/>
      <c r="T104" s="867"/>
      <c r="U104" s="867"/>
      <c r="V104" s="867"/>
      <c r="W104" s="867"/>
      <c r="X104" s="867"/>
      <c r="Y104" s="1024"/>
      <c r="Z104" s="870"/>
      <c r="AA104" s="873"/>
      <c r="AB104" s="870"/>
      <c r="AC104" s="870"/>
      <c r="AD104" s="870"/>
    </row>
    <row customHeight="1" ht="9">
      <c r="A105" s="869"/>
      <c r="B105" s="869"/>
      <c r="C105" s="867"/>
      <c r="D105" s="867"/>
      <c r="E105" s="867"/>
      <c r="F105" s="867"/>
      <c r="G105" s="867"/>
      <c r="H105" s="915"/>
      <c r="I105" s="915"/>
      <c r="J105" s="915"/>
      <c r="K105" s="915"/>
      <c r="L105" s="915"/>
      <c r="M105" s="867"/>
      <c r="N105" s="914"/>
      <c r="O105" s="981"/>
      <c r="P105" s="981"/>
      <c r="Q105" s="981"/>
      <c r="R105" s="981"/>
      <c r="S105" s="867"/>
      <c r="T105" s="867"/>
      <c r="U105" s="867"/>
      <c r="V105" s="867"/>
      <c r="W105" s="867"/>
      <c r="X105" s="867"/>
      <c r="Y105" s="1024"/>
      <c r="Z105" s="870"/>
      <c r="AA105" s="873"/>
      <c r="AB105" s="870"/>
      <c r="AC105" s="870"/>
      <c r="AD105" s="870"/>
    </row>
    <row customHeight="1" ht="9">
      <c r="A106" s="869"/>
      <c r="B106" s="869"/>
      <c r="C106" s="867"/>
      <c r="D106" s="867"/>
      <c r="E106" s="867"/>
      <c r="F106" s="867"/>
      <c r="G106" s="867"/>
      <c r="H106" s="915"/>
      <c r="I106" s="915"/>
      <c r="J106" s="915"/>
      <c r="K106" s="915"/>
      <c r="L106" s="915"/>
      <c r="M106" s="867"/>
      <c r="N106" s="914"/>
      <c r="O106" s="981"/>
      <c r="P106" s="981"/>
      <c r="Q106" s="981"/>
      <c r="R106" s="981"/>
      <c r="S106" s="867"/>
      <c r="T106" s="867"/>
      <c r="U106" s="867"/>
      <c r="V106" s="867"/>
      <c r="W106" s="867"/>
      <c r="X106" s="867"/>
      <c r="Y106" s="1024"/>
      <c r="Z106" s="870"/>
      <c r="AA106" s="873"/>
      <c r="AB106" s="870"/>
      <c r="AC106" s="870"/>
      <c r="AD106" s="870"/>
    </row>
    <row customHeight="1" ht="9">
      <c r="A107" s="869"/>
      <c r="B107" s="869"/>
      <c r="C107" s="867"/>
      <c r="D107" s="867"/>
      <c r="E107" s="867"/>
      <c r="F107" s="867"/>
      <c r="G107" s="867"/>
      <c r="H107" s="915"/>
      <c r="I107" s="915"/>
      <c r="J107" s="915"/>
      <c r="K107" s="915"/>
      <c r="L107" s="915"/>
      <c r="M107" s="867"/>
      <c r="N107" s="914"/>
      <c r="O107" s="981"/>
      <c r="P107" s="981"/>
      <c r="Q107" s="981"/>
      <c r="R107" s="981"/>
      <c r="S107" s="867"/>
      <c r="T107" s="867"/>
      <c r="U107" s="867"/>
      <c r="V107" s="867"/>
      <c r="W107" s="867"/>
      <c r="X107" s="867"/>
      <c r="Y107" s="1024"/>
      <c r="Z107" s="870"/>
      <c r="AA107" s="873"/>
      <c r="AB107" s="870"/>
      <c r="AC107" s="870"/>
      <c r="AD107" s="870"/>
    </row>
    <row customHeight="1" ht="9">
      <c r="A108" s="869"/>
      <c r="B108" s="869"/>
      <c r="C108" s="867"/>
      <c r="D108" s="867"/>
      <c r="E108" s="867"/>
      <c r="F108" s="867"/>
      <c r="G108" s="867"/>
      <c r="H108" s="915"/>
      <c r="I108" s="915"/>
      <c r="J108" s="915"/>
      <c r="K108" s="915"/>
      <c r="L108" s="915"/>
      <c r="M108" s="867"/>
      <c r="N108" s="914"/>
      <c r="O108" s="981"/>
      <c r="P108" s="981"/>
      <c r="Q108" s="981"/>
      <c r="R108" s="981"/>
      <c r="S108" s="867"/>
      <c r="T108" s="867"/>
      <c r="U108" s="867"/>
      <c r="V108" s="867"/>
      <c r="W108" s="867"/>
      <c r="X108" s="867"/>
      <c r="Y108" s="1024"/>
      <c r="Z108" s="870"/>
      <c r="AA108" s="873"/>
      <c r="AB108" s="870"/>
      <c r="AC108" s="870"/>
      <c r="AD108" s="870"/>
    </row>
    <row customHeight="1" ht="9">
      <c r="A109" s="869"/>
      <c r="B109" s="869"/>
      <c r="C109" s="867"/>
      <c r="D109" s="867"/>
      <c r="E109" s="867"/>
      <c r="F109" s="867"/>
      <c r="G109" s="867"/>
      <c r="H109" s="915"/>
      <c r="I109" s="915"/>
      <c r="J109" s="915"/>
      <c r="K109" s="915"/>
      <c r="L109" s="915"/>
      <c r="M109" s="867"/>
      <c r="N109" s="914"/>
      <c r="O109" s="981"/>
      <c r="P109" s="981"/>
      <c r="Q109" s="981"/>
      <c r="R109" s="981"/>
      <c r="S109" s="867"/>
      <c r="T109" s="867"/>
      <c r="U109" s="867"/>
      <c r="V109" s="867"/>
      <c r="W109" s="867"/>
      <c r="X109" s="867"/>
      <c r="Y109" s="1024"/>
      <c r="Z109" s="870"/>
      <c r="AA109" s="873"/>
      <c r="AB109" s="870"/>
      <c r="AC109" s="870"/>
      <c r="AD109" s="870"/>
    </row>
    <row customHeight="1" ht="9">
      <c r="A110" s="869"/>
      <c r="B110" s="869"/>
      <c r="C110" s="867"/>
      <c r="D110" s="867"/>
      <c r="E110" s="867"/>
      <c r="F110" s="867"/>
      <c r="G110" s="867"/>
      <c r="H110" s="915"/>
      <c r="I110" s="915"/>
      <c r="J110" s="915"/>
      <c r="K110" s="915"/>
      <c r="L110" s="915"/>
      <c r="M110" s="867"/>
      <c r="N110" s="914"/>
      <c r="O110" s="981"/>
      <c r="P110" s="981"/>
      <c r="Q110" s="981"/>
      <c r="R110" s="981"/>
      <c r="S110" s="867"/>
      <c r="T110" s="867"/>
      <c r="U110" s="867"/>
      <c r="V110" s="867"/>
      <c r="W110" s="867"/>
      <c r="X110" s="867"/>
      <c r="Y110" s="1024"/>
      <c r="Z110" s="870"/>
      <c r="AA110" s="873"/>
      <c r="AB110" s="870"/>
      <c r="AC110" s="870"/>
      <c r="AD110" s="870"/>
    </row>
    <row customHeight="1" ht="9">
      <c r="A111" s="869"/>
      <c r="B111" s="869"/>
      <c r="C111" s="867"/>
      <c r="D111" s="867"/>
      <c r="E111" s="867"/>
      <c r="F111" s="867"/>
      <c r="G111" s="867"/>
      <c r="H111" s="915"/>
      <c r="I111" s="915"/>
      <c r="J111" s="915"/>
      <c r="K111" s="915"/>
      <c r="L111" s="915"/>
      <c r="M111" s="867"/>
      <c r="N111" s="914"/>
      <c r="O111" s="981"/>
      <c r="P111" s="981"/>
      <c r="Q111" s="981"/>
      <c r="R111" s="981"/>
      <c r="S111" s="867"/>
      <c r="T111" s="867"/>
      <c r="U111" s="867"/>
      <c r="V111" s="867"/>
      <c r="W111" s="867"/>
      <c r="X111" s="867"/>
      <c r="Y111" s="1024"/>
      <c r="Z111" s="870"/>
      <c r="AA111" s="873"/>
      <c r="AB111" s="870"/>
      <c r="AC111" s="870"/>
      <c r="AD111" s="870"/>
    </row>
    <row customHeight="1" ht="9">
      <c r="A112" s="869"/>
      <c r="B112" s="869"/>
      <c r="C112" s="867"/>
      <c r="D112" s="867"/>
      <c r="E112" s="867"/>
      <c r="F112" s="867"/>
      <c r="G112" s="867"/>
      <c r="H112" s="915"/>
      <c r="I112" s="915"/>
      <c r="J112" s="915"/>
      <c r="K112" s="915"/>
      <c r="L112" s="915"/>
      <c r="M112" s="867"/>
      <c r="N112" s="914"/>
      <c r="O112" s="981"/>
      <c r="P112" s="981"/>
      <c r="Q112" s="981"/>
      <c r="R112" s="981"/>
      <c r="S112" s="867"/>
      <c r="T112" s="867"/>
      <c r="U112" s="867"/>
      <c r="V112" s="867"/>
      <c r="W112" s="867"/>
      <c r="X112" s="867"/>
      <c r="Y112" s="1024"/>
      <c r="Z112" s="870"/>
      <c r="AA112" s="873"/>
      <c r="AB112" s="870"/>
      <c r="AC112" s="870"/>
      <c r="AD112" s="870"/>
    </row>
    <row customHeight="1" ht="9">
      <c r="A113" s="869"/>
      <c r="B113" s="869"/>
      <c r="C113" s="867"/>
      <c r="D113" s="867"/>
      <c r="E113" s="867"/>
      <c r="F113" s="867"/>
      <c r="G113" s="867"/>
      <c r="H113" s="915"/>
      <c r="I113" s="915"/>
      <c r="J113" s="915"/>
      <c r="K113" s="915"/>
      <c r="L113" s="915"/>
      <c r="M113" s="867"/>
      <c r="N113" s="914"/>
      <c r="O113" s="981"/>
      <c r="P113" s="981"/>
      <c r="Q113" s="981"/>
      <c r="R113" s="981"/>
      <c r="S113" s="867"/>
      <c r="T113" s="867"/>
      <c r="U113" s="867"/>
      <c r="V113" s="867"/>
      <c r="W113" s="867"/>
      <c r="X113" s="867"/>
      <c r="Y113" s="1024"/>
      <c r="Z113" s="870"/>
      <c r="AA113" s="873"/>
      <c r="AB113" s="870"/>
      <c r="AC113" s="870"/>
      <c r="AD113" s="870"/>
    </row>
    <row customHeight="1" ht="9">
      <c r="A114" s="869"/>
      <c r="B114" s="869"/>
      <c r="C114" s="867"/>
      <c r="D114" s="867"/>
      <c r="E114" s="867"/>
      <c r="F114" s="867"/>
      <c r="G114" s="867"/>
      <c r="H114" s="915"/>
      <c r="I114" s="915"/>
      <c r="J114" s="915"/>
      <c r="K114" s="915"/>
      <c r="L114" s="915"/>
      <c r="M114" s="867"/>
      <c r="N114" s="914"/>
      <c r="O114" s="981"/>
      <c r="P114" s="981"/>
      <c r="Q114" s="981"/>
      <c r="R114" s="981"/>
      <c r="S114" s="867"/>
      <c r="T114" s="867"/>
      <c r="U114" s="867"/>
      <c r="V114" s="867"/>
      <c r="W114" s="867"/>
      <c r="X114" s="867"/>
      <c r="Y114" s="1024"/>
      <c r="Z114" s="870"/>
      <c r="AA114" s="873"/>
      <c r="AB114" s="870"/>
      <c r="AC114" s="870"/>
      <c r="AD114" s="870"/>
    </row>
    <row customHeight="1" ht="9">
      <c r="A115" s="869"/>
      <c r="B115" s="869"/>
      <c r="C115" s="867"/>
      <c r="D115" s="867"/>
      <c r="E115" s="867"/>
      <c r="F115" s="867"/>
      <c r="G115" s="867"/>
      <c r="H115" s="915"/>
      <c r="I115" s="915"/>
      <c r="J115" s="915"/>
      <c r="K115" s="915"/>
      <c r="L115" s="915"/>
      <c r="M115" s="867"/>
      <c r="N115" s="914"/>
      <c r="O115" s="981"/>
      <c r="P115" s="981"/>
      <c r="Q115" s="981"/>
      <c r="R115" s="981"/>
      <c r="S115" s="867"/>
      <c r="T115" s="867"/>
      <c r="U115" s="867"/>
      <c r="V115" s="867"/>
      <c r="W115" s="867"/>
      <c r="X115" s="867"/>
      <c r="Y115" s="1024"/>
      <c r="Z115" s="870"/>
      <c r="AA115" s="873"/>
      <c r="AB115" s="870"/>
      <c r="AC115" s="870"/>
      <c r="AD115" s="870"/>
    </row>
    <row customHeight="1" ht="9">
      <c r="A116" s="869"/>
      <c r="B116" s="869"/>
      <c r="C116" s="867"/>
      <c r="D116" s="867"/>
      <c r="E116" s="867"/>
      <c r="F116" s="867"/>
      <c r="G116" s="867"/>
      <c r="H116" s="915"/>
      <c r="I116" s="915"/>
      <c r="J116" s="915"/>
      <c r="K116" s="915"/>
      <c r="L116" s="915"/>
      <c r="M116" s="867"/>
      <c r="N116" s="914"/>
      <c r="O116" s="981"/>
      <c r="P116" s="981"/>
      <c r="Q116" s="981"/>
      <c r="R116" s="981"/>
      <c r="S116" s="867"/>
      <c r="T116" s="867"/>
      <c r="U116" s="867"/>
      <c r="V116" s="867"/>
      <c r="W116" s="867"/>
      <c r="X116" s="867"/>
      <c r="Y116" s="1024"/>
      <c r="Z116" s="870"/>
      <c r="AA116" s="873"/>
      <c r="AB116" s="870"/>
      <c r="AC116" s="870"/>
      <c r="AD116" s="870"/>
    </row>
    <row customHeight="1" ht="9">
      <c r="A117" s="869"/>
      <c r="B117" s="869"/>
      <c r="C117" s="867"/>
      <c r="D117" s="867"/>
      <c r="E117" s="867"/>
      <c r="F117" s="867"/>
      <c r="G117" s="867"/>
      <c r="H117" s="915"/>
      <c r="I117" s="915"/>
      <c r="J117" s="915"/>
      <c r="K117" s="915"/>
      <c r="L117" s="915"/>
      <c r="M117" s="867"/>
      <c r="N117" s="914"/>
      <c r="O117" s="981"/>
      <c r="P117" s="981"/>
      <c r="Q117" s="981"/>
      <c r="R117" s="981"/>
      <c r="S117" s="867"/>
      <c r="T117" s="867"/>
      <c r="U117" s="867"/>
      <c r="V117" s="867"/>
      <c r="W117" s="867"/>
      <c r="X117" s="867"/>
      <c r="Y117" s="1024"/>
      <c r="Z117" s="870"/>
      <c r="AA117" s="873"/>
      <c r="AB117" s="870"/>
      <c r="AC117" s="870"/>
      <c r="AD117" s="870"/>
    </row>
    <row customHeight="1" ht="9">
      <c r="A118" s="869"/>
      <c r="B118" s="869"/>
      <c r="C118" s="867"/>
      <c r="D118" s="867"/>
      <c r="E118" s="867"/>
      <c r="F118" s="867"/>
      <c r="G118" s="867"/>
      <c r="H118" s="915"/>
      <c r="I118" s="915"/>
      <c r="J118" s="915"/>
      <c r="K118" s="915"/>
      <c r="L118" s="915"/>
      <c r="M118" s="867"/>
      <c r="N118" s="914"/>
      <c r="O118" s="981"/>
      <c r="P118" s="981"/>
      <c r="Q118" s="981"/>
      <c r="R118" s="981"/>
      <c r="S118" s="867"/>
      <c r="T118" s="867"/>
      <c r="U118" s="867"/>
      <c r="V118" s="867"/>
      <c r="W118" s="867"/>
      <c r="X118" s="867"/>
      <c r="Y118" s="1024"/>
      <c r="Z118" s="870"/>
      <c r="AA118" s="873"/>
      <c r="AB118" s="870"/>
      <c r="AC118" s="870"/>
      <c r="AD118" s="870"/>
    </row>
    <row customHeight="1" ht="9">
      <c r="A119" s="869"/>
      <c r="B119" s="869"/>
      <c r="C119" s="867"/>
      <c r="D119" s="867"/>
      <c r="E119" s="867"/>
      <c r="F119" s="867"/>
      <c r="G119" s="867"/>
      <c r="H119" s="915"/>
      <c r="I119" s="915"/>
      <c r="J119" s="915"/>
      <c r="K119" s="915"/>
      <c r="L119" s="915"/>
      <c r="M119" s="867"/>
      <c r="N119" s="914"/>
      <c r="O119" s="981"/>
      <c r="P119" s="981"/>
      <c r="Q119" s="981"/>
      <c r="R119" s="981"/>
      <c r="S119" s="867"/>
      <c r="T119" s="867"/>
      <c r="U119" s="867"/>
      <c r="V119" s="867"/>
      <c r="W119" s="867"/>
      <c r="X119" s="867"/>
      <c r="Y119" s="1024"/>
      <c r="Z119" s="870"/>
      <c r="AA119" s="873"/>
      <c r="AB119" s="870"/>
      <c r="AC119" s="870"/>
      <c r="AD119" s="870"/>
    </row>
    <row customHeight="1" ht="9">
      <c r="A120" s="869"/>
      <c r="B120" s="869"/>
      <c r="C120" s="867"/>
      <c r="D120" s="867"/>
      <c r="E120" s="867"/>
      <c r="F120" s="867"/>
      <c r="G120" s="867"/>
      <c r="H120" s="915"/>
      <c r="I120" s="915"/>
      <c r="J120" s="915"/>
      <c r="K120" s="915"/>
      <c r="L120" s="915"/>
      <c r="M120" s="867"/>
      <c r="N120" s="914"/>
      <c r="O120" s="981"/>
      <c r="P120" s="981"/>
      <c r="Q120" s="981"/>
      <c r="R120" s="981"/>
      <c r="S120" s="867"/>
      <c r="T120" s="867"/>
      <c r="U120" s="867"/>
      <c r="V120" s="867"/>
      <c r="W120" s="867"/>
      <c r="X120" s="867"/>
      <c r="Y120" s="1024"/>
      <c r="Z120" s="870"/>
      <c r="AA120" s="873"/>
      <c r="AB120" s="870"/>
      <c r="AC120" s="870"/>
      <c r="AD120" s="870"/>
    </row>
    <row customHeight="1" ht="9">
      <c r="A121" s="869"/>
      <c r="B121" s="869"/>
      <c r="C121" s="867"/>
      <c r="D121" s="867"/>
      <c r="E121" s="867"/>
      <c r="F121" s="867"/>
      <c r="G121" s="867"/>
      <c r="H121" s="915"/>
      <c r="I121" s="915"/>
      <c r="J121" s="915"/>
      <c r="K121" s="915"/>
      <c r="L121" s="915"/>
      <c r="M121" s="867"/>
      <c r="N121" s="914"/>
      <c r="O121" s="981"/>
      <c r="P121" s="981"/>
      <c r="Q121" s="981"/>
      <c r="R121" s="981"/>
      <c r="S121" s="867"/>
      <c r="T121" s="867"/>
      <c r="U121" s="867"/>
      <c r="V121" s="867"/>
      <c r="W121" s="867"/>
      <c r="X121" s="867"/>
      <c r="Y121" s="1024"/>
      <c r="Z121" s="870"/>
      <c r="AA121" s="873"/>
      <c r="AB121" s="870"/>
      <c r="AC121" s="870"/>
      <c r="AD121" s="870"/>
    </row>
    <row customHeight="1" ht="9">
      <c r="A122" s="869"/>
      <c r="B122" s="869"/>
      <c r="C122" s="867"/>
      <c r="D122" s="867"/>
      <c r="E122" s="867"/>
      <c r="F122" s="867"/>
      <c r="G122" s="867"/>
      <c r="H122" s="915"/>
      <c r="I122" s="915"/>
      <c r="J122" s="915"/>
      <c r="K122" s="915"/>
      <c r="L122" s="915"/>
      <c r="M122" s="867"/>
      <c r="N122" s="914"/>
      <c r="O122" s="981"/>
      <c r="P122" s="981"/>
      <c r="Q122" s="981"/>
      <c r="R122" s="981"/>
      <c r="S122" s="867"/>
      <c r="T122" s="867"/>
      <c r="U122" s="867"/>
      <c r="V122" s="867"/>
      <c r="W122" s="867"/>
      <c r="X122" s="867"/>
      <c r="Y122" s="1024"/>
      <c r="Z122" s="870"/>
      <c r="AA122" s="873"/>
      <c r="AB122" s="870"/>
      <c r="AC122" s="870"/>
      <c r="AD122" s="870"/>
    </row>
    <row customHeight="1" ht="9">
      <c r="A123" s="869"/>
      <c r="B123" s="869"/>
      <c r="C123" s="867"/>
      <c r="D123" s="867"/>
      <c r="E123" s="867"/>
      <c r="F123" s="867"/>
      <c r="G123" s="867"/>
      <c r="H123" s="915"/>
      <c r="I123" s="915"/>
      <c r="J123" s="915"/>
      <c r="K123" s="915"/>
      <c r="L123" s="915"/>
      <c r="M123" s="867"/>
      <c r="N123" s="914"/>
      <c r="O123" s="981"/>
      <c r="P123" s="981"/>
      <c r="Q123" s="981"/>
      <c r="R123" s="981"/>
      <c r="S123" s="867"/>
      <c r="T123" s="867"/>
      <c r="U123" s="867"/>
      <c r="V123" s="867"/>
      <c r="W123" s="867"/>
      <c r="X123" s="867"/>
      <c r="Y123" s="1024"/>
      <c r="Z123" s="870"/>
      <c r="AA123" s="873"/>
      <c r="AB123" s="870"/>
      <c r="AC123" s="870"/>
      <c r="AD123" s="870"/>
    </row>
    <row customHeight="1" ht="9">
      <c r="A124" s="869"/>
      <c r="B124" s="869"/>
      <c r="C124" s="867"/>
      <c r="D124" s="867"/>
      <c r="E124" s="867"/>
      <c r="F124" s="867"/>
      <c r="G124" s="867"/>
      <c r="H124" s="915"/>
      <c r="I124" s="915"/>
      <c r="J124" s="915"/>
      <c r="K124" s="915"/>
      <c r="L124" s="915"/>
      <c r="M124" s="867"/>
      <c r="N124" s="914"/>
      <c r="O124" s="981"/>
      <c r="P124" s="981"/>
      <c r="Q124" s="981"/>
      <c r="R124" s="981"/>
      <c r="S124" s="867"/>
      <c r="T124" s="867"/>
      <c r="U124" s="867"/>
      <c r="V124" s="867"/>
      <c r="W124" s="867"/>
      <c r="X124" s="867"/>
      <c r="Y124" s="1024"/>
      <c r="Z124" s="870"/>
      <c r="AA124" s="873"/>
      <c r="AB124" s="870"/>
      <c r="AC124" s="870"/>
      <c r="AD124" s="870"/>
    </row>
    <row customHeight="1" ht="9">
      <c r="A125" s="869"/>
      <c r="B125" s="869"/>
      <c r="C125" s="867"/>
      <c r="D125" s="867"/>
      <c r="E125" s="867"/>
      <c r="F125" s="867"/>
      <c r="G125" s="867"/>
      <c r="H125" s="915"/>
      <c r="I125" s="915"/>
      <c r="J125" s="915"/>
      <c r="K125" s="915"/>
      <c r="L125" s="915"/>
      <c r="M125" s="867"/>
      <c r="N125" s="914"/>
      <c r="O125" s="981"/>
      <c r="P125" s="981"/>
      <c r="Q125" s="981"/>
      <c r="R125" s="981"/>
      <c r="S125" s="867"/>
      <c r="T125" s="867"/>
      <c r="U125" s="867"/>
      <c r="V125" s="867"/>
      <c r="W125" s="867"/>
      <c r="X125" s="867"/>
      <c r="Y125" s="1024"/>
      <c r="Z125" s="870"/>
      <c r="AA125" s="873"/>
      <c r="AB125" s="870"/>
      <c r="AC125" s="870"/>
      <c r="AD125" s="870"/>
    </row>
    <row customHeight="1" ht="9">
      <c r="A126" s="869"/>
      <c r="B126" s="869"/>
      <c r="C126" s="867"/>
      <c r="D126" s="867"/>
      <c r="E126" s="867"/>
      <c r="F126" s="867"/>
      <c r="G126" s="867"/>
      <c r="H126" s="915"/>
      <c r="I126" s="915"/>
      <c r="J126" s="915"/>
      <c r="K126" s="915"/>
      <c r="L126" s="915"/>
      <c r="M126" s="867"/>
      <c r="N126" s="914"/>
      <c r="O126" s="981"/>
      <c r="P126" s="981"/>
      <c r="Q126" s="981"/>
      <c r="R126" s="981"/>
      <c r="S126" s="867"/>
      <c r="T126" s="867"/>
      <c r="U126" s="867"/>
      <c r="V126" s="867"/>
      <c r="W126" s="867"/>
      <c r="X126" s="867"/>
      <c r="Y126" s="1024"/>
      <c r="Z126" s="870"/>
      <c r="AA126" s="873"/>
      <c r="AB126" s="870"/>
      <c r="AC126" s="870"/>
      <c r="AD126" s="870"/>
    </row>
    <row customHeight="1" ht="9">
      <c r="A127" s="869"/>
      <c r="B127" s="869"/>
      <c r="C127" s="867"/>
      <c r="D127" s="867"/>
      <c r="E127" s="867"/>
      <c r="F127" s="867"/>
      <c r="G127" s="867"/>
      <c r="H127" s="915"/>
      <c r="I127" s="915"/>
      <c r="J127" s="915"/>
      <c r="K127" s="915"/>
      <c r="L127" s="915"/>
      <c r="M127" s="867"/>
      <c r="N127" s="914"/>
      <c r="O127" s="981"/>
      <c r="P127" s="981"/>
      <c r="Q127" s="981"/>
      <c r="R127" s="981"/>
      <c r="S127" s="867"/>
      <c r="T127" s="867"/>
      <c r="U127" s="867"/>
      <c r="V127" s="867"/>
      <c r="W127" s="867"/>
      <c r="X127" s="867"/>
      <c r="Y127" s="1024"/>
      <c r="Z127" s="870"/>
      <c r="AA127" s="873"/>
      <c r="AB127" s="870"/>
      <c r="AC127" s="870"/>
      <c r="AD127" s="870"/>
    </row>
    <row customHeight="1" ht="9">
      <c r="A128" s="869"/>
      <c r="B128" s="869"/>
      <c r="C128" s="867"/>
      <c r="D128" s="867"/>
      <c r="E128" s="867"/>
      <c r="F128" s="867"/>
      <c r="G128" s="867"/>
      <c r="H128" s="915"/>
      <c r="I128" s="915"/>
      <c r="J128" s="915"/>
      <c r="K128" s="915"/>
      <c r="L128" s="915"/>
      <c r="M128" s="867"/>
      <c r="N128" s="914"/>
      <c r="O128" s="981"/>
      <c r="P128" s="981"/>
      <c r="Q128" s="981"/>
      <c r="R128" s="981"/>
      <c r="S128" s="867"/>
      <c r="T128" s="867"/>
      <c r="U128" s="867"/>
      <c r="V128" s="867"/>
      <c r="W128" s="867"/>
      <c r="X128" s="867"/>
      <c r="Y128" s="1024"/>
      <c r="Z128" s="870"/>
      <c r="AA128" s="873"/>
      <c r="AB128" s="870"/>
      <c r="AC128" s="870"/>
      <c r="AD128" s="870"/>
    </row>
    <row customHeight="1" ht="9">
      <c r="A129" s="869"/>
      <c r="B129" s="869"/>
      <c r="C129" s="867"/>
      <c r="D129" s="867"/>
      <c r="E129" s="867"/>
      <c r="F129" s="867"/>
      <c r="G129" s="867"/>
      <c r="H129" s="915"/>
      <c r="I129" s="915"/>
      <c r="J129" s="915"/>
      <c r="K129" s="915"/>
      <c r="L129" s="915"/>
      <c r="M129" s="867"/>
      <c r="N129" s="914"/>
      <c r="O129" s="981"/>
      <c r="P129" s="981"/>
      <c r="Q129" s="981"/>
      <c r="R129" s="981"/>
      <c r="S129" s="867"/>
      <c r="T129" s="867"/>
      <c r="U129" s="867"/>
      <c r="V129" s="867"/>
      <c r="W129" s="867"/>
      <c r="X129" s="867"/>
      <c r="Y129" s="1024"/>
      <c r="Z129" s="870"/>
      <c r="AA129" s="873"/>
      <c r="AB129" s="870"/>
      <c r="AC129" s="870"/>
      <c r="AD129" s="870"/>
    </row>
    <row customHeight="1" ht="9">
      <c r="A130" s="869"/>
      <c r="B130" s="869"/>
      <c r="C130" s="867"/>
      <c r="D130" s="867"/>
      <c r="E130" s="867"/>
      <c r="F130" s="867"/>
      <c r="G130" s="867"/>
      <c r="H130" s="915"/>
      <c r="I130" s="915"/>
      <c r="J130" s="915"/>
      <c r="K130" s="915"/>
      <c r="L130" s="915"/>
      <c r="M130" s="867"/>
      <c r="N130" s="914"/>
      <c r="O130" s="983"/>
      <c r="P130" s="983"/>
      <c r="Q130" s="983"/>
      <c r="R130" s="983"/>
      <c r="S130" s="867"/>
      <c r="T130" s="867"/>
      <c r="U130" s="867"/>
      <c r="V130" s="867"/>
      <c r="W130" s="867"/>
      <c r="X130" s="867"/>
      <c r="Y130" s="1024"/>
      <c r="Z130" s="870"/>
      <c r="AA130" s="873"/>
      <c r="AB130" s="870"/>
      <c r="AC130" s="870"/>
      <c r="AD130" s="870"/>
    </row>
    <row customHeight="1" ht="9">
      <c r="A131" s="869"/>
      <c r="B131" s="869"/>
      <c r="C131" s="867"/>
      <c r="D131" s="867"/>
      <c r="E131" s="867"/>
      <c r="F131" s="867"/>
      <c r="G131" s="867"/>
      <c r="H131" s="915"/>
      <c r="I131" s="915"/>
      <c r="J131" s="915"/>
      <c r="K131" s="915"/>
      <c r="L131" s="915"/>
      <c r="M131" s="867"/>
      <c r="N131" s="914"/>
      <c r="O131" s="984"/>
      <c r="P131" s="984"/>
      <c r="Q131" s="984"/>
      <c r="R131" s="984"/>
      <c r="S131" s="867"/>
      <c r="T131" s="867"/>
      <c r="U131" s="867"/>
      <c r="V131" s="867"/>
      <c r="W131" s="867"/>
      <c r="X131" s="867"/>
      <c r="Y131" s="1024"/>
      <c r="Z131" s="870"/>
      <c r="AA131" s="873"/>
      <c r="AB131" s="870"/>
      <c r="AC131" s="870"/>
      <c r="AD131" s="870"/>
    </row>
    <row customHeight="1" ht="9">
      <c r="A132" s="869"/>
      <c r="B132" s="869"/>
      <c r="C132" s="867"/>
      <c r="D132" s="867"/>
      <c r="E132" s="867"/>
      <c r="F132" s="867"/>
      <c r="G132" s="867"/>
      <c r="H132" s="915"/>
      <c r="I132" s="915"/>
      <c r="J132" s="915"/>
      <c r="K132" s="915"/>
      <c r="L132" s="915"/>
      <c r="M132" s="867"/>
      <c r="N132" s="914"/>
      <c r="O132" s="983"/>
      <c r="P132" s="983"/>
      <c r="Q132" s="983"/>
      <c r="R132" s="983"/>
      <c r="S132" s="867"/>
      <c r="T132" s="867"/>
      <c r="U132" s="867"/>
      <c r="V132" s="867"/>
      <c r="W132" s="867"/>
      <c r="X132" s="867"/>
      <c r="Y132" s="1024"/>
      <c r="Z132" s="870"/>
      <c r="AA132" s="873"/>
      <c r="AB132" s="870"/>
      <c r="AC132" s="870"/>
      <c r="AD132" s="870"/>
    </row>
    <row customHeight="1" ht="9">
      <c r="A133" s="869"/>
      <c r="B133" s="869"/>
      <c r="C133" s="867"/>
      <c r="D133" s="867"/>
      <c r="E133" s="867"/>
      <c r="F133" s="867"/>
      <c r="G133" s="867"/>
      <c r="H133" s="915"/>
      <c r="I133" s="915"/>
      <c r="J133" s="915"/>
      <c r="K133" s="915"/>
      <c r="L133" s="915"/>
      <c r="M133" s="867"/>
      <c r="N133" s="914"/>
      <c r="O133" s="984"/>
      <c r="P133" s="984"/>
      <c r="Q133" s="984"/>
      <c r="R133" s="984"/>
      <c r="S133" s="867"/>
      <c r="T133" s="867"/>
      <c r="U133" s="867"/>
      <c r="V133" s="867"/>
      <c r="W133" s="867"/>
      <c r="X133" s="867"/>
      <c r="Y133" s="1024"/>
      <c r="Z133" s="870"/>
      <c r="AA133" s="873"/>
      <c r="AB133" s="870"/>
      <c r="AC133" s="870"/>
      <c r="AD133" s="870"/>
    </row>
    <row customHeight="1" ht="9">
      <c r="A134" s="869"/>
      <c r="B134" s="869"/>
      <c r="C134" s="867"/>
      <c r="D134" s="867"/>
      <c r="E134" s="867"/>
      <c r="F134" s="867"/>
      <c r="G134" s="867"/>
      <c r="H134" s="915"/>
      <c r="I134" s="915"/>
      <c r="J134" s="915"/>
      <c r="K134" s="915"/>
      <c r="L134" s="915"/>
      <c r="M134" s="867"/>
      <c r="N134" s="914"/>
      <c r="O134" s="981"/>
      <c r="P134" s="981"/>
      <c r="Q134" s="981"/>
      <c r="R134" s="981"/>
      <c r="S134" s="867"/>
      <c r="T134" s="867"/>
      <c r="U134" s="867"/>
      <c r="V134" s="867"/>
      <c r="W134" s="867"/>
      <c r="X134" s="867"/>
      <c r="Y134" s="1024"/>
      <c r="Z134" s="870"/>
      <c r="AA134" s="873"/>
      <c r="AB134" s="870"/>
      <c r="AC134" s="870"/>
      <c r="AD134" s="870"/>
    </row>
    <row customHeight="1" ht="9">
      <c r="A135" s="869"/>
      <c r="B135" s="869"/>
      <c r="C135" s="867"/>
      <c r="D135" s="867"/>
      <c r="E135" s="867"/>
      <c r="F135" s="867"/>
      <c r="G135" s="867"/>
      <c r="H135" s="915"/>
      <c r="I135" s="915"/>
      <c r="J135" s="915"/>
      <c r="K135" s="915"/>
      <c r="L135" s="915"/>
      <c r="M135" s="867"/>
      <c r="N135" s="914"/>
      <c r="O135" s="981"/>
      <c r="P135" s="981"/>
      <c r="Q135" s="981"/>
      <c r="R135" s="981"/>
      <c r="S135" s="867"/>
      <c r="T135" s="867"/>
      <c r="U135" s="867"/>
      <c r="V135" s="867"/>
      <c r="W135" s="867"/>
      <c r="X135" s="867"/>
      <c r="Y135" s="1024"/>
      <c r="Z135" s="870"/>
      <c r="AA135" s="873"/>
      <c r="AB135" s="870"/>
      <c r="AC135" s="870"/>
      <c r="AD135" s="870"/>
    </row>
    <row customHeight="1" ht="9">
      <c r="A136" s="869"/>
      <c r="B136" s="869"/>
      <c r="C136" s="867"/>
      <c r="D136" s="867"/>
      <c r="E136" s="867"/>
      <c r="F136" s="867"/>
      <c r="G136" s="867"/>
      <c r="H136" s="915"/>
      <c r="I136" s="915"/>
      <c r="J136" s="915"/>
      <c r="K136" s="915"/>
      <c r="L136" s="915"/>
      <c r="M136" s="867"/>
      <c r="N136" s="914"/>
      <c r="O136" s="981"/>
      <c r="P136" s="981"/>
      <c r="Q136" s="981"/>
      <c r="R136" s="981"/>
      <c r="S136" s="867"/>
      <c r="T136" s="867"/>
      <c r="U136" s="867"/>
      <c r="V136" s="867"/>
      <c r="W136" s="867"/>
      <c r="X136" s="867"/>
      <c r="Y136" s="1024"/>
      <c r="Z136" s="870"/>
      <c r="AA136" s="873"/>
      <c r="AB136" s="870"/>
      <c r="AC136" s="870"/>
      <c r="AD136" s="870"/>
    </row>
    <row customHeight="1" ht="9">
      <c r="A137" s="869"/>
      <c r="B137" s="869"/>
      <c r="C137" s="867"/>
      <c r="D137" s="867"/>
      <c r="E137" s="867"/>
      <c r="F137" s="867"/>
      <c r="G137" s="867"/>
      <c r="H137" s="915"/>
      <c r="I137" s="915"/>
      <c r="J137" s="915"/>
      <c r="K137" s="915"/>
      <c r="L137" s="915"/>
      <c r="M137" s="867"/>
      <c r="N137" s="914"/>
      <c r="O137" s="985"/>
      <c r="P137" s="985"/>
      <c r="Q137" s="985"/>
      <c r="R137" s="985"/>
      <c r="S137" s="867"/>
      <c r="T137" s="867"/>
      <c r="U137" s="867"/>
      <c r="V137" s="867"/>
      <c r="W137" s="867"/>
      <c r="X137" s="867"/>
      <c r="Y137" s="1024"/>
      <c r="Z137" s="870"/>
      <c r="AA137" s="873"/>
      <c r="AB137" s="870"/>
      <c r="AC137" s="870"/>
      <c r="AD137" s="870"/>
    </row>
    <row customHeight="1" ht="9">
      <c r="A138" s="869"/>
      <c r="B138" s="869"/>
      <c r="C138" s="867"/>
      <c r="D138" s="867"/>
      <c r="E138" s="867"/>
      <c r="F138" s="867"/>
      <c r="G138" s="867"/>
      <c r="H138" s="915"/>
      <c r="I138" s="915"/>
      <c r="J138" s="915"/>
      <c r="K138" s="915"/>
      <c r="L138" s="915"/>
      <c r="M138" s="867"/>
      <c r="N138" s="914"/>
      <c r="O138" s="982"/>
      <c r="P138" s="982"/>
      <c r="Q138" s="982"/>
      <c r="R138" s="982"/>
      <c r="S138" s="867"/>
      <c r="T138" s="867"/>
      <c r="U138" s="867"/>
      <c r="V138" s="867"/>
      <c r="W138" s="867"/>
      <c r="X138" s="867"/>
      <c r="Y138" s="1024"/>
      <c r="Z138" s="870"/>
      <c r="AA138" s="873"/>
      <c r="AB138" s="870"/>
      <c r="AC138" s="870"/>
      <c r="AD138" s="870"/>
    </row>
    <row customHeight="1" ht="9">
      <c r="A139" s="869"/>
      <c r="B139" s="869"/>
      <c r="C139" s="867"/>
      <c r="D139" s="867"/>
      <c r="E139" s="867"/>
      <c r="F139" s="867"/>
      <c r="G139" s="867"/>
      <c r="H139" s="915"/>
      <c r="I139" s="915"/>
      <c r="J139" s="915"/>
      <c r="K139" s="915"/>
      <c r="L139" s="915"/>
      <c r="M139" s="867"/>
      <c r="N139" s="914"/>
      <c r="O139" s="867"/>
      <c r="P139" s="867"/>
      <c r="Q139" s="867"/>
      <c r="R139" s="867"/>
      <c r="S139" s="867"/>
      <c r="T139" s="867"/>
      <c r="U139" s="867"/>
      <c r="V139" s="867"/>
      <c r="W139" s="867"/>
      <c r="X139" s="867"/>
      <c r="Y139" s="1024"/>
      <c r="Z139" s="870"/>
      <c r="AA139" s="873"/>
      <c r="AB139" s="870"/>
      <c r="AC139" s="870"/>
      <c r="AD139" s="870"/>
    </row>
    <row customHeight="1" ht="9">
      <c r="A140" s="869"/>
      <c r="B140" s="869"/>
      <c r="C140" s="867"/>
      <c r="D140" s="867"/>
      <c r="E140" s="867"/>
      <c r="F140" s="867"/>
      <c r="G140" s="867"/>
      <c r="H140" s="915"/>
      <c r="I140" s="915"/>
      <c r="J140" s="915"/>
      <c r="K140" s="915"/>
      <c r="L140" s="915"/>
      <c r="M140" s="867"/>
      <c r="N140" s="914"/>
      <c r="O140" s="867"/>
      <c r="P140" s="867"/>
      <c r="Q140" s="867"/>
      <c r="R140" s="867"/>
      <c r="S140" s="867"/>
      <c r="T140" s="867"/>
      <c r="U140" s="867"/>
      <c r="V140" s="867"/>
      <c r="W140" s="867"/>
      <c r="X140" s="867"/>
      <c r="Y140" s="1024"/>
      <c r="Z140" s="870"/>
      <c r="AA140" s="873"/>
      <c r="AB140" s="870"/>
      <c r="AC140" s="870"/>
      <c r="AD140" s="870"/>
    </row>
    <row customHeight="1" ht="9">
      <c r="A141" s="869"/>
      <c r="B141" s="869"/>
      <c r="C141" s="867"/>
      <c r="D141" s="867"/>
      <c r="E141" s="867"/>
      <c r="F141" s="867"/>
      <c r="G141" s="867"/>
      <c r="H141" s="915"/>
      <c r="I141" s="915"/>
      <c r="J141" s="915"/>
      <c r="K141" s="915"/>
      <c r="L141" s="915"/>
      <c r="M141" s="867"/>
      <c r="N141" s="914"/>
      <c r="O141" s="867"/>
      <c r="P141" s="867"/>
      <c r="Q141" s="867"/>
      <c r="R141" s="867"/>
      <c r="S141" s="867"/>
      <c r="T141" s="867"/>
      <c r="U141" s="867"/>
      <c r="V141" s="867"/>
      <c r="W141" s="867"/>
      <c r="X141" s="867"/>
      <c r="Y141" s="1024"/>
      <c r="Z141" s="870"/>
      <c r="AA141" s="873"/>
      <c r="AB141" s="870"/>
      <c r="AC141" s="870"/>
      <c r="AD141" s="870"/>
    </row>
    <row customHeight="1" ht="9">
      <c r="A142" s="869"/>
      <c r="B142" s="869"/>
      <c r="C142" s="867"/>
      <c r="D142" s="867"/>
      <c r="E142" s="867"/>
      <c r="F142" s="867"/>
      <c r="G142" s="867"/>
      <c r="H142" s="915"/>
      <c r="I142" s="915"/>
      <c r="J142" s="915"/>
      <c r="K142" s="915"/>
      <c r="L142" s="915"/>
      <c r="M142" s="867"/>
      <c r="N142" s="914"/>
      <c r="O142" s="867"/>
      <c r="P142" s="867"/>
      <c r="Q142" s="867"/>
      <c r="R142" s="867"/>
      <c r="S142" s="867"/>
      <c r="T142" s="867"/>
      <c r="U142" s="867"/>
      <c r="V142" s="867"/>
      <c r="W142" s="867"/>
      <c r="X142" s="867"/>
      <c r="Y142" s="1024"/>
      <c r="Z142" s="870"/>
      <c r="AA142" s="873"/>
      <c r="AB142" s="870"/>
      <c r="AC142" s="870"/>
      <c r="AD142" s="870"/>
    </row>
    <row customHeight="1" ht="9">
      <c r="A143" s="869"/>
      <c r="B143" s="869"/>
      <c r="C143" s="867"/>
      <c r="D143" s="867"/>
      <c r="E143" s="867"/>
      <c r="F143" s="867"/>
      <c r="G143" s="867"/>
      <c r="H143" s="915"/>
      <c r="I143" s="915"/>
      <c r="J143" s="915"/>
      <c r="K143" s="915"/>
      <c r="L143" s="915"/>
      <c r="M143" s="867"/>
      <c r="N143" s="914"/>
      <c r="O143" s="867"/>
      <c r="P143" s="867"/>
      <c r="Q143" s="867"/>
      <c r="R143" s="867"/>
      <c r="S143" s="867"/>
      <c r="T143" s="867"/>
      <c r="U143" s="867"/>
      <c r="V143" s="867"/>
      <c r="W143" s="867"/>
      <c r="X143" s="867"/>
      <c r="Y143" s="1024"/>
      <c r="Z143" s="870"/>
      <c r="AA143" s="873"/>
      <c r="AB143" s="870"/>
      <c r="AC143" s="870"/>
      <c r="AD143" s="870"/>
    </row>
    <row customHeight="1" ht="9">
      <c r="A144" s="869"/>
      <c r="B144" s="869"/>
      <c r="C144" s="867"/>
      <c r="D144" s="867"/>
      <c r="E144" s="867"/>
      <c r="F144" s="867"/>
      <c r="G144" s="867"/>
      <c r="H144" s="915"/>
      <c r="I144" s="915"/>
      <c r="J144" s="915"/>
      <c r="K144" s="915"/>
      <c r="L144" s="915"/>
      <c r="M144" s="867"/>
      <c r="N144" s="914"/>
      <c r="O144" s="867"/>
      <c r="P144" s="867"/>
      <c r="Q144" s="867"/>
      <c r="R144" s="867"/>
      <c r="S144" s="867"/>
      <c r="T144" s="867"/>
      <c r="U144" s="867"/>
      <c r="V144" s="867"/>
      <c r="W144" s="867"/>
      <c r="X144" s="867"/>
      <c r="Y144" s="1024"/>
      <c r="Z144" s="870"/>
      <c r="AA144" s="873"/>
      <c r="AB144" s="870"/>
      <c r="AC144" s="870"/>
      <c r="AD144" s="870"/>
    </row>
    <row customHeight="1" ht="9">
      <c r="A145" s="869"/>
      <c r="B145" s="869"/>
      <c r="C145" s="867"/>
      <c r="D145" s="867"/>
      <c r="E145" s="867"/>
      <c r="F145" s="867"/>
      <c r="G145" s="867"/>
      <c r="H145" s="915"/>
      <c r="I145" s="915"/>
      <c r="J145" s="915"/>
      <c r="K145" s="915"/>
      <c r="L145" s="915"/>
      <c r="M145" s="867"/>
      <c r="N145" s="914"/>
      <c r="O145" s="867"/>
      <c r="P145" s="867"/>
      <c r="Q145" s="867"/>
      <c r="R145" s="867"/>
      <c r="S145" s="867"/>
      <c r="T145" s="867"/>
      <c r="U145" s="867"/>
      <c r="V145" s="867"/>
      <c r="W145" s="867"/>
      <c r="X145" s="867"/>
      <c r="Y145" s="1024"/>
      <c r="Z145" s="870"/>
      <c r="AA145" s="873"/>
      <c r="AB145" s="870"/>
      <c r="AC145" s="870"/>
      <c r="AD145" s="870"/>
    </row>
    <row customHeight="1" ht="9">
      <c r="A146" s="869"/>
      <c r="B146" s="869"/>
      <c r="C146" s="867"/>
      <c r="D146" s="867"/>
      <c r="E146" s="867"/>
      <c r="F146" s="867"/>
      <c r="G146" s="867"/>
      <c r="H146" s="915"/>
      <c r="I146" s="915"/>
      <c r="J146" s="915"/>
      <c r="K146" s="915"/>
      <c r="L146" s="915"/>
      <c r="M146" s="867"/>
      <c r="N146" s="914"/>
      <c r="O146" s="867"/>
      <c r="P146" s="867"/>
      <c r="Q146" s="867"/>
      <c r="R146" s="867"/>
      <c r="S146" s="867"/>
      <c r="T146" s="867"/>
      <c r="U146" s="867"/>
      <c r="V146" s="867"/>
      <c r="W146" s="867"/>
      <c r="X146" s="867"/>
      <c r="Y146" s="1024"/>
      <c r="Z146" s="870"/>
      <c r="AA146" s="873"/>
      <c r="AB146" s="870"/>
      <c r="AC146" s="870"/>
      <c r="AD146" s="870"/>
    </row>
    <row customHeight="1" ht="9">
      <c r="A147" s="869"/>
      <c r="B147" s="869"/>
      <c r="C147" s="869"/>
      <c r="D147" s="869"/>
      <c r="E147" s="869"/>
      <c r="F147" s="869"/>
      <c r="G147" s="869"/>
      <c r="H147" s="869"/>
      <c r="I147" s="869"/>
      <c r="J147" s="869"/>
      <c r="K147" s="869"/>
      <c r="L147" s="869"/>
      <c r="M147" s="869"/>
      <c r="N147" s="869"/>
      <c r="O147" s="869"/>
      <c r="P147" s="869"/>
      <c r="Q147" s="869"/>
      <c r="R147" s="869"/>
      <c r="S147" s="869"/>
      <c r="T147" s="869"/>
      <c r="U147" s="869"/>
      <c r="V147" s="869"/>
      <c r="W147" s="869"/>
      <c r="X147" s="869"/>
      <c r="Y147" s="869"/>
      <c r="Z147" s="869"/>
      <c r="AA147" s="869"/>
      <c r="AB147" s="869"/>
      <c r="AC147" s="869"/>
      <c r="AD147" s="869"/>
    </row>
    <row customHeight="1" ht="90">
      <c r="A148" s="869" t="s">
        <v>1995</v>
      </c>
      <c r="B148" s="869"/>
      <c r="C148" s="867" t="s">
        <v>2558</v>
      </c>
      <c r="D148" s="867" t="s">
        <v>1898</v>
      </c>
      <c r="E148" s="867" t="s">
        <v>1997</v>
      </c>
      <c r="F148" s="867" t="s">
        <v>2559</v>
      </c>
      <c r="G148" s="867"/>
      <c r="H148" s="867"/>
      <c r="I148" s="987"/>
      <c r="J148" s="987"/>
      <c r="K148" s="987"/>
      <c r="L148" s="987"/>
      <c r="M148" s="91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72"/>
      <c r="O148" s="867"/>
      <c r="P148" s="868"/>
      <c r="Q148" s="868"/>
      <c r="R148" s="868"/>
      <c r="S148" s="867"/>
      <c r="T148" s="867" t="s">
        <v>2560</v>
      </c>
      <c r="U148" s="86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68"/>
      <c r="W148" s="868"/>
      <c r="X148" s="867" t="s">
        <v>2561</v>
      </c>
      <c r="Y148" s="1024"/>
      <c r="Z148" s="870"/>
      <c r="AA148" s="873"/>
      <c r="AB148" s="870"/>
      <c r="AC148" s="870"/>
      <c r="AD148" s="870"/>
    </row>
    <row customHeight="1" ht="9">
      <c r="A149" s="869"/>
      <c r="B149" s="869"/>
      <c r="C149" s="869"/>
      <c r="D149" s="869"/>
      <c r="E149" s="869"/>
      <c r="F149" s="869"/>
      <c r="G149" s="869"/>
      <c r="H149" s="869"/>
      <c r="I149" s="869"/>
      <c r="J149" s="869"/>
      <c r="K149" s="869"/>
      <c r="L149" s="869"/>
      <c r="M149" s="869"/>
      <c r="N149" s="869"/>
      <c r="O149" s="869"/>
      <c r="P149" s="869"/>
      <c r="Q149" s="869"/>
      <c r="R149" s="869"/>
      <c r="S149" s="869"/>
      <c r="T149" s="869"/>
      <c r="U149" s="869"/>
      <c r="V149" s="869"/>
      <c r="W149" s="869"/>
      <c r="X149" s="869"/>
      <c r="Y149" s="869"/>
      <c r="Z149" s="869"/>
      <c r="AA149" s="869"/>
      <c r="AB149" s="869"/>
      <c r="AC149" s="869"/>
      <c r="AD149" s="869"/>
    </row>
    <row customHeight="1" ht="9">
      <c r="A150" s="869" t="s">
        <v>1999</v>
      </c>
      <c r="B150" s="869"/>
      <c r="C150" s="867"/>
      <c r="D150" s="867"/>
      <c r="E150" s="867"/>
      <c r="F150" s="867"/>
      <c r="G150" s="867"/>
      <c r="H150" s="867"/>
      <c r="I150" s="867"/>
      <c r="J150" s="867"/>
      <c r="K150" s="867"/>
      <c r="L150" s="867"/>
      <c r="M150" s="867"/>
      <c r="N150" s="867"/>
      <c r="O150" s="867"/>
      <c r="P150" s="867"/>
      <c r="Q150" s="867"/>
      <c r="R150" s="867"/>
      <c r="S150" s="867"/>
      <c r="T150" s="867"/>
      <c r="U150" s="867"/>
      <c r="V150" s="867"/>
      <c r="W150" s="867"/>
      <c r="X150" s="867"/>
      <c r="Y150" s="1024"/>
      <c r="Z150" s="870"/>
      <c r="AA150" s="873"/>
      <c r="AB150" s="870"/>
      <c r="AC150" s="870"/>
      <c r="AD150" s="870"/>
    </row>
    <row customHeight="1" ht="9">
      <c r="A151" s="869"/>
      <c r="B151" s="869"/>
      <c r="C151" s="869"/>
      <c r="D151" s="869"/>
      <c r="E151" s="869"/>
      <c r="F151" s="869"/>
      <c r="G151" s="869"/>
      <c r="H151" s="869"/>
      <c r="I151" s="869"/>
      <c r="J151" s="869"/>
      <c r="K151" s="869"/>
      <c r="L151" s="869"/>
      <c r="M151" s="869"/>
      <c r="N151" s="869"/>
      <c r="O151" s="869"/>
      <c r="P151" s="869"/>
      <c r="Q151" s="869"/>
      <c r="R151" s="869"/>
      <c r="S151" s="869"/>
      <c r="T151" s="869"/>
      <c r="U151" s="869"/>
      <c r="V151" s="869"/>
      <c r="W151" s="869"/>
      <c r="X151" s="869"/>
      <c r="Y151" s="869"/>
      <c r="Z151" s="869"/>
      <c r="AA151" s="869"/>
      <c r="AB151" s="869"/>
      <c r="AC151" s="869"/>
      <c r="AD151" s="869"/>
    </row>
    <row customHeight="1" ht="9">
      <c r="A152" s="869" t="s">
        <v>2002</v>
      </c>
      <c r="B152" s="869"/>
      <c r="C152" s="867"/>
      <c r="D152" s="867"/>
      <c r="E152" s="867"/>
      <c r="F152" s="867"/>
      <c r="G152" s="867"/>
      <c r="H152" s="867"/>
      <c r="I152" s="867"/>
      <c r="J152" s="867"/>
      <c r="K152" s="867"/>
      <c r="L152" s="867"/>
      <c r="M152" s="867"/>
      <c r="N152" s="867"/>
      <c r="O152" s="867"/>
      <c r="P152" s="867"/>
      <c r="Q152" s="867"/>
      <c r="R152" s="867"/>
      <c r="S152" s="867"/>
      <c r="T152" s="867"/>
      <c r="U152" s="867"/>
      <c r="V152" s="867"/>
      <c r="W152" s="867"/>
      <c r="X152" s="867"/>
      <c r="Y152" s="1024"/>
      <c r="Z152" s="870"/>
      <c r="AA152" s="873"/>
      <c r="AB152" s="870"/>
      <c r="AC152" s="870"/>
      <c r="AD152" s="870"/>
    </row>
    <row customHeight="1" ht="9">
      <c r="A153" s="869"/>
      <c r="B153" s="869"/>
      <c r="C153" s="869"/>
      <c r="D153" s="869"/>
      <c r="E153" s="869"/>
      <c r="F153" s="869"/>
      <c r="G153" s="869"/>
      <c r="H153" s="869"/>
      <c r="I153" s="869"/>
      <c r="J153" s="869"/>
      <c r="K153" s="869"/>
      <c r="L153" s="869"/>
      <c r="M153" s="869"/>
      <c r="N153" s="869"/>
      <c r="O153" s="869"/>
      <c r="P153" s="869"/>
      <c r="Q153" s="869"/>
      <c r="R153" s="869"/>
      <c r="S153" s="869"/>
      <c r="T153" s="869"/>
      <c r="U153" s="869"/>
      <c r="V153" s="869"/>
      <c r="W153" s="869"/>
      <c r="X153" s="869"/>
      <c r="Y153" s="869"/>
      <c r="Z153" s="869"/>
      <c r="AA153" s="869"/>
      <c r="AB153" s="869"/>
      <c r="AC153" s="869"/>
      <c r="AD153" s="869"/>
    </row>
    <row customHeight="1" ht="9">
      <c r="A154" s="869" t="s">
        <v>2007</v>
      </c>
      <c r="B154" s="869"/>
      <c r="C154" s="867"/>
      <c r="D154" s="867"/>
      <c r="E154" s="867"/>
      <c r="F154" s="867"/>
      <c r="G154" s="867"/>
      <c r="H154" s="867"/>
      <c r="I154" s="867"/>
      <c r="J154" s="867"/>
      <c r="K154" s="867"/>
      <c r="L154" s="867"/>
      <c r="M154" s="867"/>
      <c r="N154" s="867"/>
      <c r="O154" s="867"/>
      <c r="P154" s="867"/>
      <c r="Q154" s="867"/>
      <c r="R154" s="867"/>
      <c r="S154" s="867"/>
      <c r="T154" s="867"/>
      <c r="U154" s="867"/>
      <c r="V154" s="867"/>
      <c r="W154" s="867"/>
      <c r="X154" s="867"/>
      <c r="Y154" s="1024"/>
      <c r="Z154" s="870"/>
      <c r="AA154" s="873"/>
      <c r="AB154" s="870"/>
      <c r="AC154" s="870"/>
      <c r="AD154" s="870"/>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BE5181-D8B6-4E36-5C29-0.F34A625}"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90" width="10.57421875" hidden="1"/>
    <col min="2" max="2" style="1390" width="11.00390625" hidden="1" customWidth="1"/>
    <col min="3" max="3" style="1390" width="10.57421875" hidden="1"/>
    <col min="4" max="4" style="1390" width="11.8515625" hidden="1" customWidth="1"/>
    <col min="5" max="5" style="1390" width="12.28125" hidden="1" customWidth="1"/>
    <col min="6" max="8" style="1800" width="12.28125" hidden="1" customWidth="1"/>
    <col min="9" max="9" style="2421" width="3.00390625" customWidth="1"/>
    <col min="10" max="11" style="368" width="3.00390625" customWidth="1"/>
    <col min="12" max="12" style="2431" width="12.00390625" customWidth="1"/>
    <col min="13" max="13" style="1659" width="31.00390625" customWidth="1"/>
    <col min="14" max="14" style="1659" width="1.00390625" customWidth="1"/>
    <col min="15" max="18" style="1659" width="24.00390625" customWidth="1"/>
    <col min="19" max="19" style="1659" width="11.00390625" customWidth="1"/>
    <col min="20" max="20" style="1659" width="3.7109375" customWidth="1"/>
    <col min="21" max="21" style="1659" width="11.00390625" customWidth="1"/>
    <col min="22" max="22" style="1659" width="8.57421875" customWidth="1"/>
    <col min="23" max="23" style="1659" width="4.00390625" customWidth="1"/>
    <col min="24" max="24" style="1659" width="115.00390625" customWidth="1"/>
    <col min="25" max="29" style="1666" width="10.00390625" customWidth="1"/>
    <col min="30" max="30" style="1659" width="10.57421875" hidden="1"/>
  </cols>
  <sheetData>
    <row customHeight="1" ht="22.5" hidden="1">
      <c r="R1" s="351"/>
      <c r="S1" s="351"/>
      <c r="AD1" s="1179" t="s">
        <v>14</v>
      </c>
    </row>
    <row customHeight="1" ht="14.25" hidden="1">
      <c r="V2" s="351"/>
      <c r="AD2" s="1179">
        <v>0</v>
      </c>
    </row>
    <row customHeight="1" ht="14.25" hidden="1">
      <c r="AD3" s="1179">
        <v>0</v>
      </c>
    </row>
    <row customHeight="1" ht="14.699999999999998">
      <c r="J4" s="400"/>
      <c r="K4" s="400"/>
      <c r="L4" s="1299"/>
      <c r="M4" s="387"/>
      <c r="N4" s="387"/>
      <c r="O4" s="533"/>
      <c r="P4" s="533"/>
      <c r="Q4" s="533"/>
      <c r="R4" s="533"/>
      <c r="S4" s="533"/>
      <c r="T4" s="533"/>
      <c r="U4" s="533"/>
      <c r="V4" s="533"/>
      <c r="AD4" s="1179">
        <v>14</v>
      </c>
    </row>
    <row customHeight="1" ht="67.2">
      <c r="J5" s="400"/>
      <c r="K5" s="400"/>
      <c r="L5" s="2627" t="s">
        <v>2562</v>
      </c>
      <c r="M5" s="2627"/>
      <c r="N5" s="2627"/>
      <c r="O5" s="2627"/>
      <c r="P5" s="2627"/>
      <c r="Q5" s="2627"/>
      <c r="R5" s="2627"/>
      <c r="S5" s="2627"/>
      <c r="T5" s="2627"/>
      <c r="U5" s="2627"/>
      <c r="V5" s="1267"/>
      <c r="AD5" s="1179">
        <v>64</v>
      </c>
    </row>
    <row customHeight="1" ht="14.699999999999998">
      <c r="J6" s="400"/>
      <c r="K6" s="400"/>
      <c r="L6" s="2628" t="str">
        <f>IF(org=0,"Не определено",org)</f>
        <v>АО "ДГК"</v>
      </c>
      <c r="M6" s="2628"/>
      <c r="N6" s="2628"/>
      <c r="O6" s="2628"/>
      <c r="P6" s="2628"/>
      <c r="Q6" s="2628"/>
      <c r="R6" s="2628"/>
      <c r="S6" s="2628"/>
      <c r="T6" s="2628"/>
      <c r="U6" s="2628"/>
      <c r="V6" s="1267"/>
      <c r="AD6" s="1179">
        <v>14</v>
      </c>
    </row>
    <row customHeight="1" ht="14.699999999999998">
      <c r="J7" s="400"/>
      <c r="K7" s="400"/>
      <c r="L7" s="1299"/>
      <c r="M7" s="387"/>
      <c r="N7" s="387"/>
      <c r="O7" s="346"/>
      <c r="P7" s="346"/>
      <c r="Q7" s="346"/>
      <c r="R7" s="346"/>
      <c r="S7" s="346"/>
      <c r="T7" s="346"/>
      <c r="U7" s="346"/>
      <c r="V7" s="346"/>
      <c r="W7" s="533"/>
      <c r="AD7" s="1179">
        <v>14</v>
      </c>
    </row>
    <row s="1877" customFormat="1" customHeight="1" ht="48.29999999999999">
      <c r="A8" s="1392"/>
      <c r="B8" s="1392"/>
      <c r="C8" s="1392"/>
      <c r="D8" s="1392"/>
      <c r="E8" s="1392"/>
      <c r="F8" s="1392"/>
      <c r="G8" s="1392"/>
      <c r="H8" s="1392"/>
      <c r="L8" s="1300"/>
      <c r="M8" s="319" t="s">
        <v>42</v>
      </c>
      <c r="N8" s="328"/>
      <c r="O8" s="2275" t="str">
        <f>IF(TITLE_NAME_OR_PR_CHANGE="",IF(TITLE_NAME_OR_PR="","",TITLE_NAME_OR_PR),TITLE_NAME_OR_PR_CHANGE)</f>
        <v/>
      </c>
      <c r="P8" s="2275"/>
      <c r="Q8" s="2275"/>
      <c r="R8" s="2275"/>
      <c r="S8" s="2275"/>
      <c r="T8" s="2275"/>
      <c r="U8" s="2275"/>
      <c r="V8" s="350"/>
      <c r="W8" s="350"/>
      <c r="X8" s="304"/>
      <c r="Y8" s="392"/>
      <c r="Z8" s="392"/>
      <c r="AA8" s="392"/>
      <c r="AB8" s="392"/>
      <c r="AC8" s="392"/>
      <c r="AD8" s="442">
        <v>46</v>
      </c>
    </row>
    <row s="1877" customFormat="1" customHeight="1" ht="24">
      <c r="A9" s="1392"/>
      <c r="B9" s="1392"/>
      <c r="C9" s="1392"/>
      <c r="D9" s="1392"/>
      <c r="E9" s="1392"/>
      <c r="F9" s="1392"/>
      <c r="G9" s="1392"/>
      <c r="H9" s="1392"/>
      <c r="L9" s="1300"/>
      <c r="M9" s="319" t="s">
        <v>507</v>
      </c>
      <c r="N9" s="328"/>
      <c r="O9" s="2275" t="str">
        <f>IF(TITLE_DATE_CHANGE_PERIOD="",IF(TITLE_DATE_PR="","",TITLE_DATE_PR),TITLE_DATE_CHANGE_PERIOD)</f>
        <v/>
      </c>
      <c r="P9" s="2275"/>
      <c r="Q9" s="2275"/>
      <c r="R9" s="2275"/>
      <c r="S9" s="2275"/>
      <c r="T9" s="2275"/>
      <c r="U9" s="2275"/>
      <c r="V9" s="350"/>
      <c r="W9" s="350"/>
      <c r="X9" s="304"/>
      <c r="Y9" s="392"/>
      <c r="Z9" s="392"/>
      <c r="AA9" s="392"/>
      <c r="AB9" s="392"/>
      <c r="AC9" s="392"/>
      <c r="AD9" s="442">
        <v>23</v>
      </c>
    </row>
    <row s="1877" customFormat="1" customHeight="1" ht="24">
      <c r="A10" s="1392"/>
      <c r="B10" s="1392"/>
      <c r="C10" s="1392"/>
      <c r="D10" s="1392"/>
      <c r="E10" s="1392"/>
      <c r="F10" s="1392"/>
      <c r="G10" s="1392"/>
      <c r="H10" s="1392"/>
      <c r="L10" s="1274"/>
      <c r="M10" s="319" t="s">
        <v>508</v>
      </c>
      <c r="N10" s="328"/>
      <c r="O10" s="2275" t="str">
        <f>IF(TITLE_NUMBER_PR_CHANGE="",IF(TITLE_NUMBER_PR="","",TITLE_NUMBER_PR),TITLE_NUMBER_PR_CHANGE)</f>
        <v/>
      </c>
      <c r="P10" s="2275"/>
      <c r="Q10" s="2275"/>
      <c r="R10" s="2275"/>
      <c r="S10" s="2275"/>
      <c r="T10" s="2275"/>
      <c r="U10" s="2275"/>
      <c r="V10" s="350"/>
      <c r="W10" s="350"/>
      <c r="X10" s="304"/>
      <c r="Y10" s="392"/>
      <c r="Z10" s="392"/>
      <c r="AA10" s="392"/>
      <c r="AB10" s="392"/>
      <c r="AC10" s="392"/>
      <c r="AD10" s="442">
        <v>23</v>
      </c>
    </row>
    <row s="1877" customFormat="1" customHeight="1" ht="24">
      <c r="A11" s="1392"/>
      <c r="B11" s="1392"/>
      <c r="C11" s="1392"/>
      <c r="D11" s="1392"/>
      <c r="E11" s="1392"/>
      <c r="F11" s="1392"/>
      <c r="G11" s="1392"/>
      <c r="H11" s="1392"/>
      <c r="L11" s="1274"/>
      <c r="M11" s="319" t="s">
        <v>43</v>
      </c>
      <c r="N11" s="328"/>
      <c r="O11" s="2275" t="str">
        <f>IF(TITLE_IST_PUB_CHANGE="",IF(TITLE_IST_PUB="","",TITLE_IST_PUB),TITLE_IST_PUB_CHANGE)</f>
        <v/>
      </c>
      <c r="P11" s="2275"/>
      <c r="Q11" s="2275"/>
      <c r="R11" s="2275"/>
      <c r="S11" s="2275"/>
      <c r="T11" s="2275"/>
      <c r="U11" s="2275"/>
      <c r="V11" s="350"/>
      <c r="W11" s="350"/>
      <c r="X11" s="304"/>
      <c r="Y11" s="392"/>
      <c r="Z11" s="392"/>
      <c r="AA11" s="392"/>
      <c r="AB11" s="392"/>
      <c r="AC11" s="392"/>
      <c r="AD11" s="442">
        <v>23</v>
      </c>
    </row>
    <row s="1877" customFormat="1" customHeight="1" ht="11.25" hidden="1">
      <c r="A12" s="1392"/>
      <c r="B12" s="1392"/>
      <c r="C12" s="1392"/>
      <c r="D12" s="1392"/>
      <c r="E12" s="1392"/>
      <c r="F12" s="1392"/>
      <c r="G12" s="1392"/>
      <c r="H12" s="1392"/>
      <c r="L12" s="2629"/>
      <c r="M12" s="2629"/>
      <c r="N12" s="1311"/>
      <c r="O12" s="350"/>
      <c r="P12" s="350"/>
      <c r="Q12" s="350"/>
      <c r="R12" s="350"/>
      <c r="S12" s="350"/>
      <c r="T12" s="350"/>
      <c r="U12" s="350"/>
      <c r="V12" s="302" t="s">
        <v>511</v>
      </c>
      <c r="Y12" s="392"/>
      <c r="Z12" s="392"/>
      <c r="AA12" s="392"/>
      <c r="AB12" s="392"/>
      <c r="AC12" s="392"/>
      <c r="AD12" s="442">
        <v>0</v>
      </c>
    </row>
    <row customHeight="1" ht="14.699999999999998">
      <c r="J13" s="400"/>
      <c r="K13" s="400"/>
      <c r="L13" s="1299"/>
      <c r="M13" s="387"/>
      <c r="N13" s="1268"/>
      <c r="O13" s="2276"/>
      <c r="P13" s="2276"/>
      <c r="Q13" s="2276"/>
      <c r="R13" s="2276"/>
      <c r="S13" s="2276"/>
      <c r="T13" s="2276"/>
      <c r="U13" s="2276"/>
      <c r="V13" s="2276"/>
      <c r="AD13" s="1179">
        <v>14</v>
      </c>
    </row>
    <row customHeight="1" ht="14.699999999999998">
      <c r="J14" s="400"/>
      <c r="K14" s="400"/>
      <c r="L14" s="2151" t="s">
        <v>384</v>
      </c>
      <c r="M14" s="2151"/>
      <c r="N14" s="2151"/>
      <c r="O14" s="2151"/>
      <c r="P14" s="2151"/>
      <c r="Q14" s="2151"/>
      <c r="R14" s="2151"/>
      <c r="S14" s="2151"/>
      <c r="T14" s="2151"/>
      <c r="U14" s="2151"/>
      <c r="V14" s="2151"/>
      <c r="W14" s="2151"/>
      <c r="X14" s="2151" t="s">
        <v>385</v>
      </c>
      <c r="AD14" s="1179">
        <v>14</v>
      </c>
    </row>
    <row customHeight="1" ht="14.699999999999998">
      <c r="J15" s="400"/>
      <c r="K15" s="400"/>
      <c r="L15" s="2297" t="s">
        <v>88</v>
      </c>
      <c r="M15" s="2233" t="s">
        <v>512</v>
      </c>
      <c r="N15" s="325"/>
      <c r="O15" s="2298" t="s">
        <v>2563</v>
      </c>
      <c r="P15" s="2299"/>
      <c r="Q15" s="2299"/>
      <c r="R15" s="2299"/>
      <c r="S15" s="2299"/>
      <c r="T15" s="2299"/>
      <c r="U15" s="2300"/>
      <c r="V15" s="2301" t="s">
        <v>514</v>
      </c>
      <c r="W15" s="2304" t="s">
        <v>1482</v>
      </c>
      <c r="X15" s="2151"/>
      <c r="AD15" s="1179">
        <v>14</v>
      </c>
    </row>
    <row customHeight="1" ht="35.699999999999996">
      <c r="J16" s="400"/>
      <c r="K16" s="400"/>
      <c r="L16" s="2297"/>
      <c r="M16" s="2233"/>
      <c r="N16" s="1055"/>
      <c r="O16" s="2284" t="s">
        <v>517</v>
      </c>
      <c r="P16" s="2284" t="s">
        <v>518</v>
      </c>
      <c r="Q16" s="2286" t="s">
        <v>519</v>
      </c>
      <c r="R16" s="2287"/>
      <c r="S16" s="2286" t="s">
        <v>533</v>
      </c>
      <c r="T16" s="2293"/>
      <c r="U16" s="2287"/>
      <c r="V16" s="2302"/>
      <c r="W16" s="2305"/>
      <c r="X16" s="2151"/>
      <c r="AD16" s="1179">
        <v>34</v>
      </c>
    </row>
    <row customHeight="1" ht="35.699999999999996">
      <c r="A17" s="1394" t="s">
        <v>222</v>
      </c>
      <c r="B17" s="1394" t="s">
        <v>223</v>
      </c>
      <c r="C17" s="1394" t="s">
        <v>224</v>
      </c>
      <c r="D17" s="1394" t="s">
        <v>225</v>
      </c>
      <c r="E17" s="1394"/>
      <c r="J17" s="400"/>
      <c r="K17" s="400"/>
      <c r="L17" s="2297"/>
      <c r="M17" s="2233"/>
      <c r="N17" s="326"/>
      <c r="O17" s="2285"/>
      <c r="P17" s="2285"/>
      <c r="Q17" s="1246" t="s">
        <v>528</v>
      </c>
      <c r="R17" s="1246" t="s">
        <v>529</v>
      </c>
      <c r="S17" s="1316" t="s">
        <v>530</v>
      </c>
      <c r="T17" s="2294" t="s">
        <v>531</v>
      </c>
      <c r="U17" s="2295"/>
      <c r="V17" s="2303"/>
      <c r="W17" s="2306"/>
      <c r="X17" s="2151"/>
      <c r="AD17" s="1179">
        <v>34</v>
      </c>
    </row>
    <row s="1665" customFormat="1" customHeight="1" ht="11.549999999999999">
      <c r="A18" s="1394"/>
      <c r="B18" s="1394"/>
      <c r="C18" s="1394"/>
      <c r="D18" s="1394"/>
      <c r="E18" s="1394"/>
      <c r="F18" s="1386"/>
      <c r="G18" s="1386"/>
      <c r="H18" s="1386"/>
      <c r="I18" s="1270"/>
      <c r="J18" s="1271"/>
      <c r="K18" s="1278">
        <v>1</v>
      </c>
      <c r="L18" s="1301" t="s">
        <v>170</v>
      </c>
      <c r="M18" s="1279" t="s">
        <v>103</v>
      </c>
      <c r="N18" s="1269" t="str">
        <f>OFFSET(N18,0,-1)</f>
        <v>2</v>
      </c>
      <c r="O18" s="1313">
        <f>OFFSET(O18,0,-1)+1</f>
        <v>3</v>
      </c>
      <c r="P18" s="1313"/>
      <c r="Q18" s="1313">
        <f>OFFSET(Q18,0,-1)+1</f>
        <v>1</v>
      </c>
      <c r="R18" s="1313">
        <f>OFFSET(R18,0,-1)+1</f>
        <v>2</v>
      </c>
      <c r="S18" s="1313">
        <f>OFFSET(S18,0,-1)+1</f>
        <v>3</v>
      </c>
      <c r="T18" s="2296">
        <f>OFFSET(T18,0,-1)+1</f>
        <v>4</v>
      </c>
      <c r="U18" s="2296"/>
      <c r="V18" s="1313">
        <f>OFFSET(V18,0,-2)+1</f>
        <v>5</v>
      </c>
      <c r="W18" s="1269">
        <f>OFFSET(W18,0,-1)</f>
        <v>5</v>
      </c>
      <c r="X18" s="1313">
        <f>OFFSET(X18,0,-1)+1</f>
        <v>6</v>
      </c>
      <c r="Y18" s="535"/>
      <c r="Z18" s="535"/>
      <c r="AA18" s="535"/>
      <c r="AB18" s="535"/>
      <c r="AC18" s="535"/>
      <c r="AD18" s="520">
        <v>11</v>
      </c>
    </row>
    <row customHeight="1" ht="21">
      <c r="A19" s="1387" t="s">
        <v>254</v>
      </c>
      <c r="B19" s="1387" t="s">
        <v>255</v>
      </c>
      <c r="C19" s="1387" t="s">
        <v>256</v>
      </c>
      <c r="D19" s="1387" t="s">
        <v>257</v>
      </c>
      <c r="E19" s="1387"/>
      <c r="F19" s="1389"/>
      <c r="G19" s="1389"/>
      <c r="H19" s="1389"/>
      <c r="I19" s="385"/>
      <c r="J19" s="384"/>
      <c r="K19" s="379"/>
      <c r="L19" s="1317">
        <f>INDEX(PT_DIFFERENTIATION_NUM_NTAR,MATCH(A19,PT_DIFFERENTIATION_NTAR_ID,0))</f>
        <v>0</v>
      </c>
      <c r="M19" s="322" t="s">
        <v>211</v>
      </c>
      <c r="N19" s="324"/>
      <c r="O19" s="2630" t="str">
        <f>INDEX(PT_DIFFERENTIATION_NTAR,MATCH(A19,PT_DIFFERENTIATION_NTAR_ID,0))</f>
        <v/>
      </c>
      <c r="P19" s="2630"/>
      <c r="Q19" s="2630"/>
      <c r="R19" s="2630"/>
      <c r="S19" s="2630"/>
      <c r="T19" s="2630"/>
      <c r="U19" s="2630"/>
      <c r="V19" s="2630"/>
      <c r="W19" s="2630"/>
      <c r="X19" s="1282" t="s">
        <v>480</v>
      </c>
      <c r="Z19" s="524"/>
      <c r="AA19" s="524" t="str">
        <f>IF(M19="","",M19)</f>
        <v>Наименование тарифа</v>
      </c>
      <c r="AB19" s="524"/>
      <c r="AC19" s="524"/>
      <c r="AD19" s="1179">
        <v>20</v>
      </c>
    </row>
    <row customHeight="1" ht="21">
      <c r="A20" s="1387" t="s">
        <v>254</v>
      </c>
      <c r="B20" s="1387" t="s">
        <v>255</v>
      </c>
      <c r="C20" s="1387" t="s">
        <v>256</v>
      </c>
      <c r="D20" s="1387" t="s">
        <v>257</v>
      </c>
      <c r="E20" s="1387"/>
      <c r="F20" s="1389"/>
      <c r="G20" s="1389"/>
      <c r="H20" s="1389"/>
      <c r="I20" s="1314"/>
      <c r="J20" s="376"/>
      <c r="K20" s="377"/>
      <c r="L20" s="1317" t="str">
        <f>INDEX(PT_DIFFERENTIATION_NUM_TER,MATCH(B19,PT_DIFFERENTIATION_TER_ID,0))</f>
        <v>.</v>
      </c>
      <c r="M20" s="332" t="s">
        <v>481</v>
      </c>
      <c r="N20" s="324"/>
      <c r="O20" s="2630" t="str">
        <f>INDEX(PT_DIFFERENTIATION_TER,MATCH(B19,PT_DIFFERENTIATION_TER_ID,0))</f>
        <v/>
      </c>
      <c r="P20" s="2630"/>
      <c r="Q20" s="2630"/>
      <c r="R20" s="2630"/>
      <c r="S20" s="2630"/>
      <c r="T20" s="2630"/>
      <c r="U20" s="2630"/>
      <c r="V20" s="2630"/>
      <c r="W20" s="2630"/>
      <c r="X20" s="1282" t="s">
        <v>482</v>
      </c>
      <c r="Z20" s="524"/>
      <c r="AA20" s="524" t="str">
        <f>IF(M20="","",M20)</f>
        <v>Территория действия тарифа</v>
      </c>
      <c r="AB20" s="524"/>
      <c r="AC20" s="524"/>
      <c r="AD20" s="1179">
        <v>20</v>
      </c>
    </row>
    <row customHeight="1" ht="24">
      <c r="A21" s="1387" t="s">
        <v>254</v>
      </c>
      <c r="B21" s="1387" t="s">
        <v>255</v>
      </c>
      <c r="C21" s="1387" t="s">
        <v>256</v>
      </c>
      <c r="D21" s="1387" t="s">
        <v>257</v>
      </c>
      <c r="E21" s="1387"/>
      <c r="F21" s="1389"/>
      <c r="G21" s="1389"/>
      <c r="H21" s="1389"/>
      <c r="I21" s="378"/>
      <c r="J21" s="376"/>
      <c r="K21" s="377"/>
      <c r="L21" s="1317" t="str">
        <f>INDEX(PT_DIFFERENTIATION_NUM_CS,MATCH(C19,PT_DIFFERENTIATION_CS_ID,0))</f>
        <v>..</v>
      </c>
      <c r="M21" s="333" t="s">
        <v>483</v>
      </c>
      <c r="N21" s="324"/>
      <c r="O21" s="2630" t="str">
        <f>INDEX(PT_DIFFERENTIATION_CS,MATCH(C19,PT_DIFFERENTIATION_CS_ID,0))</f>
        <v/>
      </c>
      <c r="P21" s="2630"/>
      <c r="Q21" s="2630"/>
      <c r="R21" s="2630"/>
      <c r="S21" s="2630"/>
      <c r="T21" s="2630"/>
      <c r="U21" s="2630"/>
      <c r="V21" s="2630"/>
      <c r="W21" s="2630"/>
      <c r="X21" s="1282" t="s">
        <v>484</v>
      </c>
      <c r="Z21" s="524"/>
      <c r="AA21" s="524" t="str">
        <f>IF(M21="","",M21)</f>
        <v>Наименование системы теплоснабжения </v>
      </c>
      <c r="AB21" s="524"/>
      <c r="AC21" s="524"/>
      <c r="AD21" s="1179">
        <v>23</v>
      </c>
    </row>
    <row customHeight="1" ht="21">
      <c r="A22" s="1387" t="s">
        <v>254</v>
      </c>
      <c r="B22" s="1387" t="s">
        <v>255</v>
      </c>
      <c r="C22" s="1387" t="s">
        <v>256</v>
      </c>
      <c r="D22" s="1387" t="s">
        <v>257</v>
      </c>
      <c r="E22" s="1387"/>
      <c r="F22" s="1389"/>
      <c r="G22" s="1389"/>
      <c r="H22" s="1389"/>
      <c r="I22" s="378"/>
      <c r="J22" s="376"/>
      <c r="K22" s="377"/>
      <c r="L22" s="1317" t="str">
        <f>INDEX(PT_DIFFERENTIATION_NUM_IST_TE,MATCH(D19,PT_DIFFERENTIATION_IST_TE_ID,0))</f>
        <v>...</v>
      </c>
      <c r="M22" s="334" t="s">
        <v>485</v>
      </c>
      <c r="N22" s="324"/>
      <c r="O22" s="2630" t="str">
        <f>INDEX(PT_DIFFERENTIATION_IST_TE,MATCH(D19,PT_DIFFERENTIATION_IST_TE_ID,0))</f>
        <v/>
      </c>
      <c r="P22" s="2630"/>
      <c r="Q22" s="2630"/>
      <c r="R22" s="2630"/>
      <c r="S22" s="2630"/>
      <c r="T22" s="2630"/>
      <c r="U22" s="2630"/>
      <c r="V22" s="2630"/>
      <c r="W22" s="2630"/>
      <c r="X22" s="1282" t="s">
        <v>486</v>
      </c>
      <c r="Z22" s="524"/>
      <c r="AA22" s="524" t="str">
        <f>IF(M22="","",M22)</f>
        <v>Источник тепловой энергии  </v>
      </c>
      <c r="AB22" s="524"/>
      <c r="AC22" s="524"/>
      <c r="AD22" s="1179">
        <v>20</v>
      </c>
    </row>
    <row customHeight="1" ht="96.75">
      <c r="A23" s="1387" t="s">
        <v>254</v>
      </c>
      <c r="B23" s="1387" t="s">
        <v>255</v>
      </c>
      <c r="C23" s="1387" t="s">
        <v>256</v>
      </c>
      <c r="D23" s="1387" t="s">
        <v>257</v>
      </c>
      <c r="E23" s="1387"/>
      <c r="F23" s="2631" t="str">
        <f>L22&amp;".1"</f>
        <v>....1</v>
      </c>
      <c r="I23" s="2281">
        <v>1</v>
      </c>
      <c r="J23" s="1315"/>
      <c r="K23" s="380"/>
      <c r="L23" s="1317" t="str">
        <f>$F$23</f>
        <v>....1</v>
      </c>
      <c r="M23" s="309" t="s">
        <v>488</v>
      </c>
      <c r="N23" s="324"/>
      <c r="O23" s="2329"/>
      <c r="P23" s="2329"/>
      <c r="Q23" s="2329"/>
      <c r="R23" s="2329"/>
      <c r="S23" s="2329"/>
      <c r="T23" s="2329"/>
      <c r="U23" s="2329"/>
      <c r="V23" s="2329"/>
      <c r="W23" s="2329"/>
      <c r="X23" s="1282" t="s">
        <v>489</v>
      </c>
      <c r="Z23" s="524"/>
      <c r="AA23" s="524" t="str">
        <f>IF(M23="","",M23)</f>
        <v>Схема подключения теплопотребляющей установки к коллектору источника тепловой энергии</v>
      </c>
      <c r="AB23" s="524"/>
      <c r="AC23" s="524"/>
      <c r="AD23" s="1179">
        <v>92</v>
      </c>
    </row>
    <row customHeight="1" ht="86.25">
      <c r="A24" s="1387" t="s">
        <v>254</v>
      </c>
      <c r="B24" s="1387" t="s">
        <v>255</v>
      </c>
      <c r="C24" s="1387" t="s">
        <v>256</v>
      </c>
      <c r="D24" s="1387" t="s">
        <v>257</v>
      </c>
      <c r="E24" s="1387"/>
      <c r="F24" s="2631"/>
      <c r="G24" s="2241" t="str">
        <f>F23&amp;".1"</f>
        <v>....1.1</v>
      </c>
      <c r="I24" s="2281"/>
      <c r="J24" s="2281">
        <v>1</v>
      </c>
      <c r="K24" s="381"/>
      <c r="L24" s="1317" t="str">
        <f>$G$24</f>
        <v>....1.1</v>
      </c>
      <c r="M24" s="310" t="s">
        <v>491</v>
      </c>
      <c r="N24" s="324"/>
      <c r="O24" s="2269"/>
      <c r="P24" s="2270"/>
      <c r="Q24" s="2270"/>
      <c r="R24" s="2270"/>
      <c r="S24" s="2270"/>
      <c r="T24" s="2270"/>
      <c r="U24" s="2270"/>
      <c r="V24" s="2270"/>
      <c r="W24" s="2271"/>
      <c r="X24" s="1282" t="s">
        <v>492</v>
      </c>
      <c r="Z24" s="524"/>
      <c r="AA24" s="524" t="str">
        <f>IF(M24="","",M24)</f>
        <v>Группа потребителей</v>
      </c>
      <c r="AB24" s="524"/>
      <c r="AC24" s="524"/>
      <c r="AD24" s="1179">
        <v>82</v>
      </c>
    </row>
    <row customHeight="1" ht="11.549999999999999">
      <c r="A25" s="1387" t="s">
        <v>254</v>
      </c>
      <c r="B25" s="1387" t="s">
        <v>255</v>
      </c>
      <c r="C25" s="1387" t="s">
        <v>256</v>
      </c>
      <c r="D25" s="1387" t="s">
        <v>257</v>
      </c>
      <c r="E25" s="1387"/>
      <c r="F25" s="2631"/>
      <c r="G25" s="2241"/>
      <c r="H25" s="2241" t="str">
        <f>G24&amp;".1"</f>
        <v>....1.1.1</v>
      </c>
      <c r="I25" s="2281"/>
      <c r="J25" s="2281"/>
      <c r="K25" s="381">
        <v>1</v>
      </c>
      <c r="L25" s="1317" t="str">
        <f>$H$25</f>
        <v>....1.1.1</v>
      </c>
      <c r="M25" s="1371"/>
      <c r="N25" s="324"/>
      <c r="O25" s="775"/>
      <c r="P25" s="349"/>
      <c r="Q25" s="775"/>
      <c r="R25" s="1281"/>
      <c r="S25" s="2626"/>
      <c r="T25" s="2131" t="s">
        <v>66</v>
      </c>
      <c r="U25" s="2626"/>
      <c r="V25" s="2131" t="s">
        <v>19</v>
      </c>
      <c r="W25" s="349"/>
      <c r="X25" s="2277" t="s">
        <v>494</v>
      </c>
      <c r="Y25" s="535">
        <f>STRCHECKDATE(O26:W26)</f>
      </c>
      <c r="Z25" s="524"/>
      <c r="AA25" s="524" t="str">
        <f>IF(M25="","",M25)</f>
        <v/>
      </c>
      <c r="AB25" s="524"/>
      <c r="AC25" s="524"/>
      <c r="AD25" s="1179">
        <v>11</v>
      </c>
    </row>
    <row customHeight="1" ht="11.549999999999999">
      <c r="A26" s="1387" t="s">
        <v>254</v>
      </c>
      <c r="B26" s="1387" t="s">
        <v>255</v>
      </c>
      <c r="C26" s="1387" t="s">
        <v>256</v>
      </c>
      <c r="D26" s="1387" t="s">
        <v>257</v>
      </c>
      <c r="E26" s="1387"/>
      <c r="F26" s="2631"/>
      <c r="G26" s="2241"/>
      <c r="H26" s="2241"/>
      <c r="I26" s="2281"/>
      <c r="J26" s="2281"/>
      <c r="K26" s="381"/>
      <c r="L26" s="1318"/>
      <c r="M26" s="324"/>
      <c r="N26" s="324"/>
      <c r="O26" s="349"/>
      <c r="P26" s="349"/>
      <c r="Q26" s="349"/>
      <c r="R26" s="352" t="str">
        <f>S25&amp;"-"&amp;U25</f>
        <v>-</v>
      </c>
      <c r="S26" s="2290"/>
      <c r="T26" s="2131"/>
      <c r="U26" s="2290"/>
      <c r="V26" s="2131"/>
      <c r="W26" s="349"/>
      <c r="X26" s="2278"/>
      <c r="Z26" s="524"/>
      <c r="AA26" s="524" t="str">
        <f>IF(M26="","",M26)</f>
        <v/>
      </c>
      <c r="AB26" s="524"/>
      <c r="AC26" s="524"/>
      <c r="AD26" s="1179">
        <v>11</v>
      </c>
    </row>
    <row customHeight="1" ht="15.75">
      <c r="A27" s="1387" t="s">
        <v>254</v>
      </c>
      <c r="B27" s="1387" t="s">
        <v>255</v>
      </c>
      <c r="C27" s="1387" t="s">
        <v>256</v>
      </c>
      <c r="D27" s="1387" t="s">
        <v>257</v>
      </c>
      <c r="E27" s="1387"/>
      <c r="F27" s="2631"/>
      <c r="G27" s="2241"/>
      <c r="I27" s="2281"/>
      <c r="J27" s="2281"/>
      <c r="K27" s="380"/>
      <c r="L27" s="1302"/>
      <c r="M27" s="312" t="s">
        <v>495</v>
      </c>
      <c r="N27" s="391"/>
      <c r="O27" s="391"/>
      <c r="P27" s="391"/>
      <c r="Q27" s="391"/>
      <c r="R27" s="391"/>
      <c r="S27" s="391"/>
      <c r="T27" s="391"/>
      <c r="U27" s="391"/>
      <c r="V27" s="391"/>
      <c r="W27" s="348"/>
      <c r="X27" s="2279"/>
      <c r="Z27" s="524"/>
      <c r="AA27" s="524" t="str">
        <f>IF(M27="","",M27)</f>
        <v>Добавить вид теплоносителя (параметры теплоносителя)</v>
      </c>
      <c r="AB27" s="524"/>
      <c r="AC27" s="524"/>
      <c r="AD27" s="1179">
        <v>15</v>
      </c>
    </row>
    <row customHeight="1" ht="15.75">
      <c r="A28" s="1387" t="s">
        <v>254</v>
      </c>
      <c r="B28" s="1387" t="s">
        <v>255</v>
      </c>
      <c r="C28" s="1387" t="s">
        <v>256</v>
      </c>
      <c r="D28" s="1387" t="s">
        <v>257</v>
      </c>
      <c r="E28" s="1387"/>
      <c r="F28" s="2631"/>
      <c r="I28" s="2281"/>
      <c r="J28" s="1315"/>
      <c r="K28" s="380"/>
      <c r="L28" s="1302"/>
      <c r="M28" s="311" t="s">
        <v>496</v>
      </c>
      <c r="N28" s="391"/>
      <c r="O28" s="391"/>
      <c r="P28" s="391"/>
      <c r="Q28" s="391"/>
      <c r="R28" s="391"/>
      <c r="S28" s="391"/>
      <c r="T28" s="391"/>
      <c r="U28" s="391"/>
      <c r="V28" s="390"/>
      <c r="W28" s="391"/>
      <c r="X28" s="327"/>
      <c r="Z28" s="524"/>
      <c r="AA28" s="524" t="str">
        <f>IF(M28="","",M28)</f>
        <v>Добавить группу потребителей</v>
      </c>
      <c r="AB28" s="524"/>
      <c r="AC28" s="524"/>
      <c r="AD28" s="1179">
        <v>15</v>
      </c>
    </row>
    <row customHeight="1" ht="14.699999999999998">
      <c r="A29" s="1387" t="s">
        <v>254</v>
      </c>
      <c r="B29" s="1387" t="s">
        <v>255</v>
      </c>
      <c r="C29" s="1387" t="s">
        <v>256</v>
      </c>
      <c r="D29" s="1387" t="s">
        <v>257</v>
      </c>
      <c r="E29" s="1387"/>
      <c r="F29" s="1389"/>
      <c r="G29" s="1389"/>
      <c r="H29" s="561"/>
      <c r="I29" s="384"/>
      <c r="J29" s="399"/>
      <c r="K29" s="379"/>
      <c r="L29" s="1302"/>
      <c r="M29" s="389" t="s">
        <v>497</v>
      </c>
      <c r="N29" s="391"/>
      <c r="O29" s="391"/>
      <c r="P29" s="391"/>
      <c r="Q29" s="391"/>
      <c r="R29" s="391"/>
      <c r="S29" s="391"/>
      <c r="T29" s="391"/>
      <c r="U29" s="391"/>
      <c r="V29" s="390"/>
      <c r="W29" s="391"/>
      <c r="X29" s="327"/>
      <c r="Z29" s="524"/>
      <c r="AA29" s="524" t="str">
        <f>IF(M29="","",M29)</f>
        <v>Добавить схему подключения</v>
      </c>
      <c r="AB29" s="524"/>
      <c r="AC29" s="524"/>
      <c r="AD29" s="1179">
        <v>14</v>
      </c>
    </row>
    <row customHeight="1" ht="14.699999999999998">
      <c r="A30" s="1387" t="s">
        <v>254</v>
      </c>
      <c r="B30" s="1387" t="s">
        <v>255</v>
      </c>
      <c r="C30" s="1387" t="s">
        <v>256</v>
      </c>
      <c r="D30" s="1387"/>
      <c r="E30" s="1387" t="s">
        <v>670</v>
      </c>
      <c r="F30" s="1389"/>
      <c r="G30" s="1389"/>
      <c r="H30" s="561"/>
      <c r="I30" s="384"/>
      <c r="J30" s="399"/>
      <c r="K30" s="379"/>
      <c r="L30" s="1303"/>
      <c r="M30" s="1292"/>
      <c r="N30" s="1293"/>
      <c r="O30" s="1293"/>
      <c r="P30" s="1293"/>
      <c r="Q30" s="1293"/>
      <c r="R30" s="1293"/>
      <c r="S30" s="1293"/>
      <c r="T30" s="1293"/>
      <c r="U30" s="1293"/>
      <c r="V30" s="1294"/>
      <c r="W30" s="1293"/>
      <c r="X30" s="1295"/>
      <c r="Z30" s="524"/>
      <c r="AA30" s="524" t="str">
        <f>IF(M30="","",M30)</f>
        <v/>
      </c>
      <c r="AB30" s="524"/>
      <c r="AC30" s="524"/>
      <c r="AD30" s="1179">
        <v>14</v>
      </c>
    </row>
    <row customHeight="1" ht="14.699999999999998">
      <c r="A31" s="1387" t="s">
        <v>254</v>
      </c>
      <c r="B31" s="1387" t="s">
        <v>255</v>
      </c>
      <c r="C31" s="1387"/>
      <c r="D31" s="1387"/>
      <c r="E31" s="1387" t="s">
        <v>2564</v>
      </c>
      <c r="F31" s="1541"/>
      <c r="G31" s="1541"/>
      <c r="H31" s="561"/>
      <c r="I31" s="382"/>
      <c r="J31" s="399"/>
      <c r="K31" s="383"/>
      <c r="L31" s="1303"/>
      <c r="M31" s="1296"/>
      <c r="N31" s="1293"/>
      <c r="O31" s="1293"/>
      <c r="P31" s="1293"/>
      <c r="Q31" s="1293"/>
      <c r="R31" s="1293"/>
      <c r="S31" s="1293"/>
      <c r="T31" s="1293"/>
      <c r="U31" s="1293"/>
      <c r="V31" s="1294"/>
      <c r="W31" s="1293"/>
      <c r="X31" s="1295"/>
      <c r="Z31" s="524"/>
      <c r="AA31" s="524" t="str">
        <f>IF(M31="","",M31)</f>
        <v/>
      </c>
      <c r="AB31" s="524"/>
      <c r="AC31" s="524"/>
      <c r="AD31" s="1179">
        <v>14</v>
      </c>
    </row>
    <row customHeight="1" ht="14.699999999999998">
      <c r="A32" s="1387" t="s">
        <v>2565</v>
      </c>
      <c r="B32" s="1387"/>
      <c r="C32" s="1387"/>
      <c r="D32" s="1387"/>
      <c r="E32" s="1387" t="s">
        <v>165</v>
      </c>
      <c r="F32" s="1541"/>
      <c r="G32" s="1541"/>
      <c r="H32" s="561"/>
      <c r="I32" s="384"/>
      <c r="J32" s="399"/>
      <c r="K32" s="379"/>
      <c r="L32" s="1303"/>
      <c r="M32" s="1297"/>
      <c r="N32" s="1293"/>
      <c r="O32" s="1293"/>
      <c r="P32" s="1293"/>
      <c r="Q32" s="1293"/>
      <c r="R32" s="1293"/>
      <c r="S32" s="1293"/>
      <c r="T32" s="1293"/>
      <c r="U32" s="1293"/>
      <c r="V32" s="1294"/>
      <c r="W32" s="1293"/>
      <c r="X32" s="1295"/>
      <c r="Z32" s="524"/>
      <c r="AA32" s="524" t="str">
        <f>IF(M32="","",M32)</f>
        <v/>
      </c>
      <c r="AB32" s="524"/>
      <c r="AC32" s="524"/>
      <c r="AD32" s="1179">
        <v>14</v>
      </c>
    </row>
    <row s="1874" customFormat="1" customHeight="1" ht="11.549999999999999">
      <c r="A33" s="1387"/>
      <c r="B33" s="1387"/>
      <c r="C33" s="1387"/>
      <c r="D33" s="1387"/>
      <c r="E33" s="1387" t="s">
        <v>532</v>
      </c>
      <c r="F33" s="1542"/>
      <c r="G33" s="1543"/>
      <c r="H33" s="561"/>
      <c r="L33" s="1304"/>
      <c r="M33" s="1298"/>
      <c r="N33" s="1293"/>
      <c r="O33" s="1293"/>
      <c r="P33" s="1293"/>
      <c r="Q33" s="1293"/>
      <c r="R33" s="1293"/>
      <c r="S33" s="1293"/>
      <c r="T33" s="1293"/>
      <c r="U33" s="1293"/>
      <c r="V33" s="1294"/>
      <c r="W33" s="1293"/>
      <c r="X33" s="1295"/>
      <c r="Y33" s="403"/>
      <c r="Z33" s="403"/>
      <c r="AA33" s="403"/>
      <c r="AB33" s="403"/>
      <c r="AC33" s="403"/>
      <c r="AD33" s="397">
        <v>11</v>
      </c>
    </row>
    <row customHeight="1" ht="11.549999999999999">
      <c r="F34" s="1184"/>
      <c r="G34" s="1184"/>
      <c r="H34" s="561"/>
      <c r="I34" s="1179"/>
      <c r="J34" s="1179"/>
      <c r="K34" s="1179"/>
      <c r="Y34" s="1179"/>
      <c r="Z34" s="1179"/>
      <c r="AA34" s="1179"/>
      <c r="AB34" s="1179"/>
      <c r="AC34" s="1179"/>
      <c r="AD34" s="1179">
        <v>11</v>
      </c>
    </row>
    <row customHeight="1" ht="28.5">
      <c r="H35" s="561"/>
      <c r="L35" s="1312" t="s">
        <v>901</v>
      </c>
      <c r="M35" s="2309" t="s">
        <v>2566</v>
      </c>
      <c r="N35" s="2309"/>
      <c r="O35" s="2309"/>
      <c r="P35" s="2309"/>
      <c r="Q35" s="2309"/>
      <c r="R35" s="2309"/>
      <c r="S35" s="2309"/>
      <c r="T35" s="2309"/>
      <c r="U35" s="2309"/>
      <c r="V35" s="2309"/>
      <c r="W35" s="2309"/>
      <c r="X35" s="2309"/>
      <c r="AD35" s="1179">
        <v>27</v>
      </c>
    </row>
    <row customHeight="1" ht="109.19999999999999">
      <c r="H36" s="561"/>
      <c r="I36" s="1327"/>
      <c r="M36" s="2309" t="s">
        <v>2567</v>
      </c>
      <c r="N36" s="2309"/>
      <c r="O36" s="2309"/>
      <c r="P36" s="2309"/>
      <c r="Q36" s="2309"/>
      <c r="R36" s="2309"/>
      <c r="S36" s="2309"/>
      <c r="T36" s="2309"/>
      <c r="U36" s="2309"/>
      <c r="V36" s="2309"/>
      <c r="W36" s="2309"/>
      <c r="X36" s="2309"/>
      <c r="AD36" s="1179">
        <v>104</v>
      </c>
    </row>
    <row customHeight="1" ht="14.699999999999998">
      <c r="H37" s="561"/>
      <c r="AD37" s="1179">
        <v>14</v>
      </c>
    </row>
    <row customHeight="1" ht="14.699999999999998">
      <c r="H38" s="561"/>
      <c r="AD38" s="1179">
        <v>14</v>
      </c>
    </row>
    <row customHeight="1" ht="14.699999999999998">
      <c r="H39" s="561"/>
      <c r="AD39" s="1179">
        <v>14</v>
      </c>
    </row>
    <row customHeight="1" ht="14.699999999999998">
      <c r="H40" s="561"/>
      <c r="AD40" s="1179">
        <v>14</v>
      </c>
    </row>
    <row customHeight="1" ht="22.5" hidden="1">
      <c r="A41" s="1184" t="s">
        <v>82</v>
      </c>
      <c r="B41" s="1184">
        <v>0</v>
      </c>
      <c r="C41" s="1184">
        <v>0</v>
      </c>
      <c r="D41" s="1184">
        <v>0</v>
      </c>
      <c r="E41" s="1184">
        <v>0</v>
      </c>
      <c r="F41" s="1386">
        <v>0</v>
      </c>
      <c r="G41" s="1386">
        <v>0</v>
      </c>
      <c r="H41" s="1386">
        <v>0</v>
      </c>
      <c r="I41" s="1310">
        <v>3</v>
      </c>
      <c r="J41" s="368">
        <v>3</v>
      </c>
      <c r="K41" s="368">
        <v>3</v>
      </c>
      <c r="L41" s="605">
        <v>12</v>
      </c>
      <c r="M41" s="1179">
        <v>31</v>
      </c>
      <c r="N41" s="1179">
        <v>1</v>
      </c>
      <c r="O41" s="1179">
        <v>24</v>
      </c>
      <c r="P41" s="1179">
        <v>24</v>
      </c>
      <c r="Q41" s="1179">
        <v>24</v>
      </c>
      <c r="R41" s="1179">
        <v>24</v>
      </c>
      <c r="S41" s="1179">
        <v>11</v>
      </c>
      <c r="T41" s="1179">
        <v>3</v>
      </c>
      <c r="U41" s="1179">
        <v>11</v>
      </c>
      <c r="V41" s="1179">
        <v>8</v>
      </c>
      <c r="W41" s="1179">
        <v>4</v>
      </c>
      <c r="X41" s="1179">
        <v>115</v>
      </c>
      <c r="Y41" s="535">
        <v>10</v>
      </c>
      <c r="Z41" s="535">
        <v>10</v>
      </c>
      <c r="AA41" s="535">
        <v>10</v>
      </c>
      <c r="AB41" s="535">
        <v>10</v>
      </c>
      <c r="AC41" s="535">
        <v>10</v>
      </c>
      <c r="AD41" s="1179">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260E5C-639B-325D-245D-0.E6D8D85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EE0499-8F9B-92B7-B26D-0.0602203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D71828-C75E-039A-6698-0.C1E7C39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BBC556-20BF-90BE-0FD8-0.BBA7311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97E26-F53F-C518-4DE5-0.0C616A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43A0ED-C2F9-1C7D-084C-0.E421FD0C}"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710" width="15.00390625" hidden="1" customWidth="1"/>
    <col min="2" max="2" style="525" width="15.00390625" hidden="1" customWidth="1"/>
    <col min="3" max="3" style="479" width="3.00390625" customWidth="1"/>
    <col min="4" max="4" style="480" width="6.00390625" customWidth="1"/>
    <col min="5" max="5" style="479" width="52.00390625" customWidth="1"/>
    <col min="6" max="6" style="479" width="48.00390625" customWidth="1"/>
    <col min="7" max="7" style="479" width="121.00390625" customWidth="1"/>
    <col min="8" max="8" style="479" width="8.00390625" customWidth="1"/>
    <col min="9" max="9" style="479" width="64.00390625" customWidth="1"/>
    <col min="10" max="10" style="479" width="9.140625" hidden="1"/>
  </cols>
  <sheetData>
    <row customHeight="1" ht="11.25" hidden="1">
      <c r="A1" s="1710" t="s">
        <v>383</v>
      </c>
      <c r="J1" s="479" t="s">
        <v>14</v>
      </c>
    </row>
    <row customHeight="1" ht="11.25" hidden="1">
      <c r="J2" s="479">
        <v>0</v>
      </c>
    </row>
    <row s="501" customFormat="1" customHeight="1" ht="11.549999999999999">
      <c r="A3" s="1710"/>
      <c r="B3" s="525"/>
      <c r="D3" s="502"/>
      <c r="J3" s="501">
        <v>11</v>
      </c>
    </row>
    <row customHeight="1" ht="27.299999999999997">
      <c r="D4" s="218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82"/>
      <c r="F4" s="2183"/>
      <c r="I4" s="739"/>
      <c r="J4" s="479">
        <v>26</v>
      </c>
    </row>
    <row customHeight="1" ht="18">
      <c r="D5" s="2200" t="str">
        <f>IF(org=0,"Не определено",org)</f>
        <v>АО "ДГК"</v>
      </c>
      <c r="E5" s="2200"/>
      <c r="F5" s="2200"/>
      <c r="I5" s="739"/>
      <c r="J5" s="479">
        <v>17</v>
      </c>
    </row>
    <row s="501" customFormat="1" customHeight="1" ht="11.549999999999999">
      <c r="A6" s="1710"/>
      <c r="B6" s="525"/>
      <c r="D6" s="738"/>
      <c r="E6" s="738"/>
      <c r="F6" s="776"/>
      <c r="G6" s="738"/>
      <c r="J6" s="501">
        <v>11</v>
      </c>
    </row>
    <row customHeight="1" ht="11.25" hidden="1">
      <c r="A7" s="481"/>
      <c r="B7" s="526"/>
      <c r="C7" s="481"/>
      <c r="D7" s="487"/>
      <c r="E7" s="2231"/>
      <c r="F7" s="2231"/>
      <c r="J7" s="479">
        <v>0</v>
      </c>
    </row>
    <row customHeight="1" ht="11.549999999999999">
      <c r="A8" s="481"/>
      <c r="B8" s="526"/>
      <c r="C8" s="481"/>
      <c r="D8" s="2228" t="s">
        <v>384</v>
      </c>
      <c r="E8" s="2229"/>
      <c r="F8" s="2229"/>
      <c r="G8" s="2232" t="s">
        <v>385</v>
      </c>
      <c r="J8" s="479">
        <v>11</v>
      </c>
    </row>
    <row customHeight="1" ht="11.549999999999999">
      <c r="A9" s="481"/>
      <c r="B9" s="526"/>
      <c r="C9" s="481"/>
      <c r="D9" s="496" t="s">
        <v>88</v>
      </c>
      <c r="E9" s="470" t="s">
        <v>386</v>
      </c>
      <c r="F9" s="470" t="s">
        <v>387</v>
      </c>
      <c r="G9" s="2233"/>
      <c r="J9" s="479">
        <v>11</v>
      </c>
    </row>
    <row customHeight="1" ht="12" hidden="1">
      <c r="A10" s="481"/>
      <c r="B10" s="526"/>
      <c r="C10" s="481"/>
      <c r="D10" s="488"/>
      <c r="E10" s="488"/>
      <c r="F10" s="488"/>
      <c r="G10" s="488"/>
      <c r="J10" s="479">
        <v>0</v>
      </c>
    </row>
    <row customHeight="1" ht="22.5" hidden="1">
      <c r="A11" s="481"/>
      <c r="B11" s="526"/>
      <c r="C11" s="481"/>
      <c r="D11" s="1033" t="s">
        <v>170</v>
      </c>
      <c r="E11" s="1036" t="s">
        <v>388</v>
      </c>
      <c r="F11" s="1035" t="str">
        <f>IF(region_name="","",region_name)</f>
        <v>Хабаровский край</v>
      </c>
      <c r="G11" s="1036" t="s">
        <v>389</v>
      </c>
      <c r="H11" s="499"/>
      <c r="J11" s="479">
        <v>0</v>
      </c>
    </row>
    <row customHeight="1" ht="22.5" hidden="1">
      <c r="A12" s="481"/>
      <c r="B12" s="526"/>
      <c r="C12" s="481"/>
      <c r="D12" s="469" t="s">
        <v>170</v>
      </c>
      <c r="E12" s="46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67" t="s">
        <v>390</v>
      </c>
      <c r="G12" s="498"/>
      <c r="H12" s="499"/>
      <c r="J12" s="479">
        <v>0</v>
      </c>
    </row>
    <row customHeight="1" ht="23.25">
      <c r="A13" s="481"/>
      <c r="B13" s="526"/>
      <c r="C13" s="481"/>
      <c r="D13" s="469" t="s">
        <v>170</v>
      </c>
      <c r="E13" s="466" t="str">
        <f>"Наименование юридического лица"&amp;IF(TEMPLATE_SPHERE="TKO"," (индивидуального предпринимателя)","")</f>
        <v>Наименование юридического лица</v>
      </c>
      <c r="F13" s="465"/>
      <c r="G13" s="46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99"/>
      <c r="J13" s="479">
        <v>22</v>
      </c>
    </row>
    <row customHeight="1" ht="22.5" hidden="1">
      <c r="A14" s="481"/>
      <c r="B14" s="526"/>
      <c r="C14" s="481"/>
      <c r="D14" s="1033" t="s">
        <v>391</v>
      </c>
      <c r="E14" s="1034" t="s">
        <v>392</v>
      </c>
      <c r="F14" s="1035" t="str">
        <f>IF(inn="","",inn)</f>
        <v>1434031363</v>
      </c>
      <c r="G14" s="1036" t="s">
        <v>393</v>
      </c>
      <c r="H14" s="499"/>
      <c r="J14" s="479">
        <v>0</v>
      </c>
    </row>
    <row customHeight="1" ht="22.5" hidden="1">
      <c r="A15" s="481"/>
      <c r="B15" s="526"/>
      <c r="C15" s="481"/>
      <c r="D15" s="1033" t="s">
        <v>394</v>
      </c>
      <c r="E15" s="1034" t="s">
        <v>395</v>
      </c>
      <c r="F15" s="1035" t="str">
        <f>IF(kpp="","",kpp)</f>
        <v>272101001</v>
      </c>
      <c r="G15" s="1036" t="s">
        <v>396</v>
      </c>
      <c r="H15" s="499"/>
      <c r="J15" s="479">
        <v>0</v>
      </c>
    </row>
    <row customHeight="1" ht="39">
      <c r="A16" s="481"/>
      <c r="B16" s="526"/>
      <c r="C16" s="481"/>
      <c r="D16" s="469" t="s">
        <v>103</v>
      </c>
      <c r="E16" s="46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65"/>
      <c r="G16" s="46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99"/>
      <c r="J16" s="479">
        <v>37</v>
      </c>
    </row>
    <row customHeight="1" ht="23.25">
      <c r="A17" s="481"/>
      <c r="B17" s="526"/>
      <c r="C17" s="481"/>
      <c r="D17" s="469" t="s">
        <v>90</v>
      </c>
      <c r="E17" s="466" t="str">
        <f>"Дата присвоения ОГРН"&amp;IF(TEMPLATE_SPHERE="TKO",""," (ОГРНИП)")</f>
        <v>Дата присвоения ОГРН (ОГРНИП)</v>
      </c>
      <c r="F17" s="1756" t="s">
        <v>22</v>
      </c>
      <c r="G17" s="468" t="str">
        <f>"Дата присвоения ОГРН"&amp;IF(TEMPLATE_SPHERE="TKO",""," (ОГРНИП)")&amp;" указывается в виде «ДД.ММ.ГГГГ»."</f>
        <v>Дата присвоения ОГРН (ОГРНИП) указывается в виде «ДД.ММ.ГГГГ».</v>
      </c>
      <c r="H17" s="499"/>
      <c r="J17" s="479">
        <v>22</v>
      </c>
    </row>
    <row customHeight="1" ht="71.25">
      <c r="A18" s="481"/>
      <c r="B18" s="526"/>
      <c r="C18" s="481"/>
      <c r="D18" s="469" t="s">
        <v>91</v>
      </c>
      <c r="E18" s="46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65"/>
      <c r="G18" s="498"/>
      <c r="H18" s="499"/>
      <c r="J18" s="479">
        <v>68</v>
      </c>
    </row>
    <row customHeight="1" ht="22.5" hidden="1">
      <c r="A19" s="2226" t="s">
        <v>397</v>
      </c>
      <c r="B19" s="526"/>
      <c r="C19" s="2237"/>
      <c r="D19" s="469" t="str">
        <f>A19</f>
        <v>5.1</v>
      </c>
      <c r="E19" s="466" t="s">
        <v>398</v>
      </c>
      <c r="F19" s="467" t="s">
        <v>390</v>
      </c>
      <c r="G19" s="468" t="s">
        <v>399</v>
      </c>
      <c r="H19" s="499"/>
      <c r="I19" s="876"/>
      <c r="J19" s="479">
        <v>0</v>
      </c>
    </row>
    <row customHeight="1" ht="24" hidden="1">
      <c r="A20" s="2226"/>
      <c r="B20" s="526"/>
      <c r="C20" s="2237"/>
      <c r="D20" s="464" t="str">
        <f>D19&amp;".1"</f>
        <v>5.1.1</v>
      </c>
      <c r="E20" s="463" t="s">
        <v>400</v>
      </c>
      <c r="F20" s="905" t="s">
        <v>22</v>
      </c>
      <c r="G20" s="498"/>
      <c r="H20" s="499"/>
      <c r="I20" s="876"/>
      <c r="J20" s="479">
        <v>0</v>
      </c>
    </row>
    <row customHeight="1" ht="22.5" hidden="1">
      <c r="A21" s="2226"/>
      <c r="B21" s="526"/>
      <c r="C21" s="2237"/>
      <c r="D21" s="464" t="str">
        <f>D19&amp;".2"</f>
        <v>5.1.2</v>
      </c>
      <c r="E21" s="463" t="s">
        <v>401</v>
      </c>
      <c r="F21" s="1757" t="s">
        <v>22</v>
      </c>
      <c r="G21" s="468" t="s">
        <v>402</v>
      </c>
      <c r="H21" s="499"/>
      <c r="I21" s="876"/>
      <c r="J21" s="479">
        <v>0</v>
      </c>
    </row>
    <row customHeight="1" ht="22.5" hidden="1">
      <c r="A22" s="2226"/>
      <c r="B22" s="526"/>
      <c r="C22" s="2237"/>
      <c r="D22" s="464" t="str">
        <f>D19&amp;".3"</f>
        <v>5.1.3</v>
      </c>
      <c r="E22" s="463" t="s">
        <v>403</v>
      </c>
      <c r="F22" s="905" t="s">
        <v>22</v>
      </c>
      <c r="G22" s="498"/>
      <c r="H22" s="499"/>
      <c r="I22" s="876"/>
      <c r="J22" s="479">
        <v>0</v>
      </c>
    </row>
    <row customHeight="1" ht="22.5" hidden="1">
      <c r="A23" s="2226"/>
      <c r="B23" s="526"/>
      <c r="C23" s="2237"/>
      <c r="D23" s="464" t="str">
        <f>D19&amp;".4"</f>
        <v>5.1.4</v>
      </c>
      <c r="E23" s="463" t="s">
        <v>404</v>
      </c>
      <c r="F23" s="905" t="s">
        <v>22</v>
      </c>
      <c r="G23" s="468" t="s">
        <v>405</v>
      </c>
      <c r="H23" s="499"/>
      <c r="I23" s="876"/>
      <c r="J23" s="479">
        <v>0</v>
      </c>
    </row>
    <row customHeight="1" ht="22.5" hidden="1">
      <c r="A24" s="2002"/>
      <c r="B24" s="526"/>
      <c r="C24" s="516"/>
      <c r="D24" s="491"/>
      <c r="E24" s="1192" t="s">
        <v>406</v>
      </c>
      <c r="F24" s="492"/>
      <c r="G24" s="493"/>
      <c r="H24" s="499"/>
      <c r="I24" s="876"/>
      <c r="J24" s="479">
        <v>0</v>
      </c>
    </row>
    <row s="525" customFormat="1" customHeight="1" ht="24.75" hidden="1">
      <c r="A25" s="481"/>
      <c r="B25" s="526"/>
      <c r="C25" s="526"/>
      <c r="D25" s="1030" t="s">
        <v>90</v>
      </c>
      <c r="E25" s="1032" t="s">
        <v>407</v>
      </c>
      <c r="F25" s="1037" t="s">
        <v>390</v>
      </c>
      <c r="G25" s="1032"/>
      <c r="J25" s="525">
        <v>0</v>
      </c>
    </row>
    <row s="525" customFormat="1" customHeight="1" ht="11.25" hidden="1">
      <c r="A26" s="481"/>
      <c r="B26" s="526"/>
      <c r="C26" s="526"/>
      <c r="D26" s="1030" t="s">
        <v>408</v>
      </c>
      <c r="E26" s="1031" t="s">
        <v>409</v>
      </c>
      <c r="F26" s="1037" t="s">
        <v>390</v>
      </c>
      <c r="G26" s="1032"/>
      <c r="J26" s="525">
        <v>0</v>
      </c>
    </row>
    <row s="525" customFormat="1" customHeight="1" ht="11.25" hidden="1">
      <c r="A27" s="481"/>
      <c r="B27" s="526"/>
      <c r="C27" s="526"/>
      <c r="D27" s="1030" t="s">
        <v>410</v>
      </c>
      <c r="E27" s="1038" t="s">
        <v>411</v>
      </c>
      <c r="F27" s="1039"/>
      <c r="G27" s="103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25">
        <v>0</v>
      </c>
    </row>
    <row s="525" customFormat="1" customHeight="1" ht="11.25" hidden="1">
      <c r="A28" s="481"/>
      <c r="B28" s="526"/>
      <c r="C28" s="526"/>
      <c r="D28" s="1030" t="s">
        <v>412</v>
      </c>
      <c r="E28" s="1038" t="s">
        <v>413</v>
      </c>
      <c r="F28" s="1039"/>
      <c r="G28" s="103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25">
        <v>0</v>
      </c>
    </row>
    <row s="525" customFormat="1" customHeight="1" ht="11.25" hidden="1">
      <c r="A29" s="481"/>
      <c r="B29" s="526"/>
      <c r="C29" s="526"/>
      <c r="D29" s="1030" t="s">
        <v>414</v>
      </c>
      <c r="E29" s="1038" t="s">
        <v>415</v>
      </c>
      <c r="F29" s="1039"/>
      <c r="G29" s="103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25">
        <v>0</v>
      </c>
    </row>
    <row s="525" customFormat="1" customHeight="1" ht="11.25" hidden="1">
      <c r="A30" s="481"/>
      <c r="B30" s="526"/>
      <c r="C30" s="526"/>
      <c r="D30" s="1030" t="s">
        <v>416</v>
      </c>
      <c r="E30" s="1031" t="s">
        <v>417</v>
      </c>
      <c r="F30" s="1039"/>
      <c r="G30" s="1032"/>
      <c r="J30" s="525">
        <v>0</v>
      </c>
    </row>
    <row s="525" customFormat="1" customHeight="1" ht="11.25" hidden="1">
      <c r="A31" s="481"/>
      <c r="B31" s="526"/>
      <c r="C31" s="526"/>
      <c r="D31" s="1030" t="s">
        <v>418</v>
      </c>
      <c r="E31" s="1031" t="s">
        <v>419</v>
      </c>
      <c r="F31" s="1039"/>
      <c r="G31" s="1032"/>
      <c r="J31" s="525">
        <v>0</v>
      </c>
    </row>
    <row s="525" customFormat="1" customHeight="1" ht="11.25" hidden="1">
      <c r="A32" s="481"/>
      <c r="B32" s="526"/>
      <c r="C32" s="526"/>
      <c r="D32" s="1030" t="s">
        <v>420</v>
      </c>
      <c r="E32" s="1031" t="s">
        <v>421</v>
      </c>
      <c r="F32" s="1040"/>
      <c r="G32" s="1032"/>
      <c r="J32" s="525">
        <v>0</v>
      </c>
    </row>
    <row customHeight="1" ht="24">
      <c r="A33" s="481" t="str">
        <f>IF(TEMPLATE_SPHERE="HEAT","6","5")</f>
        <v>6</v>
      </c>
      <c r="B33" s="526"/>
      <c r="C33" s="481"/>
      <c r="D33" s="464" t="str">
        <f>A33</f>
        <v>6</v>
      </c>
      <c r="E33" s="46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67" t="s">
        <v>390</v>
      </c>
      <c r="G33" s="498"/>
      <c r="H33" s="499"/>
      <c r="J33" s="479">
        <v>23</v>
      </c>
    </row>
    <row customHeight="1" ht="23.25">
      <c r="A34" s="481"/>
      <c r="B34" s="526"/>
      <c r="C34" s="481"/>
      <c r="D34" s="464" t="str">
        <f>D33&amp;".1"</f>
        <v>6.1</v>
      </c>
      <c r="E34" s="466" t="str">
        <f>"фамилия"&amp;IF(TEMPLATE_SPHERE&lt;&gt;"HEAT"," руководителя","")</f>
        <v>фамилия</v>
      </c>
      <c r="F34" s="465"/>
      <c r="G34" s="46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99"/>
      <c r="J34" s="479">
        <v>22</v>
      </c>
    </row>
    <row customHeight="1" ht="23.25">
      <c r="A35" s="481"/>
      <c r="B35" s="526"/>
      <c r="C35" s="481"/>
      <c r="D35" s="464" t="str">
        <f>D33&amp;".2"</f>
        <v>6.2</v>
      </c>
      <c r="E35" s="466" t="str">
        <f>"имя"&amp;IF(TEMPLATE_SPHERE&lt;&gt;"HEAT"," руководителя","")</f>
        <v>имя</v>
      </c>
      <c r="F35" s="465"/>
      <c r="G35" s="46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99"/>
      <c r="J35" s="479">
        <v>22</v>
      </c>
    </row>
    <row customHeight="1" ht="24">
      <c r="A36" s="481"/>
      <c r="B36" s="526"/>
      <c r="C36" s="481"/>
      <c r="D36" s="464" t="str">
        <f>D33&amp;".3"</f>
        <v>6.3</v>
      </c>
      <c r="E36" s="466" t="str">
        <f>"отчество"&amp;IF(TEMPLATE_SPHERE&lt;&gt;"HEAT"," руководителя","")</f>
        <v>отчество</v>
      </c>
      <c r="F36" s="722"/>
      <c r="G36" s="46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99"/>
      <c r="J36" s="479">
        <v>23</v>
      </c>
    </row>
    <row customHeight="1" ht="35.699999999999996">
      <c r="A37" s="481"/>
      <c r="B37" s="526"/>
      <c r="C37" s="481"/>
      <c r="D37" s="464">
        <f>D33+1</f>
        <v>7</v>
      </c>
      <c r="E37" s="46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65"/>
      <c r="G37" s="468" t="s">
        <v>422</v>
      </c>
      <c r="H37" s="499"/>
      <c r="J37" s="479">
        <v>34</v>
      </c>
    </row>
    <row customHeight="1" ht="35.699999999999996">
      <c r="A38" s="481"/>
      <c r="B38" s="526"/>
      <c r="C38" s="481"/>
      <c r="D38" s="464">
        <f>D37+1</f>
        <v>8</v>
      </c>
      <c r="E38" s="46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65"/>
      <c r="G38" s="468" t="s">
        <v>422</v>
      </c>
      <c r="H38" s="499"/>
      <c r="J38" s="479">
        <v>34</v>
      </c>
    </row>
    <row customHeight="1" ht="23.25">
      <c r="A39" s="481"/>
      <c r="B39" s="526"/>
      <c r="C39" s="481"/>
      <c r="D39" s="464">
        <f>D38+1</f>
        <v>9</v>
      </c>
      <c r="E39" s="46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67" t="s">
        <v>390</v>
      </c>
      <c r="G39" s="223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99"/>
      <c r="J39" s="479">
        <v>22</v>
      </c>
    </row>
    <row customHeight="1" ht="22.5" hidden="1">
      <c r="A40" s="481"/>
      <c r="B40" s="526"/>
      <c r="C40" s="481"/>
      <c r="D40" s="464" t="str">
        <f>D39&amp;".0"</f>
        <v>9.0</v>
      </c>
      <c r="E40" s="1629"/>
      <c r="F40" s="905"/>
      <c r="G40" s="2235"/>
      <c r="H40" s="499"/>
      <c r="J40" s="479">
        <v>0</v>
      </c>
    </row>
    <row customHeight="1" ht="23.25">
      <c r="A41" s="481"/>
      <c r="B41" s="481"/>
      <c r="C41" s="1712"/>
      <c r="D41" s="464" t="str">
        <f>D39&amp;".1"</f>
        <v>9.1</v>
      </c>
      <c r="E41" s="884"/>
      <c r="F41" s="885"/>
      <c r="G41" s="2235"/>
      <c r="H41" s="499"/>
      <c r="J41" s="479">
        <v>22</v>
      </c>
    </row>
    <row customHeight="1" ht="15.75">
      <c r="A42" s="481"/>
      <c r="B42" s="526"/>
      <c r="C42" s="481"/>
      <c r="D42" s="491"/>
      <c r="E42" s="439" t="s">
        <v>423</v>
      </c>
      <c r="F42" s="493"/>
      <c r="G42" s="2236"/>
      <c r="H42" s="500"/>
      <c r="J42" s="479">
        <v>15</v>
      </c>
    </row>
    <row customHeight="1" ht="27.299999999999997">
      <c r="A43" s="481"/>
      <c r="B43" s="526"/>
      <c r="C43" s="481"/>
      <c r="D43" s="464">
        <f>D39+1</f>
        <v>10</v>
      </c>
      <c r="E43" s="46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86"/>
      <c r="G43" s="46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99"/>
      <c r="J43" s="479">
        <v>26</v>
      </c>
    </row>
    <row customHeight="1" ht="23.25">
      <c r="A44" s="481"/>
      <c r="B44" s="526"/>
      <c r="C44" s="481"/>
      <c r="D44" s="464">
        <f>D43+1</f>
        <v>11</v>
      </c>
      <c r="E44" s="46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402"/>
      <c r="G44" s="498" t="s">
        <v>424</v>
      </c>
      <c r="H44" s="499"/>
      <c r="J44" s="479">
        <v>22</v>
      </c>
    </row>
    <row customHeight="1" ht="23.25">
      <c r="A45" s="481"/>
      <c r="B45" s="526"/>
      <c r="C45" s="481"/>
      <c r="D45" s="464">
        <f>D44+1</f>
        <v>12</v>
      </c>
      <c r="E45" s="462" t="s">
        <v>425</v>
      </c>
      <c r="F45" s="467" t="s">
        <v>390</v>
      </c>
      <c r="G45" s="461" t="str">
        <f>IF(TEMPLATE_SPHERE="TKO","Указывается режим работы организации.","")</f>
        <v/>
      </c>
      <c r="H45" s="499"/>
      <c r="J45" s="479">
        <v>22</v>
      </c>
    </row>
    <row customHeight="1" ht="24">
      <c r="A46" s="481"/>
      <c r="B46" s="526"/>
      <c r="C46" s="481"/>
      <c r="D46" s="464" t="str">
        <f>D45&amp;".1"</f>
        <v>12.1</v>
      </c>
      <c r="E46" s="466" t="str">
        <f>"режим работы регулируемой организации"&amp;IF(TEMPLATE_SPHERE="HEAT",", ЕТО, ТО","")</f>
        <v>режим работы регулируемой организации, ЕТО, ТО</v>
      </c>
      <c r="F46" s="1708"/>
      <c r="G46" s="461" t="s">
        <v>426</v>
      </c>
      <c r="H46" s="499"/>
      <c r="J46" s="479">
        <v>23</v>
      </c>
    </row>
    <row customHeight="1" ht="24">
      <c r="A47" s="2226"/>
      <c r="B47" s="526"/>
      <c r="C47" s="516"/>
      <c r="D47" s="464" t="str">
        <f>D45&amp;".2"</f>
        <v>12.2</v>
      </c>
      <c r="E47" s="466" t="s">
        <v>427</v>
      </c>
      <c r="F47" s="514"/>
      <c r="G47" s="461" t="s">
        <v>428</v>
      </c>
      <c r="H47" s="499"/>
      <c r="J47" s="479">
        <v>23</v>
      </c>
    </row>
    <row customHeight="1" ht="24">
      <c r="A48" s="2226"/>
      <c r="B48" s="526"/>
      <c r="C48" s="516"/>
      <c r="D48" s="464" t="str">
        <f>D45&amp;".3"</f>
        <v>12.3</v>
      </c>
      <c r="E48" s="466" t="s">
        <v>429</v>
      </c>
      <c r="F48" s="514"/>
      <c r="G48" s="461" t="s">
        <v>430</v>
      </c>
      <c r="H48" s="499"/>
      <c r="J48" s="479">
        <v>23</v>
      </c>
    </row>
    <row customHeight="1" ht="24">
      <c r="A49" s="2226"/>
      <c r="B49" s="526"/>
      <c r="C49" s="516"/>
      <c r="D49" s="464" t="str">
        <f>IF(TEMPLATE_SPHERE="TKO",D45&amp;".0",D45&amp;".4")</f>
        <v>12.4</v>
      </c>
      <c r="E49" s="460" t="s">
        <v>431</v>
      </c>
      <c r="F49" s="1709"/>
      <c r="G49" s="1786" t="s">
        <v>432</v>
      </c>
      <c r="H49" s="499"/>
      <c r="J49" s="479">
        <v>23</v>
      </c>
    </row>
    <row customHeight="1" ht="24">
      <c r="A50" s="481"/>
      <c r="B50" s="526"/>
      <c r="C50" s="481"/>
      <c r="D50" s="491"/>
      <c r="E50" s="439" t="s">
        <v>433</v>
      </c>
      <c r="F50" s="492"/>
      <c r="G50" s="1786" t="s">
        <v>434</v>
      </c>
      <c r="H50" s="500"/>
      <c r="J50" s="479">
        <v>23</v>
      </c>
    </row>
    <row customHeight="1" ht="24">
      <c r="A51" s="882"/>
      <c r="B51" s="526"/>
      <c r="C51" s="516"/>
      <c r="D51" s="464">
        <f>D45+1</f>
        <v>13</v>
      </c>
      <c r="E51" s="552" t="s">
        <v>435</v>
      </c>
      <c r="F51" s="514"/>
      <c r="G51" s="171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99"/>
      <c r="J51" s="479">
        <v>23</v>
      </c>
    </row>
    <row customHeight="1" ht="11.549999999999999">
      <c r="A52" s="481"/>
      <c r="B52" s="526"/>
      <c r="C52" s="481"/>
      <c r="J52" s="479">
        <v>11</v>
      </c>
    </row>
    <row s="484" customFormat="1" customHeight="1" ht="31.5">
      <c r="A53" s="1711"/>
      <c r="B53" s="527"/>
      <c r="C53" s="2227"/>
      <c r="D53" s="223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30"/>
      <c r="F53" s="2230"/>
      <c r="G53" s="2230"/>
      <c r="H53" s="478"/>
      <c r="I53" s="478"/>
      <c r="J53" s="484">
        <v>30</v>
      </c>
    </row>
    <row s="484" customFormat="1" customHeight="1" ht="42">
      <c r="A54" s="481"/>
      <c r="B54" s="526"/>
      <c r="C54" s="2227"/>
      <c r="D54" s="223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30"/>
      <c r="F54" s="2230"/>
      <c r="G54" s="2230"/>
      <c r="J54" s="484">
        <v>40</v>
      </c>
    </row>
    <row customHeight="1" ht="11.549999999999999">
      <c r="D55" s="482"/>
      <c r="E55" s="483"/>
      <c r="F55" s="483"/>
      <c r="G55" s="483"/>
      <c r="J55" s="479">
        <v>11</v>
      </c>
    </row>
    <row customHeight="1" ht="28.5">
      <c r="D56" s="485"/>
      <c r="E56" s="482"/>
      <c r="F56" s="494"/>
      <c r="G56" s="494"/>
      <c r="J56" s="479">
        <v>27</v>
      </c>
    </row>
    <row customHeight="1" ht="11.549999999999999">
      <c r="D57" s="482"/>
      <c r="E57" s="482"/>
      <c r="F57" s="483"/>
      <c r="G57" s="483"/>
      <c r="J57" s="479">
        <v>11</v>
      </c>
    </row>
    <row customHeight="1" ht="40.949999999999996">
      <c r="D58" s="486"/>
      <c r="E58" s="495"/>
      <c r="F58" s="495"/>
      <c r="G58" s="495"/>
      <c r="J58" s="479">
        <v>39</v>
      </c>
    </row>
    <row customHeight="1" ht="28.5">
      <c r="D59" s="486"/>
      <c r="E59" s="495"/>
      <c r="F59" s="495"/>
      <c r="G59" s="495"/>
      <c r="J59" s="479">
        <v>27</v>
      </c>
    </row>
    <row customHeight="1" ht="11.25" hidden="1">
      <c r="A60" s="1710" t="s">
        <v>82</v>
      </c>
      <c r="B60" s="525">
        <v>0</v>
      </c>
      <c r="C60" s="479">
        <v>3</v>
      </c>
      <c r="D60" s="480">
        <v>6</v>
      </c>
      <c r="E60" s="479">
        <v>52</v>
      </c>
      <c r="F60" s="479">
        <v>48</v>
      </c>
      <c r="G60" s="479">
        <v>121</v>
      </c>
      <c r="H60" s="479">
        <v>8</v>
      </c>
      <c r="I60" s="479">
        <v>64</v>
      </c>
      <c r="J60" s="479">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8B6B09-CDA1-60D8-B445-0.71040F1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CFB3B-35F5-5145-D954-0.011D77E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FA917D-6F8A-5125-D4C1-0.E3F0032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90"/>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E8F21C-66FB-07B6-A2E4-0.5A32F6B8}" mc:Ignorable="x14ac xr xr2 xr3">
  <dimension ref="A1:E8"/>
  <sheetViews>
    <sheetView topLeftCell="A1" showGridLines="0" workbookViewId="0">
      <selection activeCell="A1" sqref="A1"/>
    </sheetView>
  </sheetViews>
  <sheetFormatPr customHeight="1" defaultRowHeight="11.25"/>
  <cols>
    <col min="1" max="1" style="88" width="10.57421875" customWidth="1"/>
    <col min="2" max="2" style="88" width="8.7109375" customWidth="1"/>
    <col min="3" max="3" style="88" width="18.140625" customWidth="1"/>
    <col min="4" max="4" style="88" width="12.57421875" customWidth="1"/>
  </cols>
  <sheetData>
    <row customHeight="1" ht="11.25">
      <c r="A1" s="2639" t="s">
        <v>2568</v>
      </c>
      <c r="B1" s="2640" t="s">
        <v>2569</v>
      </c>
      <c r="C1" s="2641" t="s">
        <v>2570</v>
      </c>
      <c r="D1" s="2642"/>
      <c r="E1" s="860" t="s">
        <v>2571</v>
      </c>
    </row>
    <row customHeight="1" ht="11.25">
      <c r="A2" s="2643"/>
      <c r="B2" s="789" t="s">
        <v>27</v>
      </c>
      <c r="C2" s="777"/>
      <c r="D2" s="788"/>
      <c r="E2" s="860"/>
    </row>
    <row customHeight="1" ht="11.25">
      <c r="A3" s="2644"/>
      <c r="B3" s="2645" t="s">
        <v>33</v>
      </c>
      <c r="C3" s="777"/>
      <c r="D3" s="788"/>
      <c r="E3" s="860"/>
    </row>
    <row customHeight="1" ht="11.25">
      <c r="A4" s="2646"/>
      <c r="B4" s="790" t="s">
        <v>1995</v>
      </c>
      <c r="C4" s="777"/>
      <c r="D4" s="788"/>
      <c r="E4" s="860"/>
    </row>
    <row customHeight="1" ht="11.25">
      <c r="A5" s="2647"/>
      <c r="B5" s="790" t="s">
        <v>1990</v>
      </c>
      <c r="C5" s="2648" t="s">
        <v>2335</v>
      </c>
      <c r="D5" s="2649" t="s">
        <v>2572</v>
      </c>
      <c r="E5" s="860"/>
    </row>
    <row s="1874" customFormat="1" customHeight="1" ht="11.25">
      <c r="A6" s="2650"/>
      <c r="B6" s="790" t="s">
        <v>1999</v>
      </c>
      <c r="C6" s="777"/>
      <c r="D6" s="788"/>
      <c r="E6" s="860"/>
    </row>
    <row customHeight="1" ht="11.25">
      <c r="A7" s="2651"/>
      <c r="B7" s="790" t="s">
        <v>2007</v>
      </c>
      <c r="C7" s="777"/>
      <c r="D7" s="788"/>
      <c r="E7" s="860"/>
    </row>
    <row customHeight="1" ht="11.25">
      <c r="A8" s="780"/>
      <c r="B8" s="790" t="s">
        <v>2002</v>
      </c>
      <c r="C8" s="777"/>
      <c r="D8" s="788"/>
      <c r="E8" s="860"/>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04F295-5327-6067-435E-0.5FADF5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D9175-552D-AECF-1939-0.3C312D3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E687A7-EDC2-6D74-CC78-0.00159C58}" mc:Ignorable="x14ac xr xr2 xr3">
  <sheetPr>
    <tabColor rgb="FFFFCC99"/>
  </sheetPr>
  <dimension ref="A1:I505"/>
  <sheetViews>
    <sheetView topLeftCell="A1" showGridLines="0" workbookViewId="0">
      <selection activeCell="A1" sqref="A1"/>
    </sheetView>
  </sheetViews>
  <sheetFormatPr defaultColWidth="9.140625" customHeight="1" defaultRowHeight="11.25"/>
  <cols>
    <col min="1" max="2" style="1874" width="9.140625"/>
    <col min="3" max="3" style="1874" width="20.7109375" customWidth="1"/>
    <col min="4" max="4" style="1874" width="25.140625" customWidth="1"/>
    <col min="5" max="9" style="1874" width="9.140625"/>
  </cols>
  <sheetData>
    <row customHeight="1" ht="11.25">
      <c r="A1" s="92" t="s">
        <v>2573</v>
      </c>
      <c r="B1" s="92" t="s">
        <v>2574</v>
      </c>
      <c r="C1" s="92" t="s">
        <v>2575</v>
      </c>
      <c r="D1" s="92" t="s">
        <v>2576</v>
      </c>
      <c r="E1" s="92" t="s">
        <v>2577</v>
      </c>
      <c r="F1" s="92" t="s">
        <v>2578</v>
      </c>
      <c r="G1" s="92" t="s">
        <v>2579</v>
      </c>
      <c r="H1" s="92" t="s">
        <v>2580</v>
      </c>
      <c r="I1" s="92" t="s">
        <v>2581</v>
      </c>
    </row>
    <row customHeight="1" ht="11.25">
      <c r="A2" s="1874" t="s">
        <v>2582</v>
      </c>
      <c r="B2" s="1874" t="s">
        <v>16</v>
      </c>
      <c r="C2" s="1874" t="s">
        <v>2583</v>
      </c>
      <c r="D2" s="1874" t="s">
        <v>2584</v>
      </c>
      <c r="E2" s="1874" t="s">
        <v>2585</v>
      </c>
      <c r="F2" s="1874" t="s">
        <v>2586</v>
      </c>
      <c r="G2" s="1874" t="s">
        <v>2587</v>
      </c>
      <c r="H2" s="1874" t="s">
        <v>22</v>
      </c>
      <c r="I2" s="1874" t="s">
        <v>905</v>
      </c>
    </row>
    <row customHeight="1" ht="11.25">
      <c r="A3" s="1874" t="s">
        <v>2582</v>
      </c>
      <c r="B3" s="1874" t="s">
        <v>16</v>
      </c>
      <c r="C3" s="1874" t="s">
        <v>2588</v>
      </c>
      <c r="D3" s="1874" t="s">
        <v>2589</v>
      </c>
      <c r="E3" s="1874" t="s">
        <v>2590</v>
      </c>
      <c r="F3" s="1874" t="s">
        <v>2591</v>
      </c>
      <c r="G3" s="1874" t="s">
        <v>22</v>
      </c>
      <c r="H3" s="1874" t="s">
        <v>22</v>
      </c>
      <c r="I3" s="1874" t="s">
        <v>905</v>
      </c>
    </row>
    <row customHeight="1" ht="11.25">
      <c r="A4" s="1874" t="s">
        <v>2582</v>
      </c>
      <c r="B4" s="1874" t="s">
        <v>16</v>
      </c>
      <c r="C4" s="1874" t="s">
        <v>13</v>
      </c>
      <c r="D4" s="1874" t="s">
        <v>46</v>
      </c>
      <c r="E4" s="1874" t="s">
        <v>49</v>
      </c>
      <c r="F4" s="1874" t="s">
        <v>51</v>
      </c>
      <c r="G4" s="1874" t="s">
        <v>2592</v>
      </c>
      <c r="H4" s="1874" t="s">
        <v>22</v>
      </c>
      <c r="I4" s="1874" t="s">
        <v>905</v>
      </c>
    </row>
    <row customHeight="1" ht="11.25">
      <c r="A5" s="1874" t="s">
        <v>2582</v>
      </c>
      <c r="B5" s="1874" t="s">
        <v>16</v>
      </c>
      <c r="C5" s="1874" t="s">
        <v>2593</v>
      </c>
      <c r="D5" s="1874" t="s">
        <v>46</v>
      </c>
      <c r="E5" s="1874" t="s">
        <v>49</v>
      </c>
      <c r="F5" s="1874" t="s">
        <v>2594</v>
      </c>
      <c r="G5" s="1874" t="s">
        <v>2592</v>
      </c>
      <c r="H5" s="1874" t="s">
        <v>22</v>
      </c>
      <c r="I5" s="1874" t="s">
        <v>905</v>
      </c>
    </row>
    <row customHeight="1" ht="11.25">
      <c r="A6" s="1874" t="s">
        <v>2582</v>
      </c>
      <c r="B6" s="1874" t="s">
        <v>16</v>
      </c>
      <c r="C6" s="1874" t="s">
        <v>2595</v>
      </c>
      <c r="D6" s="1874" t="s">
        <v>2596</v>
      </c>
      <c r="E6" s="1874" t="s">
        <v>49</v>
      </c>
      <c r="F6" s="1874" t="s">
        <v>2597</v>
      </c>
      <c r="G6" s="1874" t="s">
        <v>22</v>
      </c>
      <c r="H6" s="1874" t="s">
        <v>22</v>
      </c>
      <c r="I6" s="1874" t="s">
        <v>905</v>
      </c>
    </row>
    <row customHeight="1" ht="11.25">
      <c r="A7" s="1874" t="s">
        <v>2582</v>
      </c>
      <c r="B7" s="1874" t="s">
        <v>16</v>
      </c>
      <c r="C7" s="1874" t="s">
        <v>2598</v>
      </c>
      <c r="D7" s="1874" t="s">
        <v>2599</v>
      </c>
      <c r="E7" s="1874" t="s">
        <v>49</v>
      </c>
      <c r="F7" s="1874" t="s">
        <v>2600</v>
      </c>
      <c r="G7" s="1874" t="s">
        <v>22</v>
      </c>
      <c r="H7" s="1874" t="s">
        <v>22</v>
      </c>
      <c r="I7" s="1874" t="s">
        <v>905</v>
      </c>
    </row>
    <row customHeight="1" ht="11.25">
      <c r="A8" s="1874" t="s">
        <v>2582</v>
      </c>
      <c r="B8" s="1874" t="s">
        <v>16</v>
      </c>
      <c r="C8" s="1874" t="s">
        <v>2601</v>
      </c>
      <c r="D8" s="1874" t="s">
        <v>2602</v>
      </c>
      <c r="E8" s="1874" t="s">
        <v>49</v>
      </c>
      <c r="F8" s="1874" t="s">
        <v>2603</v>
      </c>
      <c r="G8" s="1874" t="s">
        <v>22</v>
      </c>
      <c r="H8" s="1874" t="s">
        <v>22</v>
      </c>
      <c r="I8" s="1874" t="s">
        <v>905</v>
      </c>
    </row>
    <row customHeight="1" ht="11.25">
      <c r="A9" s="1874" t="s">
        <v>2582</v>
      </c>
      <c r="B9" s="1874" t="s">
        <v>16</v>
      </c>
      <c r="C9" s="1874" t="s">
        <v>2604</v>
      </c>
      <c r="D9" s="1874" t="s">
        <v>2605</v>
      </c>
      <c r="E9" s="1874" t="s">
        <v>49</v>
      </c>
      <c r="F9" s="1874" t="s">
        <v>2606</v>
      </c>
      <c r="G9" s="1874" t="s">
        <v>22</v>
      </c>
      <c r="H9" s="1874" t="s">
        <v>22</v>
      </c>
      <c r="I9" s="1874" t="s">
        <v>905</v>
      </c>
    </row>
    <row customHeight="1" ht="11.25">
      <c r="A10" s="1874" t="s">
        <v>2582</v>
      </c>
      <c r="B10" s="1874" t="s">
        <v>16</v>
      </c>
      <c r="C10" s="1874" t="s">
        <v>2607</v>
      </c>
      <c r="D10" s="1874" t="s">
        <v>2608</v>
      </c>
      <c r="E10" s="1874" t="s">
        <v>49</v>
      </c>
      <c r="F10" s="1874" t="s">
        <v>2609</v>
      </c>
      <c r="G10" s="1874" t="s">
        <v>22</v>
      </c>
      <c r="H10" s="1874" t="s">
        <v>22</v>
      </c>
      <c r="I10" s="1874" t="s">
        <v>905</v>
      </c>
    </row>
    <row customHeight="1" ht="11.25">
      <c r="A11" s="1874" t="s">
        <v>2582</v>
      </c>
      <c r="B11" s="1874" t="s">
        <v>16</v>
      </c>
      <c r="C11" s="1874" t="s">
        <v>2610</v>
      </c>
      <c r="D11" s="1874" t="s">
        <v>2611</v>
      </c>
      <c r="E11" s="1874" t="s">
        <v>49</v>
      </c>
      <c r="F11" s="1874" t="s">
        <v>2612</v>
      </c>
      <c r="G11" s="1874" t="s">
        <v>22</v>
      </c>
      <c r="H11" s="1874" t="s">
        <v>22</v>
      </c>
      <c r="I11" s="1874" t="s">
        <v>905</v>
      </c>
    </row>
    <row customHeight="1" ht="11.25">
      <c r="A12" s="1874" t="s">
        <v>2582</v>
      </c>
      <c r="B12" s="1874" t="s">
        <v>16</v>
      </c>
      <c r="C12" s="1874" t="s">
        <v>2613</v>
      </c>
      <c r="D12" s="1874" t="s">
        <v>2614</v>
      </c>
      <c r="E12" s="1874" t="s">
        <v>49</v>
      </c>
      <c r="F12" s="1874" t="s">
        <v>2615</v>
      </c>
      <c r="G12" s="1874" t="s">
        <v>22</v>
      </c>
      <c r="H12" s="1874" t="s">
        <v>22</v>
      </c>
      <c r="I12" s="1874" t="s">
        <v>905</v>
      </c>
    </row>
    <row customHeight="1" ht="11.25">
      <c r="A13" s="1874" t="s">
        <v>2582</v>
      </c>
      <c r="B13" s="1874" t="s">
        <v>16</v>
      </c>
      <c r="C13" s="1874" t="s">
        <v>2616</v>
      </c>
      <c r="D13" s="1874" t="s">
        <v>2617</v>
      </c>
      <c r="E13" s="1874" t="s">
        <v>49</v>
      </c>
      <c r="F13" s="1874" t="s">
        <v>2618</v>
      </c>
      <c r="G13" s="1874" t="s">
        <v>22</v>
      </c>
      <c r="H13" s="1874" t="s">
        <v>22</v>
      </c>
      <c r="I13" s="1874" t="s">
        <v>905</v>
      </c>
    </row>
    <row customHeight="1" ht="11.25">
      <c r="A14" s="1874" t="s">
        <v>2582</v>
      </c>
      <c r="B14" s="1874" t="s">
        <v>16</v>
      </c>
      <c r="C14" s="1874" t="s">
        <v>2619</v>
      </c>
      <c r="D14" s="1874" t="s">
        <v>2620</v>
      </c>
      <c r="E14" s="1874" t="s">
        <v>49</v>
      </c>
      <c r="F14" s="1874" t="s">
        <v>2621</v>
      </c>
      <c r="G14" s="1874" t="s">
        <v>22</v>
      </c>
      <c r="H14" s="1874" t="s">
        <v>22</v>
      </c>
      <c r="I14" s="1874" t="s">
        <v>905</v>
      </c>
    </row>
    <row customHeight="1" ht="11.25">
      <c r="A15" s="1874" t="s">
        <v>2582</v>
      </c>
      <c r="B15" s="1874" t="s">
        <v>16</v>
      </c>
      <c r="C15" s="1874" t="s">
        <v>2622</v>
      </c>
      <c r="D15" s="1874" t="s">
        <v>2623</v>
      </c>
      <c r="E15" s="1874" t="s">
        <v>2624</v>
      </c>
      <c r="F15" s="1874" t="s">
        <v>2591</v>
      </c>
      <c r="G15" s="1874" t="s">
        <v>22</v>
      </c>
      <c r="H15" s="1874" t="s">
        <v>22</v>
      </c>
      <c r="I15" s="1874" t="s">
        <v>905</v>
      </c>
    </row>
    <row customHeight="1" ht="11.25">
      <c r="A16" s="1874" t="s">
        <v>2582</v>
      </c>
      <c r="B16" s="1874" t="s">
        <v>16</v>
      </c>
      <c r="C16" s="1874" t="s">
        <v>2625</v>
      </c>
      <c r="D16" s="1874" t="s">
        <v>2626</v>
      </c>
      <c r="E16" s="1874" t="s">
        <v>2627</v>
      </c>
      <c r="F16" s="1874" t="s">
        <v>2628</v>
      </c>
      <c r="G16" s="1874" t="s">
        <v>2629</v>
      </c>
      <c r="H16" s="1874" t="s">
        <v>22</v>
      </c>
      <c r="I16" s="1874" t="s">
        <v>905</v>
      </c>
    </row>
    <row customHeight="1" ht="11.25">
      <c r="A17" s="1874" t="s">
        <v>2582</v>
      </c>
      <c r="B17" s="1874" t="s">
        <v>16</v>
      </c>
      <c r="C17" s="1874" t="s">
        <v>2630</v>
      </c>
      <c r="D17" s="1874" t="s">
        <v>2631</v>
      </c>
      <c r="E17" s="1874" t="s">
        <v>2632</v>
      </c>
      <c r="F17" s="1874" t="s">
        <v>2628</v>
      </c>
      <c r="G17" s="1874" t="s">
        <v>2633</v>
      </c>
      <c r="H17" s="1874" t="s">
        <v>22</v>
      </c>
      <c r="I17" s="1874" t="s">
        <v>905</v>
      </c>
    </row>
    <row customHeight="1" ht="11.25">
      <c r="A18" s="1874" t="s">
        <v>2582</v>
      </c>
      <c r="B18" s="1874" t="s">
        <v>16</v>
      </c>
      <c r="C18" s="1874" t="s">
        <v>2634</v>
      </c>
      <c r="D18" s="1874" t="s">
        <v>2635</v>
      </c>
      <c r="E18" s="1874" t="s">
        <v>2636</v>
      </c>
      <c r="F18" s="1874" t="s">
        <v>2637</v>
      </c>
      <c r="G18" s="1874" t="s">
        <v>22</v>
      </c>
      <c r="H18" s="1874" t="s">
        <v>22</v>
      </c>
      <c r="I18" s="1874" t="s">
        <v>905</v>
      </c>
    </row>
    <row customHeight="1" ht="11.25">
      <c r="A19" s="1874" t="s">
        <v>2582</v>
      </c>
      <c r="B19" s="1874" t="s">
        <v>16</v>
      </c>
      <c r="C19" s="1874" t="s">
        <v>2638</v>
      </c>
      <c r="D19" s="1874" t="s">
        <v>2639</v>
      </c>
      <c r="E19" s="1874" t="s">
        <v>2640</v>
      </c>
      <c r="F19" s="1874" t="s">
        <v>2641</v>
      </c>
      <c r="G19" s="1874" t="s">
        <v>22</v>
      </c>
      <c r="H19" s="1874" t="s">
        <v>22</v>
      </c>
      <c r="I19" s="1874" t="s">
        <v>905</v>
      </c>
    </row>
    <row customHeight="1" ht="11.25">
      <c r="A20" s="1874" t="s">
        <v>2582</v>
      </c>
      <c r="B20" s="1874" t="s">
        <v>16</v>
      </c>
      <c r="C20" s="1874" t="s">
        <v>2642</v>
      </c>
      <c r="D20" s="1874" t="s">
        <v>2643</v>
      </c>
      <c r="E20" s="1874" t="s">
        <v>2644</v>
      </c>
      <c r="F20" s="1874" t="s">
        <v>2628</v>
      </c>
      <c r="G20" s="1874" t="s">
        <v>22</v>
      </c>
      <c r="H20" s="1874" t="s">
        <v>22</v>
      </c>
      <c r="I20" s="1874" t="s">
        <v>905</v>
      </c>
    </row>
    <row customHeight="1" ht="11.25">
      <c r="A21" s="1874" t="s">
        <v>2582</v>
      </c>
      <c r="B21" s="1874" t="s">
        <v>16</v>
      </c>
      <c r="C21" s="1874" t="s">
        <v>2645</v>
      </c>
      <c r="D21" s="1874" t="s">
        <v>2646</v>
      </c>
      <c r="E21" s="1874" t="s">
        <v>2647</v>
      </c>
      <c r="F21" s="1874" t="s">
        <v>51</v>
      </c>
      <c r="G21" s="1874" t="s">
        <v>2648</v>
      </c>
      <c r="H21" s="1874" t="s">
        <v>22</v>
      </c>
      <c r="I21" s="1874" t="s">
        <v>905</v>
      </c>
    </row>
    <row customHeight="1" ht="11.25">
      <c r="A22" s="1874" t="s">
        <v>2582</v>
      </c>
      <c r="B22" s="1874" t="s">
        <v>16</v>
      </c>
      <c r="C22" s="1874" t="s">
        <v>2649</v>
      </c>
      <c r="D22" s="1874" t="s">
        <v>2650</v>
      </c>
      <c r="E22" s="1874" t="s">
        <v>2640</v>
      </c>
      <c r="F22" s="1874" t="s">
        <v>2651</v>
      </c>
      <c r="G22" s="1874" t="s">
        <v>22</v>
      </c>
      <c r="H22" s="1874" t="s">
        <v>22</v>
      </c>
      <c r="I22" s="1874" t="s">
        <v>905</v>
      </c>
    </row>
    <row customHeight="1" ht="11.25">
      <c r="A23" s="1874" t="s">
        <v>2582</v>
      </c>
      <c r="B23" s="1874" t="s">
        <v>16</v>
      </c>
      <c r="C23" s="1874" t="s">
        <v>2652</v>
      </c>
      <c r="D23" s="1874" t="s">
        <v>2653</v>
      </c>
      <c r="E23" s="1874" t="s">
        <v>2654</v>
      </c>
      <c r="F23" s="1874" t="s">
        <v>2655</v>
      </c>
      <c r="G23" s="1874" t="s">
        <v>22</v>
      </c>
      <c r="H23" s="1874" t="s">
        <v>22</v>
      </c>
      <c r="I23" s="1874" t="s">
        <v>905</v>
      </c>
    </row>
    <row customHeight="1" ht="11.25">
      <c r="A24" s="1874" t="s">
        <v>2582</v>
      </c>
      <c r="B24" s="1874" t="s">
        <v>16</v>
      </c>
      <c r="C24" s="1874" t="s">
        <v>2656</v>
      </c>
      <c r="D24" s="1874" t="s">
        <v>2657</v>
      </c>
      <c r="E24" s="1874" t="s">
        <v>2658</v>
      </c>
      <c r="F24" s="1874" t="s">
        <v>2659</v>
      </c>
      <c r="G24" s="1874" t="s">
        <v>22</v>
      </c>
      <c r="H24" s="1874" t="s">
        <v>22</v>
      </c>
      <c r="I24" s="1874" t="s">
        <v>905</v>
      </c>
    </row>
    <row customHeight="1" ht="11.25">
      <c r="A25" s="1874" t="s">
        <v>2582</v>
      </c>
      <c r="B25" s="1874" t="s">
        <v>16</v>
      </c>
      <c r="C25" s="1874" t="s">
        <v>2660</v>
      </c>
      <c r="D25" s="1874" t="s">
        <v>2661</v>
      </c>
      <c r="E25" s="1874" t="s">
        <v>2662</v>
      </c>
      <c r="F25" s="1874" t="s">
        <v>2663</v>
      </c>
      <c r="G25" s="1874" t="s">
        <v>22</v>
      </c>
      <c r="H25" s="1874" t="s">
        <v>22</v>
      </c>
      <c r="I25" s="1874" t="s">
        <v>905</v>
      </c>
    </row>
    <row customHeight="1" ht="11.25">
      <c r="A26" s="1874" t="s">
        <v>2582</v>
      </c>
      <c r="B26" s="1874" t="s">
        <v>16</v>
      </c>
      <c r="C26" s="1874" t="s">
        <v>2664</v>
      </c>
      <c r="D26" s="1874" t="s">
        <v>2665</v>
      </c>
      <c r="E26" s="1874" t="s">
        <v>2666</v>
      </c>
      <c r="F26" s="1874" t="s">
        <v>2667</v>
      </c>
      <c r="G26" s="1874" t="s">
        <v>22</v>
      </c>
      <c r="H26" s="1874" t="s">
        <v>22</v>
      </c>
      <c r="I26" s="1874" t="s">
        <v>905</v>
      </c>
    </row>
    <row customHeight="1" ht="11.25">
      <c r="A27" s="1874" t="s">
        <v>2582</v>
      </c>
      <c r="B27" s="1874" t="s">
        <v>16</v>
      </c>
      <c r="C27" s="1874" t="s">
        <v>2668</v>
      </c>
      <c r="D27" s="1874" t="s">
        <v>2669</v>
      </c>
      <c r="E27" s="1874" t="s">
        <v>2662</v>
      </c>
      <c r="F27" s="1874" t="s">
        <v>2670</v>
      </c>
      <c r="G27" s="1874" t="s">
        <v>22</v>
      </c>
      <c r="H27" s="1874" t="s">
        <v>22</v>
      </c>
      <c r="I27" s="1874" t="s">
        <v>905</v>
      </c>
    </row>
    <row customHeight="1" ht="11.25">
      <c r="A28" s="1874" t="s">
        <v>2582</v>
      </c>
      <c r="B28" s="1874" t="s">
        <v>16</v>
      </c>
      <c r="C28" s="1874" t="s">
        <v>2671</v>
      </c>
      <c r="D28" s="1874" t="s">
        <v>2672</v>
      </c>
      <c r="E28" s="1874" t="s">
        <v>2673</v>
      </c>
      <c r="F28" s="1874" t="s">
        <v>51</v>
      </c>
      <c r="G28" s="1874" t="s">
        <v>2674</v>
      </c>
      <c r="H28" s="1874" t="s">
        <v>22</v>
      </c>
      <c r="I28" s="1874" t="s">
        <v>905</v>
      </c>
    </row>
    <row customHeight="1" ht="11.25">
      <c r="A29" s="1874" t="s">
        <v>2582</v>
      </c>
      <c r="B29" s="1874" t="s">
        <v>16</v>
      </c>
      <c r="C29" s="1874" t="s">
        <v>22</v>
      </c>
      <c r="D29" s="1874" t="s">
        <v>2675</v>
      </c>
      <c r="E29" s="1874" t="s">
        <v>2676</v>
      </c>
      <c r="F29" s="1874" t="s">
        <v>51</v>
      </c>
      <c r="G29" s="1874" t="s">
        <v>22</v>
      </c>
      <c r="H29" s="1874" t="s">
        <v>22</v>
      </c>
      <c r="I29" s="1874" t="s">
        <v>905</v>
      </c>
    </row>
    <row customHeight="1" ht="11.25">
      <c r="A30" s="1874" t="s">
        <v>2582</v>
      </c>
      <c r="B30" s="1874" t="s">
        <v>16</v>
      </c>
      <c r="C30" s="1874" t="s">
        <v>2677</v>
      </c>
      <c r="D30" s="1874" t="s">
        <v>2678</v>
      </c>
      <c r="E30" s="1874" t="s">
        <v>2679</v>
      </c>
      <c r="F30" s="1874" t="s">
        <v>2680</v>
      </c>
      <c r="G30" s="1874" t="s">
        <v>2681</v>
      </c>
      <c r="H30" s="1874" t="s">
        <v>22</v>
      </c>
      <c r="I30" s="1874" t="s">
        <v>905</v>
      </c>
    </row>
    <row customHeight="1" ht="11.25">
      <c r="A31" s="1874" t="s">
        <v>2582</v>
      </c>
      <c r="B31" s="1874" t="s">
        <v>16</v>
      </c>
      <c r="C31" s="1874" t="s">
        <v>2682</v>
      </c>
      <c r="D31" s="1874" t="s">
        <v>2683</v>
      </c>
      <c r="E31" s="1874" t="s">
        <v>2684</v>
      </c>
      <c r="F31" s="1874" t="s">
        <v>2685</v>
      </c>
      <c r="G31" s="1874" t="s">
        <v>22</v>
      </c>
      <c r="H31" s="1874" t="s">
        <v>22</v>
      </c>
      <c r="I31" s="1874" t="s">
        <v>905</v>
      </c>
    </row>
    <row customHeight="1" ht="11.25">
      <c r="A32" s="1874" t="s">
        <v>2582</v>
      </c>
      <c r="B32" s="1874" t="s">
        <v>16</v>
      </c>
      <c r="C32" s="1874" t="s">
        <v>2686</v>
      </c>
      <c r="D32" s="1874" t="s">
        <v>2687</v>
      </c>
      <c r="E32" s="1874" t="s">
        <v>2688</v>
      </c>
      <c r="F32" s="1874" t="s">
        <v>2689</v>
      </c>
      <c r="G32" s="1874" t="s">
        <v>2690</v>
      </c>
      <c r="H32" s="1874" t="s">
        <v>22</v>
      </c>
      <c r="I32" s="1874" t="s">
        <v>905</v>
      </c>
    </row>
    <row customHeight="1" ht="11.25">
      <c r="A33" s="1874" t="s">
        <v>2582</v>
      </c>
      <c r="B33" s="1874" t="s">
        <v>16</v>
      </c>
      <c r="C33" s="1874" t="s">
        <v>2691</v>
      </c>
      <c r="D33" s="1874" t="s">
        <v>2692</v>
      </c>
      <c r="E33" s="1874" t="s">
        <v>2693</v>
      </c>
      <c r="F33" s="1874" t="s">
        <v>2694</v>
      </c>
      <c r="G33" s="1874" t="s">
        <v>22</v>
      </c>
      <c r="H33" s="1874" t="s">
        <v>22</v>
      </c>
      <c r="I33" s="1874" t="s">
        <v>905</v>
      </c>
    </row>
    <row customHeight="1" ht="11.25">
      <c r="A34" s="1874" t="s">
        <v>2582</v>
      </c>
      <c r="B34" s="1874" t="s">
        <v>16</v>
      </c>
      <c r="C34" s="1874" t="s">
        <v>2695</v>
      </c>
      <c r="D34" s="1874" t="s">
        <v>2696</v>
      </c>
      <c r="E34" s="1874" t="s">
        <v>2697</v>
      </c>
      <c r="F34" s="1874" t="s">
        <v>2698</v>
      </c>
      <c r="G34" s="1874" t="s">
        <v>2699</v>
      </c>
      <c r="H34" s="1874" t="s">
        <v>22</v>
      </c>
      <c r="I34" s="1874" t="s">
        <v>905</v>
      </c>
    </row>
    <row customHeight="1" ht="11.25">
      <c r="A35" s="1874" t="s">
        <v>2582</v>
      </c>
      <c r="B35" s="1874" t="s">
        <v>16</v>
      </c>
      <c r="C35" s="1874" t="s">
        <v>2700</v>
      </c>
      <c r="D35" s="1874" t="s">
        <v>2701</v>
      </c>
      <c r="E35" s="1874" t="s">
        <v>2702</v>
      </c>
      <c r="F35" s="1874" t="s">
        <v>2637</v>
      </c>
      <c r="G35" s="1874" t="s">
        <v>22</v>
      </c>
      <c r="H35" s="1874" t="s">
        <v>22</v>
      </c>
      <c r="I35" s="1874" t="s">
        <v>905</v>
      </c>
    </row>
    <row customHeight="1" ht="11.25">
      <c r="A36" s="1874" t="s">
        <v>2582</v>
      </c>
      <c r="B36" s="1874" t="s">
        <v>16</v>
      </c>
      <c r="C36" s="1874" t="s">
        <v>2703</v>
      </c>
      <c r="D36" s="1874" t="s">
        <v>2701</v>
      </c>
      <c r="E36" s="1874" t="s">
        <v>2704</v>
      </c>
      <c r="F36" s="1874" t="s">
        <v>2659</v>
      </c>
      <c r="G36" s="1874" t="s">
        <v>2705</v>
      </c>
      <c r="H36" s="1874" t="s">
        <v>22</v>
      </c>
      <c r="I36" s="1874" t="s">
        <v>905</v>
      </c>
    </row>
    <row customHeight="1" ht="11.25">
      <c r="A37" s="1874" t="s">
        <v>2582</v>
      </c>
      <c r="B37" s="1874" t="s">
        <v>16</v>
      </c>
      <c r="C37" s="1874" t="s">
        <v>2706</v>
      </c>
      <c r="D37" s="1874" t="s">
        <v>2707</v>
      </c>
      <c r="E37" s="1874" t="s">
        <v>2708</v>
      </c>
      <c r="F37" s="1874" t="s">
        <v>2709</v>
      </c>
      <c r="G37" s="1874" t="s">
        <v>22</v>
      </c>
      <c r="H37" s="1874" t="s">
        <v>22</v>
      </c>
      <c r="I37" s="1874" t="s">
        <v>905</v>
      </c>
    </row>
    <row customHeight="1" ht="11.25">
      <c r="A38" s="1874" t="s">
        <v>2582</v>
      </c>
      <c r="B38" s="1874" t="s">
        <v>16</v>
      </c>
      <c r="C38" s="1874" t="s">
        <v>2710</v>
      </c>
      <c r="D38" s="1874" t="s">
        <v>2711</v>
      </c>
      <c r="E38" s="1874" t="s">
        <v>2712</v>
      </c>
      <c r="F38" s="1874" t="s">
        <v>2655</v>
      </c>
      <c r="G38" s="1874" t="s">
        <v>2713</v>
      </c>
      <c r="H38" s="1874" t="s">
        <v>22</v>
      </c>
      <c r="I38" s="1874" t="s">
        <v>905</v>
      </c>
    </row>
    <row customHeight="1" ht="11.25">
      <c r="A39" s="1874" t="s">
        <v>2582</v>
      </c>
      <c r="B39" s="1874" t="s">
        <v>16</v>
      </c>
      <c r="C39" s="1874" t="s">
        <v>2714</v>
      </c>
      <c r="D39" s="1874" t="s">
        <v>2715</v>
      </c>
      <c r="E39" s="1874" t="s">
        <v>2716</v>
      </c>
      <c r="F39" s="1874" t="s">
        <v>2698</v>
      </c>
      <c r="G39" s="1874" t="s">
        <v>22</v>
      </c>
      <c r="H39" s="1874" t="s">
        <v>22</v>
      </c>
      <c r="I39" s="1874" t="s">
        <v>905</v>
      </c>
    </row>
    <row customHeight="1" ht="11.25">
      <c r="A40" s="1874" t="s">
        <v>2582</v>
      </c>
      <c r="B40" s="1874" t="s">
        <v>16</v>
      </c>
      <c r="C40" s="1874" t="s">
        <v>2717</v>
      </c>
      <c r="D40" s="1874" t="s">
        <v>2718</v>
      </c>
      <c r="E40" s="1874" t="s">
        <v>2719</v>
      </c>
      <c r="F40" s="1874" t="s">
        <v>2720</v>
      </c>
      <c r="G40" s="1874" t="s">
        <v>22</v>
      </c>
      <c r="H40" s="1874" t="s">
        <v>22</v>
      </c>
      <c r="I40" s="1874" t="s">
        <v>905</v>
      </c>
    </row>
    <row customHeight="1" ht="11.25">
      <c r="A41" s="1874" t="s">
        <v>2582</v>
      </c>
      <c r="B41" s="1874" t="s">
        <v>16</v>
      </c>
      <c r="C41" s="1874" t="s">
        <v>2721</v>
      </c>
      <c r="D41" s="1874" t="s">
        <v>2722</v>
      </c>
      <c r="E41" s="1874" t="s">
        <v>2723</v>
      </c>
      <c r="F41" s="1874" t="s">
        <v>2680</v>
      </c>
      <c r="G41" s="1874" t="s">
        <v>22</v>
      </c>
      <c r="H41" s="1874" t="s">
        <v>22</v>
      </c>
      <c r="I41" s="1874" t="s">
        <v>905</v>
      </c>
    </row>
    <row customHeight="1" ht="11.25">
      <c r="A42" s="1874" t="s">
        <v>2582</v>
      </c>
      <c r="B42" s="1874" t="s">
        <v>16</v>
      </c>
      <c r="C42" s="1874" t="s">
        <v>2724</v>
      </c>
      <c r="D42" s="1874" t="s">
        <v>2725</v>
      </c>
      <c r="E42" s="1874" t="s">
        <v>2726</v>
      </c>
      <c r="F42" s="1874" t="s">
        <v>2727</v>
      </c>
      <c r="G42" s="1874" t="s">
        <v>22</v>
      </c>
      <c r="H42" s="1874" t="s">
        <v>22</v>
      </c>
      <c r="I42" s="1874" t="s">
        <v>905</v>
      </c>
    </row>
    <row customHeight="1" ht="11.25">
      <c r="A43" s="1874" t="s">
        <v>2582</v>
      </c>
      <c r="B43" s="1874" t="s">
        <v>16</v>
      </c>
      <c r="C43" s="1874" t="s">
        <v>2728</v>
      </c>
      <c r="D43" s="1874" t="s">
        <v>2729</v>
      </c>
      <c r="E43" s="1874" t="s">
        <v>2730</v>
      </c>
      <c r="F43" s="1874" t="s">
        <v>2709</v>
      </c>
      <c r="G43" s="1874" t="s">
        <v>2731</v>
      </c>
      <c r="H43" s="1874" t="s">
        <v>22</v>
      </c>
      <c r="I43" s="1874" t="s">
        <v>905</v>
      </c>
    </row>
    <row customHeight="1" ht="11.25">
      <c r="A44" s="1874" t="s">
        <v>2582</v>
      </c>
      <c r="B44" s="1874" t="s">
        <v>16</v>
      </c>
      <c r="C44" s="1874" t="s">
        <v>2732</v>
      </c>
      <c r="D44" s="1874" t="s">
        <v>2733</v>
      </c>
      <c r="E44" s="1874" t="s">
        <v>2734</v>
      </c>
      <c r="F44" s="1874" t="s">
        <v>2735</v>
      </c>
      <c r="G44" s="1874" t="s">
        <v>22</v>
      </c>
      <c r="H44" s="1874" t="s">
        <v>22</v>
      </c>
      <c r="I44" s="1874" t="s">
        <v>905</v>
      </c>
    </row>
    <row customHeight="1" ht="11.25">
      <c r="A45" s="1874" t="s">
        <v>2582</v>
      </c>
      <c r="B45" s="1874" t="s">
        <v>16</v>
      </c>
      <c r="C45" s="1874" t="s">
        <v>2736</v>
      </c>
      <c r="D45" s="1874" t="s">
        <v>2737</v>
      </c>
      <c r="E45" s="1874" t="s">
        <v>2738</v>
      </c>
      <c r="F45" s="1874" t="s">
        <v>2735</v>
      </c>
      <c r="G45" s="1874" t="s">
        <v>2739</v>
      </c>
      <c r="H45" s="1874" t="s">
        <v>22</v>
      </c>
      <c r="I45" s="1874" t="s">
        <v>905</v>
      </c>
    </row>
    <row customHeight="1" ht="11.25">
      <c r="A46" s="1874" t="s">
        <v>2582</v>
      </c>
      <c r="B46" s="1874" t="s">
        <v>16</v>
      </c>
      <c r="C46" s="1874" t="s">
        <v>2740</v>
      </c>
      <c r="D46" s="1874" t="s">
        <v>2741</v>
      </c>
      <c r="E46" s="1874" t="s">
        <v>2742</v>
      </c>
      <c r="F46" s="1874" t="s">
        <v>2709</v>
      </c>
      <c r="G46" s="1874" t="s">
        <v>22</v>
      </c>
      <c r="H46" s="1874" t="s">
        <v>22</v>
      </c>
      <c r="I46" s="1874" t="s">
        <v>905</v>
      </c>
    </row>
    <row customHeight="1" ht="11.25">
      <c r="A47" s="1874" t="s">
        <v>2582</v>
      </c>
      <c r="B47" s="1874" t="s">
        <v>16</v>
      </c>
      <c r="C47" s="1874" t="s">
        <v>2743</v>
      </c>
      <c r="D47" s="1874" t="s">
        <v>2744</v>
      </c>
      <c r="E47" s="1874" t="s">
        <v>2745</v>
      </c>
      <c r="F47" s="1874" t="s">
        <v>2746</v>
      </c>
      <c r="G47" s="1874" t="s">
        <v>2747</v>
      </c>
      <c r="H47" s="1874" t="s">
        <v>22</v>
      </c>
      <c r="I47" s="1874" t="s">
        <v>905</v>
      </c>
    </row>
    <row customHeight="1" ht="11.25">
      <c r="A48" s="1874" t="s">
        <v>2582</v>
      </c>
      <c r="B48" s="1874" t="s">
        <v>16</v>
      </c>
      <c r="C48" s="1874" t="s">
        <v>2748</v>
      </c>
      <c r="D48" s="1874" t="s">
        <v>2749</v>
      </c>
      <c r="E48" s="1874" t="s">
        <v>2750</v>
      </c>
      <c r="F48" s="1874" t="s">
        <v>2746</v>
      </c>
      <c r="G48" s="1874" t="s">
        <v>2751</v>
      </c>
      <c r="H48" s="1874" t="s">
        <v>22</v>
      </c>
      <c r="I48" s="1874" t="s">
        <v>905</v>
      </c>
    </row>
    <row customHeight="1" ht="11.25">
      <c r="A49" s="1874" t="s">
        <v>2582</v>
      </c>
      <c r="B49" s="1874" t="s">
        <v>16</v>
      </c>
      <c r="C49" s="1874" t="s">
        <v>2752</v>
      </c>
      <c r="D49" s="1874" t="s">
        <v>2753</v>
      </c>
      <c r="E49" s="1874" t="s">
        <v>2754</v>
      </c>
      <c r="F49" s="1874" t="s">
        <v>2755</v>
      </c>
      <c r="G49" s="1874" t="s">
        <v>22</v>
      </c>
      <c r="H49" s="1874" t="s">
        <v>22</v>
      </c>
      <c r="I49" s="1874" t="s">
        <v>905</v>
      </c>
    </row>
    <row customHeight="1" ht="11.25">
      <c r="A50" s="1874" t="s">
        <v>2582</v>
      </c>
      <c r="B50" s="1874" t="s">
        <v>16</v>
      </c>
      <c r="C50" s="1874" t="s">
        <v>2756</v>
      </c>
      <c r="D50" s="1874" t="s">
        <v>2757</v>
      </c>
      <c r="E50" s="1874" t="s">
        <v>2758</v>
      </c>
      <c r="F50" s="1874" t="s">
        <v>2746</v>
      </c>
      <c r="G50" s="1874" t="s">
        <v>2759</v>
      </c>
      <c r="H50" s="1874" t="s">
        <v>22</v>
      </c>
      <c r="I50" s="1874" t="s">
        <v>905</v>
      </c>
    </row>
    <row customHeight="1" ht="11.25">
      <c r="A51" s="1874" t="s">
        <v>2582</v>
      </c>
      <c r="B51" s="1874" t="s">
        <v>16</v>
      </c>
      <c r="C51" s="1874" t="s">
        <v>2760</v>
      </c>
      <c r="D51" s="1874" t="s">
        <v>2761</v>
      </c>
      <c r="E51" s="1874" t="s">
        <v>2762</v>
      </c>
      <c r="F51" s="1874" t="s">
        <v>2746</v>
      </c>
      <c r="G51" s="1874" t="s">
        <v>2763</v>
      </c>
      <c r="H51" s="1874" t="s">
        <v>2764</v>
      </c>
      <c r="I51" s="1874" t="s">
        <v>905</v>
      </c>
    </row>
    <row customHeight="1" ht="11.25">
      <c r="A52" s="1874" t="s">
        <v>2582</v>
      </c>
      <c r="B52" s="1874" t="s">
        <v>16</v>
      </c>
      <c r="C52" s="1874" t="s">
        <v>2765</v>
      </c>
      <c r="D52" s="1874" t="s">
        <v>2766</v>
      </c>
      <c r="E52" s="1874" t="s">
        <v>2767</v>
      </c>
      <c r="F52" s="1874" t="s">
        <v>2735</v>
      </c>
      <c r="G52" s="1874" t="s">
        <v>2768</v>
      </c>
      <c r="H52" s="1874" t="s">
        <v>22</v>
      </c>
      <c r="I52" s="1874" t="s">
        <v>905</v>
      </c>
    </row>
    <row customHeight="1" ht="11.25">
      <c r="A53" s="1874" t="s">
        <v>2582</v>
      </c>
      <c r="B53" s="1874" t="s">
        <v>16</v>
      </c>
      <c r="C53" s="1874" t="s">
        <v>2769</v>
      </c>
      <c r="D53" s="1874" t="s">
        <v>2770</v>
      </c>
      <c r="E53" s="1874" t="s">
        <v>2771</v>
      </c>
      <c r="F53" s="1874" t="s">
        <v>2735</v>
      </c>
      <c r="G53" s="1874" t="s">
        <v>22</v>
      </c>
      <c r="H53" s="1874" t="s">
        <v>22</v>
      </c>
      <c r="I53" s="1874" t="s">
        <v>905</v>
      </c>
    </row>
    <row customHeight="1" ht="11.25">
      <c r="A54" s="1874" t="s">
        <v>2582</v>
      </c>
      <c r="B54" s="1874" t="s">
        <v>16</v>
      </c>
      <c r="C54" s="1874" t="s">
        <v>2772</v>
      </c>
      <c r="D54" s="1874" t="s">
        <v>2773</v>
      </c>
      <c r="E54" s="1874" t="s">
        <v>2774</v>
      </c>
      <c r="F54" s="1874" t="s">
        <v>2659</v>
      </c>
      <c r="G54" s="1874" t="s">
        <v>22</v>
      </c>
      <c r="H54" s="1874" t="s">
        <v>22</v>
      </c>
      <c r="I54" s="1874" t="s">
        <v>905</v>
      </c>
    </row>
    <row customHeight="1" ht="11.25">
      <c r="A55" s="1874" t="s">
        <v>2582</v>
      </c>
      <c r="B55" s="1874" t="s">
        <v>16</v>
      </c>
      <c r="C55" s="1874" t="s">
        <v>2775</v>
      </c>
      <c r="D55" s="1874" t="s">
        <v>2776</v>
      </c>
      <c r="E55" s="1874" t="s">
        <v>2777</v>
      </c>
      <c r="F55" s="1874" t="s">
        <v>2778</v>
      </c>
      <c r="G55" s="1874" t="s">
        <v>22</v>
      </c>
      <c r="H55" s="1874" t="s">
        <v>22</v>
      </c>
      <c r="I55" s="1874" t="s">
        <v>905</v>
      </c>
    </row>
    <row customHeight="1" ht="11.25">
      <c r="A56" s="1874" t="s">
        <v>2582</v>
      </c>
      <c r="B56" s="1874" t="s">
        <v>16</v>
      </c>
      <c r="C56" s="1874" t="s">
        <v>2779</v>
      </c>
      <c r="D56" s="1874" t="s">
        <v>2780</v>
      </c>
      <c r="E56" s="1874" t="s">
        <v>2781</v>
      </c>
      <c r="F56" s="1874" t="s">
        <v>2698</v>
      </c>
      <c r="G56" s="1874" t="s">
        <v>2782</v>
      </c>
      <c r="H56" s="1874" t="s">
        <v>22</v>
      </c>
      <c r="I56" s="1874" t="s">
        <v>905</v>
      </c>
    </row>
    <row customHeight="1" ht="11.25">
      <c r="A57" s="1874" t="s">
        <v>2582</v>
      </c>
      <c r="B57" s="1874" t="s">
        <v>16</v>
      </c>
      <c r="C57" s="1874" t="s">
        <v>2783</v>
      </c>
      <c r="D57" s="1874" t="s">
        <v>2784</v>
      </c>
      <c r="E57" s="1874" t="s">
        <v>2785</v>
      </c>
      <c r="F57" s="1874" t="s">
        <v>2735</v>
      </c>
      <c r="G57" s="1874" t="s">
        <v>2786</v>
      </c>
      <c r="H57" s="1874" t="s">
        <v>22</v>
      </c>
      <c r="I57" s="1874" t="s">
        <v>905</v>
      </c>
    </row>
    <row customHeight="1" ht="11.25">
      <c r="A58" s="1874" t="s">
        <v>2582</v>
      </c>
      <c r="B58" s="1874" t="s">
        <v>16</v>
      </c>
      <c r="C58" s="1874" t="s">
        <v>2787</v>
      </c>
      <c r="D58" s="1874" t="s">
        <v>2788</v>
      </c>
      <c r="E58" s="1874" t="s">
        <v>2789</v>
      </c>
      <c r="F58" s="1874" t="s">
        <v>2709</v>
      </c>
      <c r="G58" s="1874" t="s">
        <v>22</v>
      </c>
      <c r="H58" s="1874" t="s">
        <v>22</v>
      </c>
      <c r="I58" s="1874" t="s">
        <v>905</v>
      </c>
    </row>
    <row customHeight="1" ht="11.25">
      <c r="A59" s="1874" t="s">
        <v>2582</v>
      </c>
      <c r="B59" s="1874" t="s">
        <v>16</v>
      </c>
      <c r="C59" s="1874" t="s">
        <v>2790</v>
      </c>
      <c r="D59" s="1874" t="s">
        <v>2791</v>
      </c>
      <c r="E59" s="1874" t="s">
        <v>2792</v>
      </c>
      <c r="F59" s="1874" t="s">
        <v>2746</v>
      </c>
      <c r="G59" s="1874" t="s">
        <v>22</v>
      </c>
      <c r="H59" s="1874" t="s">
        <v>22</v>
      </c>
      <c r="I59" s="1874" t="s">
        <v>905</v>
      </c>
    </row>
    <row customHeight="1" ht="11.25">
      <c r="A60" s="1874" t="s">
        <v>2582</v>
      </c>
      <c r="B60" s="1874" t="s">
        <v>16</v>
      </c>
      <c r="C60" s="1874" t="s">
        <v>2793</v>
      </c>
      <c r="D60" s="1874" t="s">
        <v>2794</v>
      </c>
      <c r="E60" s="1874" t="s">
        <v>2795</v>
      </c>
      <c r="F60" s="1874" t="s">
        <v>2778</v>
      </c>
      <c r="G60" s="1874" t="s">
        <v>22</v>
      </c>
      <c r="H60" s="1874" t="s">
        <v>22</v>
      </c>
      <c r="I60" s="1874" t="s">
        <v>905</v>
      </c>
    </row>
    <row customHeight="1" ht="11.25">
      <c r="A61" s="1874" t="s">
        <v>2582</v>
      </c>
      <c r="B61" s="1874" t="s">
        <v>16</v>
      </c>
      <c r="C61" s="1874" t="s">
        <v>2796</v>
      </c>
      <c r="D61" s="1874" t="s">
        <v>2797</v>
      </c>
      <c r="E61" s="1874" t="s">
        <v>2798</v>
      </c>
      <c r="F61" s="1874" t="s">
        <v>2735</v>
      </c>
      <c r="G61" s="1874" t="s">
        <v>2799</v>
      </c>
      <c r="H61" s="1874" t="s">
        <v>22</v>
      </c>
      <c r="I61" s="1874" t="s">
        <v>905</v>
      </c>
    </row>
    <row customHeight="1" ht="11.25">
      <c r="A62" s="1874" t="s">
        <v>2582</v>
      </c>
      <c r="B62" s="1874" t="s">
        <v>16</v>
      </c>
      <c r="C62" s="1874" t="s">
        <v>2800</v>
      </c>
      <c r="D62" s="1874" t="s">
        <v>2801</v>
      </c>
      <c r="E62" s="1874" t="s">
        <v>2802</v>
      </c>
      <c r="F62" s="1874" t="s">
        <v>2709</v>
      </c>
      <c r="G62" s="1874" t="s">
        <v>2803</v>
      </c>
      <c r="H62" s="1874" t="s">
        <v>22</v>
      </c>
      <c r="I62" s="1874" t="s">
        <v>905</v>
      </c>
    </row>
    <row customHeight="1" ht="11.25">
      <c r="A63" s="1874" t="s">
        <v>2582</v>
      </c>
      <c r="B63" s="1874" t="s">
        <v>16</v>
      </c>
      <c r="C63" s="1874" t="s">
        <v>2804</v>
      </c>
      <c r="D63" s="1874" t="s">
        <v>2805</v>
      </c>
      <c r="E63" s="1874" t="s">
        <v>2806</v>
      </c>
      <c r="F63" s="1874" t="s">
        <v>2746</v>
      </c>
      <c r="G63" s="1874" t="s">
        <v>2807</v>
      </c>
      <c r="H63" s="1874" t="s">
        <v>22</v>
      </c>
      <c r="I63" s="1874" t="s">
        <v>905</v>
      </c>
    </row>
    <row customHeight="1" ht="11.25">
      <c r="A64" s="1874" t="s">
        <v>2582</v>
      </c>
      <c r="B64" s="1874" t="s">
        <v>16</v>
      </c>
      <c r="C64" s="1874" t="s">
        <v>2808</v>
      </c>
      <c r="D64" s="1874" t="s">
        <v>2805</v>
      </c>
      <c r="E64" s="1874" t="s">
        <v>2809</v>
      </c>
      <c r="F64" s="1874" t="s">
        <v>2637</v>
      </c>
      <c r="G64" s="1874" t="s">
        <v>2810</v>
      </c>
      <c r="H64" s="1874" t="s">
        <v>22</v>
      </c>
      <c r="I64" s="1874" t="s">
        <v>905</v>
      </c>
    </row>
    <row customHeight="1" ht="11.25">
      <c r="A65" s="1874" t="s">
        <v>2582</v>
      </c>
      <c r="B65" s="1874" t="s">
        <v>16</v>
      </c>
      <c r="C65" s="1874" t="s">
        <v>2811</v>
      </c>
      <c r="D65" s="1874" t="s">
        <v>2812</v>
      </c>
      <c r="E65" s="1874" t="s">
        <v>2813</v>
      </c>
      <c r="F65" s="1874" t="s">
        <v>2727</v>
      </c>
      <c r="G65" s="1874" t="s">
        <v>22</v>
      </c>
      <c r="H65" s="1874" t="s">
        <v>22</v>
      </c>
      <c r="I65" s="1874" t="s">
        <v>905</v>
      </c>
    </row>
    <row customHeight="1" ht="11.25">
      <c r="A66" s="1874" t="s">
        <v>2582</v>
      </c>
      <c r="B66" s="1874" t="s">
        <v>16</v>
      </c>
      <c r="C66" s="1874" t="s">
        <v>2814</v>
      </c>
      <c r="D66" s="1874" t="s">
        <v>2815</v>
      </c>
      <c r="E66" s="1874" t="s">
        <v>2816</v>
      </c>
      <c r="F66" s="1874" t="s">
        <v>2727</v>
      </c>
      <c r="G66" s="1874" t="s">
        <v>2817</v>
      </c>
      <c r="H66" s="1874" t="s">
        <v>22</v>
      </c>
      <c r="I66" s="1874" t="s">
        <v>905</v>
      </c>
    </row>
    <row customHeight="1" ht="11.25">
      <c r="A67" s="1874" t="s">
        <v>2582</v>
      </c>
      <c r="B67" s="1874" t="s">
        <v>16</v>
      </c>
      <c r="C67" s="1874" t="s">
        <v>2818</v>
      </c>
      <c r="D67" s="1874" t="s">
        <v>2819</v>
      </c>
      <c r="E67" s="1874" t="s">
        <v>2820</v>
      </c>
      <c r="F67" s="1874" t="s">
        <v>2689</v>
      </c>
      <c r="G67" s="1874" t="s">
        <v>22</v>
      </c>
      <c r="H67" s="1874" t="s">
        <v>22</v>
      </c>
      <c r="I67" s="1874" t="s">
        <v>905</v>
      </c>
    </row>
    <row customHeight="1" ht="11.25">
      <c r="A68" s="1874" t="s">
        <v>2582</v>
      </c>
      <c r="B68" s="1874" t="s">
        <v>16</v>
      </c>
      <c r="C68" s="1874" t="s">
        <v>2821</v>
      </c>
      <c r="D68" s="1874" t="s">
        <v>2822</v>
      </c>
      <c r="E68" s="1874" t="s">
        <v>2823</v>
      </c>
      <c r="F68" s="1874" t="s">
        <v>2698</v>
      </c>
      <c r="G68" s="1874" t="s">
        <v>2824</v>
      </c>
      <c r="H68" s="1874" t="s">
        <v>22</v>
      </c>
      <c r="I68" s="1874" t="s">
        <v>905</v>
      </c>
    </row>
    <row customHeight="1" ht="11.25">
      <c r="A69" s="1874" t="s">
        <v>2582</v>
      </c>
      <c r="B69" s="1874" t="s">
        <v>16</v>
      </c>
      <c r="C69" s="1874" t="s">
        <v>2825</v>
      </c>
      <c r="D69" s="1874" t="s">
        <v>2826</v>
      </c>
      <c r="E69" s="1874" t="s">
        <v>2827</v>
      </c>
      <c r="F69" s="1874" t="s">
        <v>2698</v>
      </c>
      <c r="G69" s="1874" t="s">
        <v>2828</v>
      </c>
      <c r="H69" s="1874" t="s">
        <v>22</v>
      </c>
      <c r="I69" s="1874" t="s">
        <v>905</v>
      </c>
    </row>
    <row customHeight="1" ht="11.25">
      <c r="A70" s="1874" t="s">
        <v>2582</v>
      </c>
      <c r="B70" s="1874" t="s">
        <v>16</v>
      </c>
      <c r="C70" s="1874" t="s">
        <v>2829</v>
      </c>
      <c r="D70" s="1874" t="s">
        <v>2830</v>
      </c>
      <c r="E70" s="1874" t="s">
        <v>2831</v>
      </c>
      <c r="F70" s="1874" t="s">
        <v>2689</v>
      </c>
      <c r="G70" s="1874" t="s">
        <v>2832</v>
      </c>
      <c r="H70" s="1874" t="s">
        <v>22</v>
      </c>
      <c r="I70" s="1874" t="s">
        <v>905</v>
      </c>
    </row>
    <row customHeight="1" ht="11.25">
      <c r="A71" s="1874" t="s">
        <v>2582</v>
      </c>
      <c r="B71" s="1874" t="s">
        <v>16</v>
      </c>
      <c r="C71" s="1874" t="s">
        <v>2833</v>
      </c>
      <c r="D71" s="1874" t="s">
        <v>2834</v>
      </c>
      <c r="E71" s="1874" t="s">
        <v>2835</v>
      </c>
      <c r="F71" s="1874" t="s">
        <v>2709</v>
      </c>
      <c r="G71" s="1874" t="s">
        <v>2836</v>
      </c>
      <c r="H71" s="1874" t="s">
        <v>22</v>
      </c>
      <c r="I71" s="1874" t="s">
        <v>905</v>
      </c>
    </row>
    <row customHeight="1" ht="11.25">
      <c r="A72" s="1874" t="s">
        <v>2582</v>
      </c>
      <c r="B72" s="1874" t="s">
        <v>16</v>
      </c>
      <c r="C72" s="1874" t="s">
        <v>2837</v>
      </c>
      <c r="D72" s="1874" t="s">
        <v>2838</v>
      </c>
      <c r="E72" s="1874" t="s">
        <v>2839</v>
      </c>
      <c r="F72" s="1874" t="s">
        <v>2591</v>
      </c>
      <c r="G72" s="1874" t="s">
        <v>22</v>
      </c>
      <c r="H72" s="1874" t="s">
        <v>22</v>
      </c>
      <c r="I72" s="1874" t="s">
        <v>905</v>
      </c>
    </row>
    <row customHeight="1" ht="11.25">
      <c r="A73" s="1874" t="s">
        <v>2582</v>
      </c>
      <c r="B73" s="1874" t="s">
        <v>16</v>
      </c>
      <c r="C73" s="1874" t="s">
        <v>2840</v>
      </c>
      <c r="D73" s="1874" t="s">
        <v>2841</v>
      </c>
      <c r="E73" s="1874" t="s">
        <v>2842</v>
      </c>
      <c r="F73" s="1874" t="s">
        <v>2755</v>
      </c>
      <c r="G73" s="1874" t="s">
        <v>22</v>
      </c>
      <c r="H73" s="1874" t="s">
        <v>22</v>
      </c>
      <c r="I73" s="1874" t="s">
        <v>905</v>
      </c>
    </row>
    <row customHeight="1" ht="11.25">
      <c r="A74" s="1874" t="s">
        <v>2582</v>
      </c>
      <c r="B74" s="1874" t="s">
        <v>16</v>
      </c>
      <c r="C74" s="1874" t="s">
        <v>2843</v>
      </c>
      <c r="D74" s="1874" t="s">
        <v>2844</v>
      </c>
      <c r="E74" s="1874" t="s">
        <v>2845</v>
      </c>
      <c r="F74" s="1874" t="s">
        <v>2709</v>
      </c>
      <c r="G74" s="1874" t="s">
        <v>22</v>
      </c>
      <c r="H74" s="1874" t="s">
        <v>22</v>
      </c>
      <c r="I74" s="1874" t="s">
        <v>905</v>
      </c>
    </row>
    <row customHeight="1" ht="11.25">
      <c r="A75" s="1874" t="s">
        <v>2582</v>
      </c>
      <c r="B75" s="1874" t="s">
        <v>16</v>
      </c>
      <c r="C75" s="1874" t="s">
        <v>2846</v>
      </c>
      <c r="D75" s="1874" t="s">
        <v>2847</v>
      </c>
      <c r="E75" s="1874" t="s">
        <v>2848</v>
      </c>
      <c r="F75" s="1874" t="s">
        <v>2637</v>
      </c>
      <c r="G75" s="1874" t="s">
        <v>2849</v>
      </c>
      <c r="H75" s="1874" t="s">
        <v>22</v>
      </c>
      <c r="I75" s="1874" t="s">
        <v>905</v>
      </c>
    </row>
    <row customHeight="1" ht="11.25">
      <c r="A76" s="1874" t="s">
        <v>2582</v>
      </c>
      <c r="B76" s="1874" t="s">
        <v>16</v>
      </c>
      <c r="C76" s="1874" t="s">
        <v>2850</v>
      </c>
      <c r="D76" s="1874" t="s">
        <v>2851</v>
      </c>
      <c r="E76" s="1874" t="s">
        <v>2852</v>
      </c>
      <c r="F76" s="1874" t="s">
        <v>2689</v>
      </c>
      <c r="G76" s="1874" t="s">
        <v>22</v>
      </c>
      <c r="H76" s="1874" t="s">
        <v>22</v>
      </c>
      <c r="I76" s="1874" t="s">
        <v>905</v>
      </c>
    </row>
    <row customHeight="1" ht="11.25">
      <c r="A77" s="1874" t="s">
        <v>2582</v>
      </c>
      <c r="B77" s="1874" t="s">
        <v>16</v>
      </c>
      <c r="C77" s="1874" t="s">
        <v>2853</v>
      </c>
      <c r="D77" s="1874" t="s">
        <v>2854</v>
      </c>
      <c r="E77" s="1874" t="s">
        <v>2855</v>
      </c>
      <c r="F77" s="1874" t="s">
        <v>2735</v>
      </c>
      <c r="G77" s="1874" t="s">
        <v>22</v>
      </c>
      <c r="H77" s="1874" t="s">
        <v>22</v>
      </c>
      <c r="I77" s="1874" t="s">
        <v>905</v>
      </c>
    </row>
    <row customHeight="1" ht="11.25">
      <c r="A78" s="1874" t="s">
        <v>2582</v>
      </c>
      <c r="B78" s="1874" t="s">
        <v>16</v>
      </c>
      <c r="C78" s="1874" t="s">
        <v>2856</v>
      </c>
      <c r="D78" s="1874" t="s">
        <v>2857</v>
      </c>
      <c r="E78" s="1874" t="s">
        <v>2662</v>
      </c>
      <c r="F78" s="1874" t="s">
        <v>2858</v>
      </c>
      <c r="G78" s="1874" t="s">
        <v>22</v>
      </c>
      <c r="H78" s="1874" t="s">
        <v>22</v>
      </c>
      <c r="I78" s="1874" t="s">
        <v>905</v>
      </c>
    </row>
    <row customHeight="1" ht="11.25">
      <c r="A79" s="1874" t="s">
        <v>2582</v>
      </c>
      <c r="B79" s="1874" t="s">
        <v>16</v>
      </c>
      <c r="C79" s="1874" t="s">
        <v>2859</v>
      </c>
      <c r="D79" s="1874" t="s">
        <v>2860</v>
      </c>
      <c r="E79" s="1874" t="s">
        <v>2662</v>
      </c>
      <c r="F79" s="1874" t="s">
        <v>2861</v>
      </c>
      <c r="G79" s="1874" t="s">
        <v>22</v>
      </c>
      <c r="H79" s="1874" t="s">
        <v>22</v>
      </c>
      <c r="I79" s="1874" t="s">
        <v>905</v>
      </c>
    </row>
    <row customHeight="1" ht="11.25">
      <c r="A80" s="1874" t="s">
        <v>2582</v>
      </c>
      <c r="B80" s="1874" t="s">
        <v>16</v>
      </c>
      <c r="C80" s="1874" t="s">
        <v>2862</v>
      </c>
      <c r="D80" s="1874" t="s">
        <v>2863</v>
      </c>
      <c r="E80" s="1874" t="s">
        <v>2864</v>
      </c>
      <c r="F80" s="1874" t="s">
        <v>2865</v>
      </c>
      <c r="G80" s="1874" t="s">
        <v>22</v>
      </c>
      <c r="H80" s="1874" t="s">
        <v>22</v>
      </c>
      <c r="I80" s="1874" t="s">
        <v>905</v>
      </c>
    </row>
    <row customHeight="1" ht="11.25">
      <c r="A81" s="1874" t="s">
        <v>2582</v>
      </c>
      <c r="B81" s="1874" t="s">
        <v>16</v>
      </c>
      <c r="C81" s="1874" t="s">
        <v>2866</v>
      </c>
      <c r="D81" s="1874" t="s">
        <v>2867</v>
      </c>
      <c r="E81" s="1874" t="s">
        <v>2868</v>
      </c>
      <c r="F81" s="1874" t="s">
        <v>2869</v>
      </c>
      <c r="G81" s="1874" t="s">
        <v>2870</v>
      </c>
      <c r="H81" s="1874" t="s">
        <v>22</v>
      </c>
      <c r="I81" s="1874" t="s">
        <v>905</v>
      </c>
    </row>
    <row customHeight="1" ht="11.25">
      <c r="A82" s="1874" t="s">
        <v>2582</v>
      </c>
      <c r="B82" s="1874" t="s">
        <v>16</v>
      </c>
      <c r="C82" s="1874" t="s">
        <v>2871</v>
      </c>
      <c r="D82" s="1874" t="s">
        <v>2872</v>
      </c>
      <c r="E82" s="1874" t="s">
        <v>2873</v>
      </c>
      <c r="F82" s="1874" t="s">
        <v>2637</v>
      </c>
      <c r="G82" s="1874" t="s">
        <v>22</v>
      </c>
      <c r="H82" s="1874" t="s">
        <v>22</v>
      </c>
      <c r="I82" s="1874" t="s">
        <v>905</v>
      </c>
    </row>
    <row customHeight="1" ht="11.25">
      <c r="A83" s="1874" t="s">
        <v>2582</v>
      </c>
      <c r="B83" s="1874" t="s">
        <v>16</v>
      </c>
      <c r="C83" s="1874" t="s">
        <v>2874</v>
      </c>
      <c r="D83" s="1874" t="s">
        <v>2875</v>
      </c>
      <c r="E83" s="1874" t="s">
        <v>2876</v>
      </c>
      <c r="F83" s="1874" t="s">
        <v>2689</v>
      </c>
      <c r="G83" s="1874" t="s">
        <v>22</v>
      </c>
      <c r="H83" s="1874" t="s">
        <v>22</v>
      </c>
      <c r="I83" s="1874" t="s">
        <v>905</v>
      </c>
    </row>
    <row customHeight="1" ht="11.25">
      <c r="A84" s="1874" t="s">
        <v>2582</v>
      </c>
      <c r="B84" s="1874" t="s">
        <v>16</v>
      </c>
      <c r="C84" s="1874" t="s">
        <v>2877</v>
      </c>
      <c r="D84" s="1874" t="s">
        <v>2878</v>
      </c>
      <c r="E84" s="1874" t="s">
        <v>2879</v>
      </c>
      <c r="F84" s="1874" t="s">
        <v>2689</v>
      </c>
      <c r="G84" s="1874" t="s">
        <v>22</v>
      </c>
      <c r="H84" s="1874" t="s">
        <v>22</v>
      </c>
      <c r="I84" s="1874" t="s">
        <v>905</v>
      </c>
    </row>
    <row customHeight="1" ht="11.25">
      <c r="A85" s="1874" t="s">
        <v>2582</v>
      </c>
      <c r="B85" s="1874" t="s">
        <v>16</v>
      </c>
      <c r="C85" s="1874" t="s">
        <v>2880</v>
      </c>
      <c r="D85" s="1874" t="s">
        <v>2881</v>
      </c>
      <c r="E85" s="1874" t="s">
        <v>2882</v>
      </c>
      <c r="F85" s="1874" t="s">
        <v>2680</v>
      </c>
      <c r="G85" s="1874" t="s">
        <v>22</v>
      </c>
      <c r="H85" s="1874" t="s">
        <v>22</v>
      </c>
      <c r="I85" s="1874" t="s">
        <v>905</v>
      </c>
    </row>
    <row customHeight="1" ht="11.25">
      <c r="A86" s="1874" t="s">
        <v>2582</v>
      </c>
      <c r="B86" s="1874" t="s">
        <v>16</v>
      </c>
      <c r="C86" s="1874" t="s">
        <v>2883</v>
      </c>
      <c r="D86" s="1874" t="s">
        <v>2884</v>
      </c>
      <c r="E86" s="1874" t="s">
        <v>2885</v>
      </c>
      <c r="F86" s="1874" t="s">
        <v>51</v>
      </c>
      <c r="G86" s="1874" t="s">
        <v>2886</v>
      </c>
      <c r="H86" s="1874" t="s">
        <v>22</v>
      </c>
      <c r="I86" s="1874" t="s">
        <v>905</v>
      </c>
    </row>
    <row customHeight="1" ht="11.25">
      <c r="A87" s="1874" t="s">
        <v>2582</v>
      </c>
      <c r="B87" s="1874" t="s">
        <v>16</v>
      </c>
      <c r="C87" s="1874" t="s">
        <v>2887</v>
      </c>
      <c r="D87" s="1874" t="s">
        <v>2888</v>
      </c>
      <c r="E87" s="1874" t="s">
        <v>2889</v>
      </c>
      <c r="F87" s="1874" t="s">
        <v>2709</v>
      </c>
      <c r="G87" s="1874" t="s">
        <v>2890</v>
      </c>
      <c r="H87" s="1874" t="s">
        <v>22</v>
      </c>
      <c r="I87" s="1874" t="s">
        <v>905</v>
      </c>
    </row>
    <row customHeight="1" ht="11.25">
      <c r="A88" s="1874" t="s">
        <v>2582</v>
      </c>
      <c r="B88" s="1874" t="s">
        <v>16</v>
      </c>
      <c r="C88" s="1874" t="s">
        <v>2891</v>
      </c>
      <c r="D88" s="1874" t="s">
        <v>2892</v>
      </c>
      <c r="E88" s="1874" t="s">
        <v>2893</v>
      </c>
      <c r="F88" s="1874" t="s">
        <v>2659</v>
      </c>
      <c r="G88" s="1874" t="s">
        <v>22</v>
      </c>
      <c r="H88" s="1874" t="s">
        <v>22</v>
      </c>
      <c r="I88" s="1874" t="s">
        <v>905</v>
      </c>
    </row>
    <row customHeight="1" ht="11.25">
      <c r="A89" s="1874" t="s">
        <v>2582</v>
      </c>
      <c r="B89" s="1874" t="s">
        <v>16</v>
      </c>
      <c r="C89" s="1874" t="s">
        <v>2894</v>
      </c>
      <c r="D89" s="1874" t="s">
        <v>2895</v>
      </c>
      <c r="E89" s="1874" t="s">
        <v>2896</v>
      </c>
      <c r="F89" s="1874" t="s">
        <v>2628</v>
      </c>
      <c r="G89" s="1874" t="s">
        <v>2897</v>
      </c>
      <c r="H89" s="1874" t="s">
        <v>22</v>
      </c>
      <c r="I89" s="1874" t="s">
        <v>905</v>
      </c>
    </row>
    <row customHeight="1" ht="11.25">
      <c r="A90" s="1874" t="s">
        <v>2582</v>
      </c>
      <c r="B90" s="1874" t="s">
        <v>16</v>
      </c>
      <c r="C90" s="1874" t="s">
        <v>2898</v>
      </c>
      <c r="D90" s="1874" t="s">
        <v>2899</v>
      </c>
      <c r="E90" s="1874" t="s">
        <v>2900</v>
      </c>
      <c r="F90" s="1874" t="s">
        <v>2680</v>
      </c>
      <c r="G90" s="1874" t="s">
        <v>22</v>
      </c>
      <c r="H90" s="1874" t="s">
        <v>22</v>
      </c>
      <c r="I90" s="1874" t="s">
        <v>905</v>
      </c>
    </row>
    <row customHeight="1" ht="11.25">
      <c r="A91" s="1874" t="s">
        <v>2582</v>
      </c>
      <c r="B91" s="1874" t="s">
        <v>16</v>
      </c>
      <c r="C91" s="1874" t="s">
        <v>2901</v>
      </c>
      <c r="D91" s="1874" t="s">
        <v>2902</v>
      </c>
      <c r="E91" s="1874" t="s">
        <v>2903</v>
      </c>
      <c r="F91" s="1874" t="s">
        <v>2591</v>
      </c>
      <c r="G91" s="1874" t="s">
        <v>2904</v>
      </c>
      <c r="H91" s="1874" t="s">
        <v>22</v>
      </c>
      <c r="I91" s="1874" t="s">
        <v>905</v>
      </c>
    </row>
    <row customHeight="1" ht="11.25">
      <c r="A92" s="1874" t="s">
        <v>2582</v>
      </c>
      <c r="B92" s="1874" t="s">
        <v>16</v>
      </c>
      <c r="C92" s="1874" t="s">
        <v>2905</v>
      </c>
      <c r="D92" s="1874" t="s">
        <v>2906</v>
      </c>
      <c r="E92" s="1874" t="s">
        <v>2907</v>
      </c>
      <c r="F92" s="1874" t="s">
        <v>2735</v>
      </c>
      <c r="G92" s="1874" t="s">
        <v>22</v>
      </c>
      <c r="H92" s="1874" t="s">
        <v>22</v>
      </c>
      <c r="I92" s="1874" t="s">
        <v>905</v>
      </c>
    </row>
    <row customHeight="1" ht="11.25">
      <c r="A93" s="1874" t="s">
        <v>2582</v>
      </c>
      <c r="B93" s="1874" t="s">
        <v>16</v>
      </c>
      <c r="C93" s="1874" t="s">
        <v>2908</v>
      </c>
      <c r="D93" s="1874" t="s">
        <v>2909</v>
      </c>
      <c r="E93" s="1874" t="s">
        <v>2910</v>
      </c>
      <c r="F93" s="1874" t="s">
        <v>2911</v>
      </c>
      <c r="G93" s="1874" t="s">
        <v>22</v>
      </c>
      <c r="H93" s="1874" t="s">
        <v>22</v>
      </c>
      <c r="I93" s="1874" t="s">
        <v>905</v>
      </c>
    </row>
    <row customHeight="1" ht="11.25">
      <c r="A94" s="1874" t="s">
        <v>2582</v>
      </c>
      <c r="B94" s="1874" t="s">
        <v>16</v>
      </c>
      <c r="C94" s="1874" t="s">
        <v>2912</v>
      </c>
      <c r="D94" s="1874" t="s">
        <v>2913</v>
      </c>
      <c r="E94" s="1874" t="s">
        <v>2914</v>
      </c>
      <c r="F94" s="1874" t="s">
        <v>2727</v>
      </c>
      <c r="G94" s="1874" t="s">
        <v>22</v>
      </c>
      <c r="H94" s="1874" t="s">
        <v>22</v>
      </c>
      <c r="I94" s="1874" t="s">
        <v>905</v>
      </c>
    </row>
    <row customHeight="1" ht="11.25">
      <c r="A95" s="1874" t="s">
        <v>2582</v>
      </c>
      <c r="B95" s="1874" t="s">
        <v>16</v>
      </c>
      <c r="C95" s="1874" t="s">
        <v>2915</v>
      </c>
      <c r="D95" s="1874" t="s">
        <v>2916</v>
      </c>
      <c r="E95" s="1874" t="s">
        <v>2917</v>
      </c>
      <c r="F95" s="1874" t="s">
        <v>2735</v>
      </c>
      <c r="G95" s="1874" t="s">
        <v>2918</v>
      </c>
      <c r="H95" s="1874" t="s">
        <v>22</v>
      </c>
      <c r="I95" s="1874" t="s">
        <v>905</v>
      </c>
    </row>
    <row customHeight="1" ht="11.25">
      <c r="A96" s="1874" t="s">
        <v>2582</v>
      </c>
      <c r="B96" s="1874" t="s">
        <v>16</v>
      </c>
      <c r="C96" s="1874" t="s">
        <v>2919</v>
      </c>
      <c r="D96" s="1874" t="s">
        <v>2920</v>
      </c>
      <c r="E96" s="1874" t="s">
        <v>2921</v>
      </c>
      <c r="F96" s="1874" t="s">
        <v>2709</v>
      </c>
      <c r="G96" s="1874" t="s">
        <v>2922</v>
      </c>
      <c r="H96" s="1874" t="s">
        <v>22</v>
      </c>
      <c r="I96" s="1874" t="s">
        <v>905</v>
      </c>
    </row>
    <row customHeight="1" ht="11.25">
      <c r="A97" s="1874" t="s">
        <v>2582</v>
      </c>
      <c r="B97" s="1874" t="s">
        <v>16</v>
      </c>
      <c r="C97" s="1874" t="s">
        <v>2923</v>
      </c>
      <c r="D97" s="1874" t="s">
        <v>2924</v>
      </c>
      <c r="E97" s="1874" t="s">
        <v>2925</v>
      </c>
      <c r="F97" s="1874" t="s">
        <v>2680</v>
      </c>
      <c r="G97" s="1874" t="s">
        <v>22</v>
      </c>
      <c r="H97" s="1874" t="s">
        <v>22</v>
      </c>
      <c r="I97" s="1874" t="s">
        <v>905</v>
      </c>
    </row>
    <row customHeight="1" ht="11.25">
      <c r="A98" s="1874" t="s">
        <v>2582</v>
      </c>
      <c r="B98" s="1874" t="s">
        <v>16</v>
      </c>
      <c r="C98" s="1874" t="s">
        <v>2926</v>
      </c>
      <c r="D98" s="1874" t="s">
        <v>2927</v>
      </c>
      <c r="E98" s="1874" t="s">
        <v>2928</v>
      </c>
      <c r="F98" s="1874" t="s">
        <v>2680</v>
      </c>
      <c r="G98" s="1874" t="s">
        <v>22</v>
      </c>
      <c r="H98" s="1874" t="s">
        <v>22</v>
      </c>
      <c r="I98" s="1874" t="s">
        <v>905</v>
      </c>
    </row>
    <row customHeight="1" ht="11.25">
      <c r="A99" s="1874" t="s">
        <v>2582</v>
      </c>
      <c r="B99" s="1874" t="s">
        <v>16</v>
      </c>
      <c r="C99" s="1874" t="s">
        <v>2929</v>
      </c>
      <c r="D99" s="1874" t="s">
        <v>2930</v>
      </c>
      <c r="E99" s="1874" t="s">
        <v>2931</v>
      </c>
      <c r="F99" s="1874" t="s">
        <v>2698</v>
      </c>
      <c r="G99" s="1874" t="s">
        <v>2932</v>
      </c>
      <c r="H99" s="1874" t="s">
        <v>22</v>
      </c>
      <c r="I99" s="1874" t="s">
        <v>905</v>
      </c>
    </row>
    <row customHeight="1" ht="11.25">
      <c r="A100" s="1874" t="s">
        <v>2582</v>
      </c>
      <c r="B100" s="1874" t="s">
        <v>16</v>
      </c>
      <c r="C100" s="1874" t="s">
        <v>2933</v>
      </c>
      <c r="D100" s="1874" t="s">
        <v>2934</v>
      </c>
      <c r="E100" s="1874" t="s">
        <v>2935</v>
      </c>
      <c r="F100" s="1874" t="s">
        <v>2869</v>
      </c>
      <c r="G100" s="1874" t="s">
        <v>22</v>
      </c>
      <c r="H100" s="1874" t="s">
        <v>22</v>
      </c>
      <c r="I100" s="1874" t="s">
        <v>905</v>
      </c>
    </row>
    <row customHeight="1" ht="11.25">
      <c r="A101" s="1874" t="s">
        <v>2582</v>
      </c>
      <c r="B101" s="1874" t="s">
        <v>16</v>
      </c>
      <c r="C101" s="1874" t="s">
        <v>2936</v>
      </c>
      <c r="D101" s="1874" t="s">
        <v>2937</v>
      </c>
      <c r="E101" s="1874" t="s">
        <v>2938</v>
      </c>
      <c r="F101" s="1874" t="s">
        <v>2939</v>
      </c>
      <c r="G101" s="1874" t="s">
        <v>22</v>
      </c>
      <c r="H101" s="1874" t="s">
        <v>22</v>
      </c>
      <c r="I101" s="1874" t="s">
        <v>905</v>
      </c>
    </row>
    <row customHeight="1" ht="11.25">
      <c r="A102" s="1874" t="s">
        <v>2582</v>
      </c>
      <c r="B102" s="1874" t="s">
        <v>16</v>
      </c>
      <c r="C102" s="1874" t="s">
        <v>2940</v>
      </c>
      <c r="D102" s="1874" t="s">
        <v>2941</v>
      </c>
      <c r="E102" s="1874" t="s">
        <v>2942</v>
      </c>
      <c r="F102" s="1874" t="s">
        <v>2939</v>
      </c>
      <c r="G102" s="1874" t="s">
        <v>22</v>
      </c>
      <c r="H102" s="1874" t="s">
        <v>22</v>
      </c>
      <c r="I102" s="1874" t="s">
        <v>905</v>
      </c>
    </row>
    <row customHeight="1" ht="11.25">
      <c r="A103" s="1874" t="s">
        <v>2582</v>
      </c>
      <c r="B103" s="1874" t="s">
        <v>16</v>
      </c>
      <c r="C103" s="1874" t="s">
        <v>2943</v>
      </c>
      <c r="D103" s="1874" t="s">
        <v>2944</v>
      </c>
      <c r="E103" s="1874" t="s">
        <v>2945</v>
      </c>
      <c r="F103" s="1874" t="s">
        <v>2628</v>
      </c>
      <c r="G103" s="1874" t="s">
        <v>2946</v>
      </c>
      <c r="H103" s="1874" t="s">
        <v>22</v>
      </c>
      <c r="I103" s="1874" t="s">
        <v>905</v>
      </c>
    </row>
    <row customHeight="1" ht="11.25">
      <c r="A104" s="1874" t="s">
        <v>2582</v>
      </c>
      <c r="B104" s="1874" t="s">
        <v>16</v>
      </c>
      <c r="C104" s="1874" t="s">
        <v>2947</v>
      </c>
      <c r="D104" s="1874" t="s">
        <v>2948</v>
      </c>
      <c r="E104" s="1874" t="s">
        <v>2949</v>
      </c>
      <c r="F104" s="1874" t="s">
        <v>51</v>
      </c>
      <c r="G104" s="1874" t="s">
        <v>22</v>
      </c>
      <c r="H104" s="1874" t="s">
        <v>22</v>
      </c>
      <c r="I104" s="1874" t="s">
        <v>905</v>
      </c>
    </row>
    <row customHeight="1" ht="11.25">
      <c r="A105" s="1874" t="s">
        <v>2582</v>
      </c>
      <c r="B105" s="1874" t="s">
        <v>16</v>
      </c>
      <c r="C105" s="1874" t="s">
        <v>2950</v>
      </c>
      <c r="D105" s="1874" t="s">
        <v>2951</v>
      </c>
      <c r="E105" s="1874" t="s">
        <v>2952</v>
      </c>
      <c r="F105" s="1874" t="s">
        <v>2727</v>
      </c>
      <c r="G105" s="1874" t="s">
        <v>2953</v>
      </c>
      <c r="H105" s="1874" t="s">
        <v>22</v>
      </c>
      <c r="I105" s="1874" t="s">
        <v>905</v>
      </c>
    </row>
    <row customHeight="1" ht="11.25">
      <c r="A106" s="1874" t="s">
        <v>2582</v>
      </c>
      <c r="B106" s="1874" t="s">
        <v>16</v>
      </c>
      <c r="C106" s="1874" t="s">
        <v>2954</v>
      </c>
      <c r="D106" s="1874" t="s">
        <v>2955</v>
      </c>
      <c r="E106" s="1874" t="s">
        <v>2956</v>
      </c>
      <c r="F106" s="1874" t="s">
        <v>2939</v>
      </c>
      <c r="G106" s="1874" t="s">
        <v>2957</v>
      </c>
      <c r="H106" s="1874" t="s">
        <v>22</v>
      </c>
      <c r="I106" s="1874" t="s">
        <v>905</v>
      </c>
    </row>
    <row customHeight="1" ht="11.25">
      <c r="A107" s="1874" t="s">
        <v>2582</v>
      </c>
      <c r="B107" s="1874" t="s">
        <v>16</v>
      </c>
      <c r="C107" s="1874" t="s">
        <v>2958</v>
      </c>
      <c r="D107" s="1874" t="s">
        <v>2959</v>
      </c>
      <c r="E107" s="1874" t="s">
        <v>2960</v>
      </c>
      <c r="F107" s="1874" t="s">
        <v>2735</v>
      </c>
      <c r="G107" s="1874" t="s">
        <v>22</v>
      </c>
      <c r="H107" s="1874" t="s">
        <v>22</v>
      </c>
      <c r="I107" s="1874" t="s">
        <v>905</v>
      </c>
    </row>
    <row customHeight="1" ht="11.25">
      <c r="A108" s="1874" t="s">
        <v>2582</v>
      </c>
      <c r="B108" s="1874" t="s">
        <v>16</v>
      </c>
      <c r="C108" s="1874" t="s">
        <v>2961</v>
      </c>
      <c r="D108" s="1874" t="s">
        <v>2962</v>
      </c>
      <c r="E108" s="1874" t="s">
        <v>2963</v>
      </c>
      <c r="F108" s="1874" t="s">
        <v>2735</v>
      </c>
      <c r="G108" s="1874" t="s">
        <v>2964</v>
      </c>
      <c r="H108" s="1874" t="s">
        <v>22</v>
      </c>
      <c r="I108" s="1874" t="s">
        <v>905</v>
      </c>
    </row>
    <row customHeight="1" ht="11.25">
      <c r="A109" s="1874" t="s">
        <v>2582</v>
      </c>
      <c r="B109" s="1874" t="s">
        <v>16</v>
      </c>
      <c r="C109" s="1874" t="s">
        <v>2965</v>
      </c>
      <c r="D109" s="1874" t="s">
        <v>2966</v>
      </c>
      <c r="E109" s="1874" t="s">
        <v>2967</v>
      </c>
      <c r="F109" s="1874" t="s">
        <v>2735</v>
      </c>
      <c r="G109" s="1874" t="s">
        <v>22</v>
      </c>
      <c r="H109" s="1874" t="s">
        <v>22</v>
      </c>
      <c r="I109" s="1874" t="s">
        <v>905</v>
      </c>
    </row>
    <row customHeight="1" ht="11.25">
      <c r="A110" s="1874" t="s">
        <v>2582</v>
      </c>
      <c r="B110" s="1874" t="s">
        <v>16</v>
      </c>
      <c r="C110" s="1874" t="s">
        <v>2968</v>
      </c>
      <c r="D110" s="1874" t="s">
        <v>2969</v>
      </c>
      <c r="E110" s="1874" t="s">
        <v>2970</v>
      </c>
      <c r="F110" s="1874" t="s">
        <v>2735</v>
      </c>
      <c r="G110" s="1874" t="s">
        <v>22</v>
      </c>
      <c r="H110" s="1874" t="s">
        <v>22</v>
      </c>
      <c r="I110" s="1874" t="s">
        <v>905</v>
      </c>
    </row>
    <row customHeight="1" ht="11.25">
      <c r="A111" s="1874" t="s">
        <v>2582</v>
      </c>
      <c r="B111" s="1874" t="s">
        <v>16</v>
      </c>
      <c r="C111" s="1874" t="s">
        <v>2971</v>
      </c>
      <c r="D111" s="1874" t="s">
        <v>2972</v>
      </c>
      <c r="E111" s="1874" t="s">
        <v>2973</v>
      </c>
      <c r="F111" s="1874" t="s">
        <v>2746</v>
      </c>
      <c r="G111" s="1874" t="s">
        <v>2974</v>
      </c>
      <c r="H111" s="1874" t="s">
        <v>22</v>
      </c>
      <c r="I111" s="1874" t="s">
        <v>905</v>
      </c>
    </row>
    <row customHeight="1" ht="11.25">
      <c r="A112" s="1874" t="s">
        <v>2582</v>
      </c>
      <c r="B112" s="1874" t="s">
        <v>16</v>
      </c>
      <c r="C112" s="1874" t="s">
        <v>2975</v>
      </c>
      <c r="D112" s="1874" t="s">
        <v>2976</v>
      </c>
      <c r="E112" s="1874" t="s">
        <v>2977</v>
      </c>
      <c r="F112" s="1874" t="s">
        <v>2735</v>
      </c>
      <c r="G112" s="1874" t="s">
        <v>22</v>
      </c>
      <c r="H112" s="1874" t="s">
        <v>22</v>
      </c>
      <c r="I112" s="1874" t="s">
        <v>905</v>
      </c>
    </row>
    <row customHeight="1" ht="11.25">
      <c r="A113" s="1874" t="s">
        <v>2582</v>
      </c>
      <c r="B113" s="1874" t="s">
        <v>16</v>
      </c>
      <c r="C113" s="1874" t="s">
        <v>2978</v>
      </c>
      <c r="D113" s="1874" t="s">
        <v>2979</v>
      </c>
      <c r="E113" s="1874" t="s">
        <v>2980</v>
      </c>
      <c r="F113" s="1874" t="s">
        <v>2911</v>
      </c>
      <c r="G113" s="1874" t="s">
        <v>22</v>
      </c>
      <c r="H113" s="1874" t="s">
        <v>22</v>
      </c>
      <c r="I113" s="1874" t="s">
        <v>905</v>
      </c>
    </row>
    <row customHeight="1" ht="11.25">
      <c r="A114" s="1874" t="s">
        <v>2582</v>
      </c>
      <c r="B114" s="1874" t="s">
        <v>16</v>
      </c>
      <c r="C114" s="1874" t="s">
        <v>2981</v>
      </c>
      <c r="D114" s="1874" t="s">
        <v>2982</v>
      </c>
      <c r="E114" s="1874" t="s">
        <v>2983</v>
      </c>
      <c r="F114" s="1874" t="s">
        <v>2911</v>
      </c>
      <c r="G114" s="1874" t="s">
        <v>22</v>
      </c>
      <c r="H114" s="1874" t="s">
        <v>22</v>
      </c>
      <c r="I114" s="1874" t="s">
        <v>905</v>
      </c>
    </row>
    <row customHeight="1" ht="11.25">
      <c r="A115" s="1874" t="s">
        <v>2582</v>
      </c>
      <c r="B115" s="1874" t="s">
        <v>16</v>
      </c>
      <c r="C115" s="1874" t="s">
        <v>2984</v>
      </c>
      <c r="D115" s="1874" t="s">
        <v>2985</v>
      </c>
      <c r="E115" s="1874" t="s">
        <v>2986</v>
      </c>
      <c r="F115" s="1874" t="s">
        <v>2987</v>
      </c>
      <c r="G115" s="1874" t="s">
        <v>22</v>
      </c>
      <c r="H115" s="1874" t="s">
        <v>22</v>
      </c>
      <c r="I115" s="1874" t="s">
        <v>905</v>
      </c>
    </row>
    <row customHeight="1" ht="11.25">
      <c r="A116" s="1874" t="s">
        <v>2582</v>
      </c>
      <c r="B116" s="1874" t="s">
        <v>16</v>
      </c>
      <c r="C116" s="1874" t="s">
        <v>2988</v>
      </c>
      <c r="D116" s="1874" t="s">
        <v>2989</v>
      </c>
      <c r="E116" s="1874" t="s">
        <v>2990</v>
      </c>
      <c r="F116" s="1874" t="s">
        <v>2939</v>
      </c>
      <c r="G116" s="1874" t="s">
        <v>2991</v>
      </c>
      <c r="H116" s="1874" t="s">
        <v>22</v>
      </c>
      <c r="I116" s="1874" t="s">
        <v>905</v>
      </c>
    </row>
    <row customHeight="1" ht="11.25">
      <c r="A117" s="1874" t="s">
        <v>2582</v>
      </c>
      <c r="B117" s="1874" t="s">
        <v>16</v>
      </c>
      <c r="C117" s="1874" t="s">
        <v>2992</v>
      </c>
      <c r="D117" s="1874" t="s">
        <v>2993</v>
      </c>
      <c r="E117" s="1874" t="s">
        <v>2994</v>
      </c>
      <c r="F117" s="1874" t="s">
        <v>2659</v>
      </c>
      <c r="G117" s="1874" t="s">
        <v>22</v>
      </c>
      <c r="H117" s="1874" t="s">
        <v>22</v>
      </c>
      <c r="I117" s="1874" t="s">
        <v>905</v>
      </c>
    </row>
    <row customHeight="1" ht="11.25">
      <c r="A118" s="1874" t="s">
        <v>2582</v>
      </c>
      <c r="B118" s="1874" t="s">
        <v>16</v>
      </c>
      <c r="C118" s="1874" t="s">
        <v>2995</v>
      </c>
      <c r="D118" s="1874" t="s">
        <v>2996</v>
      </c>
      <c r="E118" s="1874" t="s">
        <v>2997</v>
      </c>
      <c r="F118" s="1874" t="s">
        <v>2735</v>
      </c>
      <c r="G118" s="1874" t="s">
        <v>22</v>
      </c>
      <c r="H118" s="1874" t="s">
        <v>22</v>
      </c>
      <c r="I118" s="1874" t="s">
        <v>905</v>
      </c>
    </row>
    <row customHeight="1" ht="11.25">
      <c r="A119" s="1874" t="s">
        <v>2582</v>
      </c>
      <c r="B119" s="1874" t="s">
        <v>16</v>
      </c>
      <c r="C119" s="1874" t="s">
        <v>2998</v>
      </c>
      <c r="D119" s="1874" t="s">
        <v>2999</v>
      </c>
      <c r="E119" s="1874" t="s">
        <v>3000</v>
      </c>
      <c r="F119" s="1874" t="s">
        <v>2735</v>
      </c>
      <c r="G119" s="1874" t="s">
        <v>3001</v>
      </c>
      <c r="H119" s="1874" t="s">
        <v>22</v>
      </c>
      <c r="I119" s="1874" t="s">
        <v>905</v>
      </c>
    </row>
    <row customHeight="1" ht="11.25">
      <c r="A120" s="1874" t="s">
        <v>2582</v>
      </c>
      <c r="B120" s="1874" t="s">
        <v>16</v>
      </c>
      <c r="C120" s="1874" t="s">
        <v>3002</v>
      </c>
      <c r="D120" s="1874" t="s">
        <v>3003</v>
      </c>
      <c r="E120" s="1874" t="s">
        <v>3004</v>
      </c>
      <c r="F120" s="1874" t="s">
        <v>2628</v>
      </c>
      <c r="G120" s="1874" t="s">
        <v>3005</v>
      </c>
      <c r="H120" s="1874" t="s">
        <v>22</v>
      </c>
      <c r="I120" s="1874" t="s">
        <v>905</v>
      </c>
    </row>
    <row customHeight="1" ht="11.25">
      <c r="A121" s="1874" t="s">
        <v>2582</v>
      </c>
      <c r="B121" s="1874" t="s">
        <v>16</v>
      </c>
      <c r="C121" s="1874" t="s">
        <v>3006</v>
      </c>
      <c r="D121" s="1874" t="s">
        <v>3007</v>
      </c>
      <c r="E121" s="1874" t="s">
        <v>3008</v>
      </c>
      <c r="F121" s="1874" t="s">
        <v>2735</v>
      </c>
      <c r="G121" s="1874" t="s">
        <v>22</v>
      </c>
      <c r="H121" s="1874" t="s">
        <v>22</v>
      </c>
      <c r="I121" s="1874" t="s">
        <v>905</v>
      </c>
    </row>
    <row customHeight="1" ht="11.25">
      <c r="A122" s="1874" t="s">
        <v>2582</v>
      </c>
      <c r="B122" s="1874" t="s">
        <v>16</v>
      </c>
      <c r="C122" s="1874" t="s">
        <v>3009</v>
      </c>
      <c r="D122" s="1874" t="s">
        <v>3010</v>
      </c>
      <c r="E122" s="1874" t="s">
        <v>3011</v>
      </c>
      <c r="F122" s="1874" t="s">
        <v>2746</v>
      </c>
      <c r="G122" s="1874" t="s">
        <v>3012</v>
      </c>
      <c r="H122" s="1874" t="s">
        <v>22</v>
      </c>
      <c r="I122" s="1874" t="s">
        <v>905</v>
      </c>
    </row>
    <row customHeight="1" ht="11.25">
      <c r="A123" s="1874" t="s">
        <v>2582</v>
      </c>
      <c r="B123" s="1874" t="s">
        <v>16</v>
      </c>
      <c r="C123" s="1874" t="s">
        <v>3013</v>
      </c>
      <c r="D123" s="1874" t="s">
        <v>3014</v>
      </c>
      <c r="E123" s="1874" t="s">
        <v>3015</v>
      </c>
      <c r="F123" s="1874" t="s">
        <v>2778</v>
      </c>
      <c r="G123" s="1874" t="s">
        <v>3016</v>
      </c>
      <c r="H123" s="1874" t="s">
        <v>22</v>
      </c>
      <c r="I123" s="1874" t="s">
        <v>905</v>
      </c>
    </row>
    <row customHeight="1" ht="11.25">
      <c r="A124" s="1874" t="s">
        <v>2582</v>
      </c>
      <c r="B124" s="1874" t="s">
        <v>16</v>
      </c>
      <c r="C124" s="1874" t="s">
        <v>3017</v>
      </c>
      <c r="D124" s="1874" t="s">
        <v>3018</v>
      </c>
      <c r="E124" s="1874" t="s">
        <v>3019</v>
      </c>
      <c r="F124" s="1874" t="s">
        <v>3020</v>
      </c>
      <c r="G124" s="1874" t="s">
        <v>3021</v>
      </c>
      <c r="H124" s="1874" t="s">
        <v>22</v>
      </c>
      <c r="I124" s="1874" t="s">
        <v>905</v>
      </c>
    </row>
    <row customHeight="1" ht="11.25">
      <c r="A125" s="1874" t="s">
        <v>2582</v>
      </c>
      <c r="B125" s="1874" t="s">
        <v>16</v>
      </c>
      <c r="C125" s="1874" t="s">
        <v>3022</v>
      </c>
      <c r="D125" s="1874" t="s">
        <v>3023</v>
      </c>
      <c r="E125" s="1874" t="s">
        <v>3024</v>
      </c>
      <c r="F125" s="1874" t="s">
        <v>2727</v>
      </c>
      <c r="G125" s="1874" t="s">
        <v>22</v>
      </c>
      <c r="H125" s="1874" t="s">
        <v>22</v>
      </c>
      <c r="I125" s="1874" t="s">
        <v>905</v>
      </c>
    </row>
    <row customHeight="1" ht="11.25">
      <c r="A126" s="1874" t="s">
        <v>2582</v>
      </c>
      <c r="B126" s="1874" t="s">
        <v>16</v>
      </c>
      <c r="C126" s="1874" t="s">
        <v>3025</v>
      </c>
      <c r="D126" s="1874" t="s">
        <v>3026</v>
      </c>
      <c r="E126" s="1874" t="s">
        <v>3027</v>
      </c>
      <c r="F126" s="1874" t="s">
        <v>2628</v>
      </c>
      <c r="G126" s="1874" t="s">
        <v>3028</v>
      </c>
      <c r="H126" s="1874" t="s">
        <v>22</v>
      </c>
      <c r="I126" s="1874" t="s">
        <v>905</v>
      </c>
    </row>
    <row customHeight="1" ht="11.25">
      <c r="A127" s="1874" t="s">
        <v>2582</v>
      </c>
      <c r="B127" s="1874" t="s">
        <v>16</v>
      </c>
      <c r="C127" s="1874" t="s">
        <v>3029</v>
      </c>
      <c r="D127" s="1874" t="s">
        <v>3030</v>
      </c>
      <c r="E127" s="1874" t="s">
        <v>3031</v>
      </c>
      <c r="F127" s="1874" t="s">
        <v>2735</v>
      </c>
      <c r="G127" s="1874" t="s">
        <v>22</v>
      </c>
      <c r="H127" s="1874" t="s">
        <v>22</v>
      </c>
      <c r="I127" s="1874" t="s">
        <v>905</v>
      </c>
    </row>
    <row customHeight="1" ht="11.25">
      <c r="A128" s="1874" t="s">
        <v>2582</v>
      </c>
      <c r="B128" s="1874" t="s">
        <v>16</v>
      </c>
      <c r="C128" s="1874" t="s">
        <v>3032</v>
      </c>
      <c r="D128" s="1874" t="s">
        <v>3033</v>
      </c>
      <c r="E128" s="1874" t="s">
        <v>3034</v>
      </c>
      <c r="F128" s="1874" t="s">
        <v>2680</v>
      </c>
      <c r="G128" s="1874" t="s">
        <v>22</v>
      </c>
      <c r="H128" s="1874" t="s">
        <v>22</v>
      </c>
      <c r="I128" s="1874" t="s">
        <v>905</v>
      </c>
    </row>
    <row customHeight="1" ht="11.25">
      <c r="A129" s="1874" t="s">
        <v>2582</v>
      </c>
      <c r="B129" s="1874" t="s">
        <v>16</v>
      </c>
      <c r="C129" s="1874" t="s">
        <v>3035</v>
      </c>
      <c r="D129" s="1874" t="s">
        <v>3036</v>
      </c>
      <c r="E129" s="1874" t="s">
        <v>3037</v>
      </c>
      <c r="F129" s="1874" t="s">
        <v>2987</v>
      </c>
      <c r="G129" s="1874" t="s">
        <v>22</v>
      </c>
      <c r="H129" s="1874" t="s">
        <v>22</v>
      </c>
      <c r="I129" s="1874" t="s">
        <v>905</v>
      </c>
    </row>
    <row customHeight="1" ht="11.25">
      <c r="A130" s="1874" t="s">
        <v>2582</v>
      </c>
      <c r="B130" s="1874" t="s">
        <v>16</v>
      </c>
      <c r="C130" s="1874" t="s">
        <v>3038</v>
      </c>
      <c r="D130" s="1874" t="s">
        <v>3039</v>
      </c>
      <c r="E130" s="1874" t="s">
        <v>3040</v>
      </c>
      <c r="F130" s="1874" t="s">
        <v>2694</v>
      </c>
      <c r="G130" s="1874" t="s">
        <v>3041</v>
      </c>
      <c r="H130" s="1874" t="s">
        <v>22</v>
      </c>
      <c r="I130" s="1874" t="s">
        <v>905</v>
      </c>
    </row>
    <row customHeight="1" ht="11.25">
      <c r="A131" s="1874" t="s">
        <v>2582</v>
      </c>
      <c r="B131" s="1874" t="s">
        <v>16</v>
      </c>
      <c r="C131" s="1874" t="s">
        <v>3042</v>
      </c>
      <c r="D131" s="1874" t="s">
        <v>3043</v>
      </c>
      <c r="E131" s="1874" t="s">
        <v>3044</v>
      </c>
      <c r="F131" s="1874" t="s">
        <v>2628</v>
      </c>
      <c r="G131" s="1874" t="s">
        <v>3045</v>
      </c>
      <c r="H131" s="1874" t="s">
        <v>22</v>
      </c>
      <c r="I131" s="1874" t="s">
        <v>905</v>
      </c>
    </row>
    <row customHeight="1" ht="11.25">
      <c r="A132" s="1874" t="s">
        <v>2582</v>
      </c>
      <c r="B132" s="1874" t="s">
        <v>16</v>
      </c>
      <c r="C132" s="1874" t="s">
        <v>3046</v>
      </c>
      <c r="D132" s="1874" t="s">
        <v>3047</v>
      </c>
      <c r="E132" s="1874" t="s">
        <v>3048</v>
      </c>
      <c r="F132" s="1874" t="s">
        <v>2911</v>
      </c>
      <c r="G132" s="1874" t="s">
        <v>3049</v>
      </c>
      <c r="H132" s="1874" t="s">
        <v>22</v>
      </c>
      <c r="I132" s="1874" t="s">
        <v>905</v>
      </c>
    </row>
    <row customHeight="1" ht="11.25">
      <c r="A133" s="1874" t="s">
        <v>2582</v>
      </c>
      <c r="B133" s="1874" t="s">
        <v>16</v>
      </c>
      <c r="C133" s="1874" t="s">
        <v>3050</v>
      </c>
      <c r="D133" s="1874" t="s">
        <v>3051</v>
      </c>
      <c r="E133" s="1874" t="s">
        <v>3052</v>
      </c>
      <c r="F133" s="1874" t="s">
        <v>2628</v>
      </c>
      <c r="G133" s="1874" t="s">
        <v>3053</v>
      </c>
      <c r="H133" s="1874" t="s">
        <v>22</v>
      </c>
      <c r="I133" s="1874" t="s">
        <v>905</v>
      </c>
    </row>
    <row customHeight="1" ht="11.25">
      <c r="A134" s="1874" t="s">
        <v>2582</v>
      </c>
      <c r="B134" s="1874" t="s">
        <v>16</v>
      </c>
      <c r="C134" s="1874" t="s">
        <v>3054</v>
      </c>
      <c r="D134" s="1874" t="s">
        <v>3055</v>
      </c>
      <c r="E134" s="1874" t="s">
        <v>3056</v>
      </c>
      <c r="F134" s="1874" t="s">
        <v>2911</v>
      </c>
      <c r="G134" s="1874" t="s">
        <v>3057</v>
      </c>
      <c r="H134" s="1874" t="s">
        <v>22</v>
      </c>
      <c r="I134" s="1874" t="s">
        <v>905</v>
      </c>
    </row>
    <row customHeight="1" ht="11.25">
      <c r="A135" s="1874" t="s">
        <v>2582</v>
      </c>
      <c r="B135" s="1874" t="s">
        <v>16</v>
      </c>
      <c r="C135" s="1874" t="s">
        <v>3058</v>
      </c>
      <c r="D135" s="1874" t="s">
        <v>3059</v>
      </c>
      <c r="E135" s="1874" t="s">
        <v>3060</v>
      </c>
      <c r="F135" s="1874" t="s">
        <v>2698</v>
      </c>
      <c r="G135" s="1874" t="s">
        <v>3061</v>
      </c>
      <c r="H135" s="1874" t="s">
        <v>22</v>
      </c>
      <c r="I135" s="1874" t="s">
        <v>905</v>
      </c>
    </row>
    <row customHeight="1" ht="11.25">
      <c r="A136" s="1874" t="s">
        <v>2582</v>
      </c>
      <c r="B136" s="1874" t="s">
        <v>16</v>
      </c>
      <c r="C136" s="1874" t="s">
        <v>3062</v>
      </c>
      <c r="D136" s="1874" t="s">
        <v>3063</v>
      </c>
      <c r="E136" s="1874" t="s">
        <v>3064</v>
      </c>
      <c r="F136" s="1874" t="s">
        <v>2939</v>
      </c>
      <c r="G136" s="1874" t="s">
        <v>22</v>
      </c>
      <c r="H136" s="1874" t="s">
        <v>22</v>
      </c>
      <c r="I136" s="1874" t="s">
        <v>905</v>
      </c>
    </row>
    <row customHeight="1" ht="11.25">
      <c r="A137" s="1874" t="s">
        <v>2582</v>
      </c>
      <c r="B137" s="1874" t="s">
        <v>16</v>
      </c>
      <c r="C137" s="1874" t="s">
        <v>3065</v>
      </c>
      <c r="D137" s="1874" t="s">
        <v>3066</v>
      </c>
      <c r="E137" s="1874" t="s">
        <v>3067</v>
      </c>
      <c r="F137" s="1874" t="s">
        <v>2939</v>
      </c>
      <c r="G137" s="1874" t="s">
        <v>22</v>
      </c>
      <c r="H137" s="1874" t="s">
        <v>22</v>
      </c>
      <c r="I137" s="1874" t="s">
        <v>905</v>
      </c>
    </row>
    <row customHeight="1" ht="11.25">
      <c r="A138" s="1874" t="s">
        <v>2582</v>
      </c>
      <c r="B138" s="1874" t="s">
        <v>16</v>
      </c>
      <c r="C138" s="1874" t="s">
        <v>3068</v>
      </c>
      <c r="D138" s="1874" t="s">
        <v>3069</v>
      </c>
      <c r="E138" s="1874" t="s">
        <v>3070</v>
      </c>
      <c r="F138" s="1874" t="s">
        <v>2659</v>
      </c>
      <c r="G138" s="1874" t="s">
        <v>3071</v>
      </c>
      <c r="H138" s="1874" t="s">
        <v>22</v>
      </c>
      <c r="I138" s="1874" t="s">
        <v>905</v>
      </c>
    </row>
    <row customHeight="1" ht="11.25">
      <c r="A139" s="1874" t="s">
        <v>2582</v>
      </c>
      <c r="B139" s="1874" t="s">
        <v>16</v>
      </c>
      <c r="C139" s="1874" t="s">
        <v>3072</v>
      </c>
      <c r="D139" s="1874" t="s">
        <v>3073</v>
      </c>
      <c r="E139" s="1874" t="s">
        <v>3074</v>
      </c>
      <c r="F139" s="1874" t="s">
        <v>2709</v>
      </c>
      <c r="G139" s="1874" t="s">
        <v>22</v>
      </c>
      <c r="H139" s="1874" t="s">
        <v>22</v>
      </c>
      <c r="I139" s="1874" t="s">
        <v>905</v>
      </c>
    </row>
    <row customHeight="1" ht="11.25">
      <c r="A140" s="1874" t="s">
        <v>2582</v>
      </c>
      <c r="B140" s="1874" t="s">
        <v>16</v>
      </c>
      <c r="C140" s="1874" t="s">
        <v>3075</v>
      </c>
      <c r="D140" s="1874" t="s">
        <v>3076</v>
      </c>
      <c r="E140" s="1874" t="s">
        <v>3077</v>
      </c>
      <c r="F140" s="1874" t="s">
        <v>2709</v>
      </c>
      <c r="G140" s="1874" t="s">
        <v>22</v>
      </c>
      <c r="H140" s="1874" t="s">
        <v>22</v>
      </c>
      <c r="I140" s="1874" t="s">
        <v>905</v>
      </c>
    </row>
    <row customHeight="1" ht="11.25">
      <c r="A141" s="1874" t="s">
        <v>2582</v>
      </c>
      <c r="B141" s="1874" t="s">
        <v>16</v>
      </c>
      <c r="C141" s="1874" t="s">
        <v>3078</v>
      </c>
      <c r="D141" s="1874" t="s">
        <v>3079</v>
      </c>
      <c r="E141" s="1874" t="s">
        <v>3080</v>
      </c>
      <c r="F141" s="1874" t="s">
        <v>2735</v>
      </c>
      <c r="G141" s="1874" t="s">
        <v>3081</v>
      </c>
      <c r="H141" s="1874" t="s">
        <v>22</v>
      </c>
      <c r="I141" s="1874" t="s">
        <v>905</v>
      </c>
    </row>
    <row customHeight="1" ht="11.25">
      <c r="A142" s="1874" t="s">
        <v>2582</v>
      </c>
      <c r="B142" s="1874" t="s">
        <v>16</v>
      </c>
      <c r="C142" s="1874" t="s">
        <v>3082</v>
      </c>
      <c r="D142" s="1874" t="s">
        <v>3083</v>
      </c>
      <c r="E142" s="1874" t="s">
        <v>3084</v>
      </c>
      <c r="F142" s="1874" t="s">
        <v>51</v>
      </c>
      <c r="G142" s="1874" t="s">
        <v>22</v>
      </c>
      <c r="H142" s="1874" t="s">
        <v>22</v>
      </c>
      <c r="I142" s="1874" t="s">
        <v>905</v>
      </c>
    </row>
    <row customHeight="1" ht="11.25">
      <c r="A143" s="1874" t="s">
        <v>2582</v>
      </c>
      <c r="B143" s="1874" t="s">
        <v>16</v>
      </c>
      <c r="C143" s="1874" t="s">
        <v>3085</v>
      </c>
      <c r="D143" s="1874" t="s">
        <v>3086</v>
      </c>
      <c r="E143" s="1874" t="s">
        <v>3087</v>
      </c>
      <c r="F143" s="1874" t="s">
        <v>2755</v>
      </c>
      <c r="G143" s="1874" t="s">
        <v>3088</v>
      </c>
      <c r="H143" s="1874" t="s">
        <v>22</v>
      </c>
      <c r="I143" s="1874" t="s">
        <v>905</v>
      </c>
    </row>
    <row customHeight="1" ht="11.25">
      <c r="A144" s="1874" t="s">
        <v>2582</v>
      </c>
      <c r="B144" s="1874" t="s">
        <v>16</v>
      </c>
      <c r="C144" s="1874" t="s">
        <v>3089</v>
      </c>
      <c r="D144" s="1874" t="s">
        <v>3090</v>
      </c>
      <c r="E144" s="1874" t="s">
        <v>3091</v>
      </c>
      <c r="F144" s="1874" t="s">
        <v>2689</v>
      </c>
      <c r="G144" s="1874" t="s">
        <v>3092</v>
      </c>
      <c r="H144" s="1874" t="s">
        <v>22</v>
      </c>
      <c r="I144" s="1874" t="s">
        <v>905</v>
      </c>
    </row>
    <row customHeight="1" ht="11.25">
      <c r="A145" s="1874" t="s">
        <v>2582</v>
      </c>
      <c r="B145" s="1874" t="s">
        <v>16</v>
      </c>
      <c r="C145" s="1874" t="s">
        <v>3093</v>
      </c>
      <c r="D145" s="1874" t="s">
        <v>3094</v>
      </c>
      <c r="E145" s="1874" t="s">
        <v>3095</v>
      </c>
      <c r="F145" s="1874" t="s">
        <v>2735</v>
      </c>
      <c r="G145" s="1874" t="s">
        <v>2918</v>
      </c>
      <c r="H145" s="1874" t="s">
        <v>22</v>
      </c>
      <c r="I145" s="1874" t="s">
        <v>905</v>
      </c>
    </row>
    <row customHeight="1" ht="11.25">
      <c r="A146" s="1874" t="s">
        <v>2582</v>
      </c>
      <c r="B146" s="1874" t="s">
        <v>16</v>
      </c>
      <c r="C146" s="1874" t="s">
        <v>3096</v>
      </c>
      <c r="D146" s="1874" t="s">
        <v>3097</v>
      </c>
      <c r="E146" s="1874" t="s">
        <v>3098</v>
      </c>
      <c r="F146" s="1874" t="s">
        <v>2939</v>
      </c>
      <c r="G146" s="1874" t="s">
        <v>22</v>
      </c>
      <c r="H146" s="1874" t="s">
        <v>22</v>
      </c>
      <c r="I146" s="1874" t="s">
        <v>905</v>
      </c>
    </row>
    <row customHeight="1" ht="11.25">
      <c r="A147" s="1874" t="s">
        <v>2582</v>
      </c>
      <c r="B147" s="1874" t="s">
        <v>16</v>
      </c>
      <c r="C147" s="1874" t="s">
        <v>3099</v>
      </c>
      <c r="D147" s="1874" t="s">
        <v>3100</v>
      </c>
      <c r="E147" s="1874" t="s">
        <v>3101</v>
      </c>
      <c r="F147" s="1874" t="s">
        <v>2685</v>
      </c>
      <c r="G147" s="1874" t="s">
        <v>22</v>
      </c>
      <c r="H147" s="1874" t="s">
        <v>22</v>
      </c>
      <c r="I147" s="1874" t="s">
        <v>905</v>
      </c>
    </row>
    <row customHeight="1" ht="11.25">
      <c r="A148" s="1874" t="s">
        <v>2582</v>
      </c>
      <c r="B148" s="1874" t="s">
        <v>16</v>
      </c>
      <c r="C148" s="1874" t="s">
        <v>3102</v>
      </c>
      <c r="D148" s="1874" t="s">
        <v>3103</v>
      </c>
      <c r="E148" s="1874" t="s">
        <v>3104</v>
      </c>
      <c r="F148" s="1874" t="s">
        <v>2869</v>
      </c>
      <c r="G148" s="1874" t="s">
        <v>3105</v>
      </c>
      <c r="H148" s="1874" t="s">
        <v>22</v>
      </c>
      <c r="I148" s="1874" t="s">
        <v>905</v>
      </c>
    </row>
    <row customHeight="1" ht="11.25">
      <c r="A149" s="1874" t="s">
        <v>2582</v>
      </c>
      <c r="B149" s="1874" t="s">
        <v>16</v>
      </c>
      <c r="C149" s="1874" t="s">
        <v>3106</v>
      </c>
      <c r="D149" s="1874" t="s">
        <v>3107</v>
      </c>
      <c r="E149" s="1874" t="s">
        <v>3108</v>
      </c>
      <c r="F149" s="1874" t="s">
        <v>2698</v>
      </c>
      <c r="G149" s="1874" t="s">
        <v>2648</v>
      </c>
      <c r="H149" s="1874" t="s">
        <v>22</v>
      </c>
      <c r="I149" s="1874" t="s">
        <v>905</v>
      </c>
    </row>
    <row customHeight="1" ht="11.25">
      <c r="A150" s="1874" t="s">
        <v>2582</v>
      </c>
      <c r="B150" s="1874" t="s">
        <v>16</v>
      </c>
      <c r="C150" s="1874" t="s">
        <v>3109</v>
      </c>
      <c r="D150" s="1874" t="s">
        <v>3110</v>
      </c>
      <c r="E150" s="1874" t="s">
        <v>3111</v>
      </c>
      <c r="F150" s="1874" t="s">
        <v>2939</v>
      </c>
      <c r="G150" s="1874" t="s">
        <v>22</v>
      </c>
      <c r="H150" s="1874" t="s">
        <v>22</v>
      </c>
      <c r="I150" s="1874" t="s">
        <v>905</v>
      </c>
    </row>
    <row customHeight="1" ht="11.25">
      <c r="A151" s="1874" t="s">
        <v>2582</v>
      </c>
      <c r="B151" s="1874" t="s">
        <v>16</v>
      </c>
      <c r="C151" s="1874" t="s">
        <v>3112</v>
      </c>
      <c r="D151" s="1874" t="s">
        <v>3113</v>
      </c>
      <c r="E151" s="1874" t="s">
        <v>3114</v>
      </c>
      <c r="F151" s="1874" t="s">
        <v>51</v>
      </c>
      <c r="G151" s="1874" t="s">
        <v>2832</v>
      </c>
      <c r="H151" s="1874" t="s">
        <v>22</v>
      </c>
      <c r="I151" s="1874" t="s">
        <v>905</v>
      </c>
    </row>
    <row customHeight="1" ht="11.25">
      <c r="A152" s="1874" t="s">
        <v>2582</v>
      </c>
      <c r="B152" s="1874" t="s">
        <v>16</v>
      </c>
      <c r="C152" s="1874" t="s">
        <v>3115</v>
      </c>
      <c r="D152" s="1874" t="s">
        <v>3116</v>
      </c>
      <c r="E152" s="1874" t="s">
        <v>3117</v>
      </c>
      <c r="F152" s="1874" t="s">
        <v>51</v>
      </c>
      <c r="G152" s="1874" t="s">
        <v>3118</v>
      </c>
      <c r="H152" s="1874" t="s">
        <v>22</v>
      </c>
      <c r="I152" s="1874" t="s">
        <v>905</v>
      </c>
    </row>
    <row customHeight="1" ht="11.25">
      <c r="A153" s="1874" t="s">
        <v>2582</v>
      </c>
      <c r="B153" s="1874" t="s">
        <v>16</v>
      </c>
      <c r="C153" s="1874" t="s">
        <v>3119</v>
      </c>
      <c r="D153" s="1874" t="s">
        <v>3120</v>
      </c>
      <c r="E153" s="1874" t="s">
        <v>3121</v>
      </c>
      <c r="F153" s="1874" t="s">
        <v>2987</v>
      </c>
      <c r="G153" s="1874" t="s">
        <v>3122</v>
      </c>
      <c r="H153" s="1874" t="s">
        <v>22</v>
      </c>
      <c r="I153" s="1874" t="s">
        <v>905</v>
      </c>
    </row>
    <row customHeight="1" ht="11.25">
      <c r="A154" s="1874" t="s">
        <v>2582</v>
      </c>
      <c r="B154" s="1874" t="s">
        <v>16</v>
      </c>
      <c r="C154" s="1874" t="s">
        <v>3123</v>
      </c>
      <c r="D154" s="1874" t="s">
        <v>3124</v>
      </c>
      <c r="E154" s="1874" t="s">
        <v>3125</v>
      </c>
      <c r="F154" s="1874" t="s">
        <v>2727</v>
      </c>
      <c r="G154" s="1874" t="s">
        <v>22</v>
      </c>
      <c r="H154" s="1874" t="s">
        <v>22</v>
      </c>
      <c r="I154" s="1874" t="s">
        <v>905</v>
      </c>
    </row>
    <row customHeight="1" ht="11.25">
      <c r="A155" s="1874" t="s">
        <v>2582</v>
      </c>
      <c r="B155" s="1874" t="s">
        <v>16</v>
      </c>
      <c r="C155" s="1874" t="s">
        <v>3126</v>
      </c>
      <c r="D155" s="1874" t="s">
        <v>3127</v>
      </c>
      <c r="E155" s="1874" t="s">
        <v>3128</v>
      </c>
      <c r="F155" s="1874" t="s">
        <v>3129</v>
      </c>
      <c r="G155" s="1874" t="s">
        <v>3130</v>
      </c>
      <c r="H155" s="1874" t="s">
        <v>22</v>
      </c>
      <c r="I155" s="1874" t="s">
        <v>905</v>
      </c>
    </row>
    <row customHeight="1" ht="11.25">
      <c r="A156" s="1874" t="s">
        <v>2582</v>
      </c>
      <c r="B156" s="1874" t="s">
        <v>16</v>
      </c>
      <c r="C156" s="1874" t="s">
        <v>3131</v>
      </c>
      <c r="D156" s="1874" t="s">
        <v>3132</v>
      </c>
      <c r="E156" s="1874" t="s">
        <v>3133</v>
      </c>
      <c r="F156" s="1874" t="s">
        <v>2778</v>
      </c>
      <c r="G156" s="1874" t="s">
        <v>22</v>
      </c>
      <c r="H156" s="1874" t="s">
        <v>22</v>
      </c>
      <c r="I156" s="1874" t="s">
        <v>905</v>
      </c>
    </row>
    <row customHeight="1" ht="11.25">
      <c r="A157" s="1874" t="s">
        <v>2582</v>
      </c>
      <c r="B157" s="1874" t="s">
        <v>16</v>
      </c>
      <c r="C157" s="1874" t="s">
        <v>3134</v>
      </c>
      <c r="D157" s="1874" t="s">
        <v>3135</v>
      </c>
      <c r="E157" s="1874" t="s">
        <v>3136</v>
      </c>
      <c r="F157" s="1874" t="s">
        <v>2727</v>
      </c>
      <c r="G157" s="1874" t="s">
        <v>22</v>
      </c>
      <c r="H157" s="1874" t="s">
        <v>22</v>
      </c>
      <c r="I157" s="1874" t="s">
        <v>905</v>
      </c>
    </row>
    <row customHeight="1" ht="11.25">
      <c r="A158" s="1874" t="s">
        <v>2582</v>
      </c>
      <c r="B158" s="1874" t="s">
        <v>16</v>
      </c>
      <c r="C158" s="1874" t="s">
        <v>3137</v>
      </c>
      <c r="D158" s="1874" t="s">
        <v>3138</v>
      </c>
      <c r="E158" s="1874" t="s">
        <v>3139</v>
      </c>
      <c r="F158" s="1874" t="s">
        <v>51</v>
      </c>
      <c r="G158" s="1874" t="s">
        <v>22</v>
      </c>
      <c r="H158" s="1874" t="s">
        <v>22</v>
      </c>
      <c r="I158" s="1874" t="s">
        <v>905</v>
      </c>
    </row>
    <row customHeight="1" ht="11.25">
      <c r="A159" s="1874" t="s">
        <v>2582</v>
      </c>
      <c r="B159" s="1874" t="s">
        <v>16</v>
      </c>
      <c r="C159" s="1874" t="s">
        <v>3140</v>
      </c>
      <c r="D159" s="1874" t="s">
        <v>3141</v>
      </c>
      <c r="E159" s="1874" t="s">
        <v>3142</v>
      </c>
      <c r="F159" s="1874" t="s">
        <v>2641</v>
      </c>
      <c r="G159" s="1874" t="s">
        <v>3143</v>
      </c>
      <c r="H159" s="1874" t="s">
        <v>22</v>
      </c>
      <c r="I159" s="1874" t="s">
        <v>905</v>
      </c>
    </row>
    <row customHeight="1" ht="11.25">
      <c r="A160" s="1874" t="s">
        <v>2582</v>
      </c>
      <c r="B160" s="1874" t="s">
        <v>16</v>
      </c>
      <c r="C160" s="1874" t="s">
        <v>3144</v>
      </c>
      <c r="D160" s="1874" t="s">
        <v>3145</v>
      </c>
      <c r="E160" s="1874" t="s">
        <v>3146</v>
      </c>
      <c r="F160" s="1874" t="s">
        <v>51</v>
      </c>
      <c r="G160" s="1874" t="s">
        <v>22</v>
      </c>
      <c r="H160" s="1874" t="s">
        <v>22</v>
      </c>
      <c r="I160" s="1874" t="s">
        <v>905</v>
      </c>
    </row>
    <row customHeight="1" ht="11.25">
      <c r="A161" s="1874" t="s">
        <v>2582</v>
      </c>
      <c r="B161" s="1874" t="s">
        <v>16</v>
      </c>
      <c r="C161" s="1874" t="s">
        <v>3147</v>
      </c>
      <c r="D161" s="1874" t="s">
        <v>3148</v>
      </c>
      <c r="E161" s="1874" t="s">
        <v>3149</v>
      </c>
      <c r="F161" s="1874" t="s">
        <v>3150</v>
      </c>
      <c r="G161" s="1874" t="s">
        <v>22</v>
      </c>
      <c r="H161" s="1874" t="s">
        <v>22</v>
      </c>
      <c r="I161" s="1874" t="s">
        <v>905</v>
      </c>
    </row>
    <row customHeight="1" ht="11.25">
      <c r="A162" s="1874" t="s">
        <v>2582</v>
      </c>
      <c r="B162" s="1874" t="s">
        <v>16</v>
      </c>
      <c r="C162" s="1874" t="s">
        <v>3151</v>
      </c>
      <c r="D162" s="1874" t="s">
        <v>3152</v>
      </c>
      <c r="E162" s="1874" t="s">
        <v>3153</v>
      </c>
      <c r="F162" s="1874" t="s">
        <v>2680</v>
      </c>
      <c r="G162" s="1874" t="s">
        <v>22</v>
      </c>
      <c r="H162" s="1874" t="s">
        <v>22</v>
      </c>
      <c r="I162" s="1874" t="s">
        <v>905</v>
      </c>
    </row>
    <row customHeight="1" ht="11.25">
      <c r="A163" s="1874" t="s">
        <v>2582</v>
      </c>
      <c r="B163" s="1874" t="s">
        <v>16</v>
      </c>
      <c r="C163" s="1874" t="s">
        <v>3154</v>
      </c>
      <c r="D163" s="1874" t="s">
        <v>3155</v>
      </c>
      <c r="E163" s="1874" t="s">
        <v>3156</v>
      </c>
      <c r="F163" s="1874" t="s">
        <v>3157</v>
      </c>
      <c r="G163" s="1874" t="s">
        <v>22</v>
      </c>
      <c r="H163" s="1874" t="s">
        <v>22</v>
      </c>
      <c r="I163" s="1874" t="s">
        <v>905</v>
      </c>
    </row>
    <row customHeight="1" ht="11.25">
      <c r="A164" s="1874" t="s">
        <v>2582</v>
      </c>
      <c r="B164" s="1874" t="s">
        <v>16</v>
      </c>
      <c r="C164" s="1874" t="s">
        <v>3158</v>
      </c>
      <c r="D164" s="1874" t="s">
        <v>3159</v>
      </c>
      <c r="E164" s="1874" t="s">
        <v>3160</v>
      </c>
      <c r="F164" s="1874" t="s">
        <v>3161</v>
      </c>
      <c r="G164" s="1874" t="s">
        <v>3162</v>
      </c>
      <c r="H164" s="1874" t="s">
        <v>22</v>
      </c>
      <c r="I164" s="1874" t="s">
        <v>905</v>
      </c>
    </row>
    <row customHeight="1" ht="11.25">
      <c r="A165" s="1874" t="s">
        <v>2582</v>
      </c>
      <c r="B165" s="1874" t="s">
        <v>16</v>
      </c>
      <c r="C165" s="1874" t="s">
        <v>3163</v>
      </c>
      <c r="D165" s="1874" t="s">
        <v>3164</v>
      </c>
      <c r="E165" s="1874" t="s">
        <v>2662</v>
      </c>
      <c r="F165" s="1874" t="s">
        <v>3165</v>
      </c>
      <c r="G165" s="1874" t="s">
        <v>3166</v>
      </c>
      <c r="H165" s="1874" t="s">
        <v>22</v>
      </c>
      <c r="I165" s="1874" t="s">
        <v>905</v>
      </c>
    </row>
    <row customHeight="1" ht="11.25">
      <c r="A166" s="1874" t="s">
        <v>2582</v>
      </c>
      <c r="B166" s="1874" t="s">
        <v>16</v>
      </c>
      <c r="C166" s="1874" t="s">
        <v>3167</v>
      </c>
      <c r="D166" s="1874" t="s">
        <v>3168</v>
      </c>
      <c r="E166" s="1874" t="s">
        <v>3169</v>
      </c>
      <c r="F166" s="1874" t="s">
        <v>2735</v>
      </c>
      <c r="G166" s="1874" t="s">
        <v>22</v>
      </c>
      <c r="H166" s="1874" t="s">
        <v>22</v>
      </c>
      <c r="I166" s="1874" t="s">
        <v>905</v>
      </c>
    </row>
    <row customHeight="1" ht="11.25">
      <c r="A167" s="1874" t="s">
        <v>2582</v>
      </c>
      <c r="B167" s="1874" t="s">
        <v>16</v>
      </c>
      <c r="C167" s="1874" t="s">
        <v>2583</v>
      </c>
      <c r="D167" s="1874" t="s">
        <v>2584</v>
      </c>
      <c r="E167" s="1874" t="s">
        <v>2585</v>
      </c>
      <c r="F167" s="1874" t="s">
        <v>2586</v>
      </c>
      <c r="G167" s="1874" t="s">
        <v>2587</v>
      </c>
      <c r="H167" s="1874" t="s">
        <v>22</v>
      </c>
      <c r="I167" s="1874" t="s">
        <v>991</v>
      </c>
    </row>
    <row customHeight="1" ht="11.25">
      <c r="A168" s="1874" t="s">
        <v>2582</v>
      </c>
      <c r="B168" s="1874" t="s">
        <v>16</v>
      </c>
      <c r="C168" s="1874" t="s">
        <v>13</v>
      </c>
      <c r="D168" s="1874" t="s">
        <v>46</v>
      </c>
      <c r="E168" s="1874" t="s">
        <v>49</v>
      </c>
      <c r="F168" s="1874" t="s">
        <v>51</v>
      </c>
      <c r="G168" s="1874" t="s">
        <v>2592</v>
      </c>
      <c r="H168" s="1874" t="s">
        <v>22</v>
      </c>
      <c r="I168" s="1874" t="s">
        <v>991</v>
      </c>
    </row>
    <row customHeight="1" ht="11.25">
      <c r="A169" s="1874" t="s">
        <v>2582</v>
      </c>
      <c r="B169" s="1874" t="s">
        <v>16</v>
      </c>
      <c r="C169" s="1874" t="s">
        <v>2595</v>
      </c>
      <c r="D169" s="1874" t="s">
        <v>2596</v>
      </c>
      <c r="E169" s="1874" t="s">
        <v>49</v>
      </c>
      <c r="F169" s="1874" t="s">
        <v>2597</v>
      </c>
      <c r="G169" s="1874" t="s">
        <v>22</v>
      </c>
      <c r="H169" s="1874" t="s">
        <v>22</v>
      </c>
      <c r="I169" s="1874" t="s">
        <v>991</v>
      </c>
    </row>
    <row customHeight="1" ht="11.25">
      <c r="A170" s="1874" t="s">
        <v>2582</v>
      </c>
      <c r="B170" s="1874" t="s">
        <v>16</v>
      </c>
      <c r="C170" s="1874" t="s">
        <v>2625</v>
      </c>
      <c r="D170" s="1874" t="s">
        <v>2626</v>
      </c>
      <c r="E170" s="1874" t="s">
        <v>2627</v>
      </c>
      <c r="F170" s="1874" t="s">
        <v>2628</v>
      </c>
      <c r="G170" s="1874" t="s">
        <v>2629</v>
      </c>
      <c r="H170" s="1874" t="s">
        <v>22</v>
      </c>
      <c r="I170" s="1874" t="s">
        <v>991</v>
      </c>
    </row>
    <row customHeight="1" ht="11.25">
      <c r="A171" s="1874" t="s">
        <v>2582</v>
      </c>
      <c r="B171" s="1874" t="s">
        <v>16</v>
      </c>
      <c r="C171" s="1874" t="s">
        <v>2630</v>
      </c>
      <c r="D171" s="1874" t="s">
        <v>2631</v>
      </c>
      <c r="E171" s="1874" t="s">
        <v>2632</v>
      </c>
      <c r="F171" s="1874" t="s">
        <v>2628</v>
      </c>
      <c r="G171" s="1874" t="s">
        <v>2633</v>
      </c>
      <c r="H171" s="1874" t="s">
        <v>22</v>
      </c>
      <c r="I171" s="1874" t="s">
        <v>991</v>
      </c>
    </row>
    <row customHeight="1" ht="11.25">
      <c r="A172" s="1874" t="s">
        <v>2582</v>
      </c>
      <c r="B172" s="1874" t="s">
        <v>16</v>
      </c>
      <c r="C172" s="1874" t="s">
        <v>2638</v>
      </c>
      <c r="D172" s="1874" t="s">
        <v>2639</v>
      </c>
      <c r="E172" s="1874" t="s">
        <v>2640</v>
      </c>
      <c r="F172" s="1874" t="s">
        <v>2641</v>
      </c>
      <c r="G172" s="1874" t="s">
        <v>22</v>
      </c>
      <c r="H172" s="1874" t="s">
        <v>22</v>
      </c>
      <c r="I172" s="1874" t="s">
        <v>991</v>
      </c>
    </row>
    <row customHeight="1" ht="11.25">
      <c r="A173" s="1874" t="s">
        <v>2582</v>
      </c>
      <c r="B173" s="1874" t="s">
        <v>16</v>
      </c>
      <c r="C173" s="1874" t="s">
        <v>2645</v>
      </c>
      <c r="D173" s="1874" t="s">
        <v>2646</v>
      </c>
      <c r="E173" s="1874" t="s">
        <v>2647</v>
      </c>
      <c r="F173" s="1874" t="s">
        <v>51</v>
      </c>
      <c r="G173" s="1874" t="s">
        <v>2648</v>
      </c>
      <c r="H173" s="1874" t="s">
        <v>22</v>
      </c>
      <c r="I173" s="1874" t="s">
        <v>991</v>
      </c>
    </row>
    <row customHeight="1" ht="11.25">
      <c r="A174" s="1874" t="s">
        <v>2582</v>
      </c>
      <c r="B174" s="1874" t="s">
        <v>16</v>
      </c>
      <c r="C174" s="1874" t="s">
        <v>2649</v>
      </c>
      <c r="D174" s="1874" t="s">
        <v>2650</v>
      </c>
      <c r="E174" s="1874" t="s">
        <v>2640</v>
      </c>
      <c r="F174" s="1874" t="s">
        <v>2651</v>
      </c>
      <c r="G174" s="1874" t="s">
        <v>22</v>
      </c>
      <c r="H174" s="1874" t="s">
        <v>22</v>
      </c>
      <c r="I174" s="1874" t="s">
        <v>991</v>
      </c>
    </row>
    <row customHeight="1" ht="11.25">
      <c r="A175" s="1874" t="s">
        <v>2582</v>
      </c>
      <c r="B175" s="1874" t="s">
        <v>16</v>
      </c>
      <c r="C175" s="1874" t="s">
        <v>2652</v>
      </c>
      <c r="D175" s="1874" t="s">
        <v>2653</v>
      </c>
      <c r="E175" s="1874" t="s">
        <v>2654</v>
      </c>
      <c r="F175" s="1874" t="s">
        <v>2655</v>
      </c>
      <c r="G175" s="1874" t="s">
        <v>22</v>
      </c>
      <c r="H175" s="1874" t="s">
        <v>22</v>
      </c>
      <c r="I175" s="1874" t="s">
        <v>991</v>
      </c>
    </row>
    <row customHeight="1" ht="11.25">
      <c r="A176" s="1874" t="s">
        <v>2582</v>
      </c>
      <c r="B176" s="1874" t="s">
        <v>16</v>
      </c>
      <c r="C176" s="1874" t="s">
        <v>2660</v>
      </c>
      <c r="D176" s="1874" t="s">
        <v>2661</v>
      </c>
      <c r="E176" s="1874" t="s">
        <v>2662</v>
      </c>
      <c r="F176" s="1874" t="s">
        <v>2663</v>
      </c>
      <c r="G176" s="1874" t="s">
        <v>22</v>
      </c>
      <c r="H176" s="1874" t="s">
        <v>22</v>
      </c>
      <c r="I176" s="1874" t="s">
        <v>991</v>
      </c>
    </row>
    <row customHeight="1" ht="11.25">
      <c r="A177" s="1874" t="s">
        <v>2582</v>
      </c>
      <c r="B177" s="1874" t="s">
        <v>16</v>
      </c>
      <c r="C177" s="1874" t="s">
        <v>2668</v>
      </c>
      <c r="D177" s="1874" t="s">
        <v>2669</v>
      </c>
      <c r="E177" s="1874" t="s">
        <v>2662</v>
      </c>
      <c r="F177" s="1874" t="s">
        <v>2670</v>
      </c>
      <c r="G177" s="1874" t="s">
        <v>22</v>
      </c>
      <c r="H177" s="1874" t="s">
        <v>22</v>
      </c>
      <c r="I177" s="1874" t="s">
        <v>991</v>
      </c>
    </row>
    <row customHeight="1" ht="11.25">
      <c r="A178" s="1874" t="s">
        <v>2582</v>
      </c>
      <c r="B178" s="1874" t="s">
        <v>16</v>
      </c>
      <c r="C178" s="1874" t="s">
        <v>2671</v>
      </c>
      <c r="D178" s="1874" t="s">
        <v>2672</v>
      </c>
      <c r="E178" s="1874" t="s">
        <v>2673</v>
      </c>
      <c r="F178" s="1874" t="s">
        <v>51</v>
      </c>
      <c r="G178" s="1874" t="s">
        <v>2674</v>
      </c>
      <c r="H178" s="1874" t="s">
        <v>22</v>
      </c>
      <c r="I178" s="1874" t="s">
        <v>991</v>
      </c>
    </row>
    <row customHeight="1" ht="11.25">
      <c r="A179" s="1874" t="s">
        <v>2582</v>
      </c>
      <c r="B179" s="1874" t="s">
        <v>16</v>
      </c>
      <c r="C179" s="1874" t="s">
        <v>22</v>
      </c>
      <c r="D179" s="1874" t="s">
        <v>2675</v>
      </c>
      <c r="E179" s="1874" t="s">
        <v>2676</v>
      </c>
      <c r="F179" s="1874" t="s">
        <v>51</v>
      </c>
      <c r="G179" s="1874" t="s">
        <v>22</v>
      </c>
      <c r="H179" s="1874" t="s">
        <v>22</v>
      </c>
      <c r="I179" s="1874" t="s">
        <v>991</v>
      </c>
    </row>
    <row customHeight="1" ht="11.25">
      <c r="A180" s="1874" t="s">
        <v>2582</v>
      </c>
      <c r="B180" s="1874" t="s">
        <v>16</v>
      </c>
      <c r="C180" s="1874" t="s">
        <v>2695</v>
      </c>
      <c r="D180" s="1874" t="s">
        <v>2696</v>
      </c>
      <c r="E180" s="1874" t="s">
        <v>2697</v>
      </c>
      <c r="F180" s="1874" t="s">
        <v>2698</v>
      </c>
      <c r="G180" s="1874" t="s">
        <v>2699</v>
      </c>
      <c r="H180" s="1874" t="s">
        <v>22</v>
      </c>
      <c r="I180" s="1874" t="s">
        <v>991</v>
      </c>
    </row>
    <row customHeight="1" ht="11.25">
      <c r="A181" s="1874" t="s">
        <v>2582</v>
      </c>
      <c r="B181" s="1874" t="s">
        <v>16</v>
      </c>
      <c r="C181" s="1874" t="s">
        <v>2700</v>
      </c>
      <c r="D181" s="1874" t="s">
        <v>2701</v>
      </c>
      <c r="E181" s="1874" t="s">
        <v>2702</v>
      </c>
      <c r="F181" s="1874" t="s">
        <v>2637</v>
      </c>
      <c r="G181" s="1874" t="s">
        <v>22</v>
      </c>
      <c r="H181" s="1874" t="s">
        <v>22</v>
      </c>
      <c r="I181" s="1874" t="s">
        <v>991</v>
      </c>
    </row>
    <row customHeight="1" ht="11.25">
      <c r="A182" s="1874" t="s">
        <v>2582</v>
      </c>
      <c r="B182" s="1874" t="s">
        <v>16</v>
      </c>
      <c r="C182" s="1874" t="s">
        <v>2710</v>
      </c>
      <c r="D182" s="1874" t="s">
        <v>2711</v>
      </c>
      <c r="E182" s="1874" t="s">
        <v>2712</v>
      </c>
      <c r="F182" s="1874" t="s">
        <v>2655</v>
      </c>
      <c r="G182" s="1874" t="s">
        <v>2713</v>
      </c>
      <c r="H182" s="1874" t="s">
        <v>22</v>
      </c>
      <c r="I182" s="1874" t="s">
        <v>991</v>
      </c>
    </row>
    <row customHeight="1" ht="11.25">
      <c r="A183" s="1874" t="s">
        <v>2582</v>
      </c>
      <c r="B183" s="1874" t="s">
        <v>16</v>
      </c>
      <c r="C183" s="1874" t="s">
        <v>2732</v>
      </c>
      <c r="D183" s="1874" t="s">
        <v>2733</v>
      </c>
      <c r="E183" s="1874" t="s">
        <v>2734</v>
      </c>
      <c r="F183" s="1874" t="s">
        <v>2735</v>
      </c>
      <c r="G183" s="1874" t="s">
        <v>22</v>
      </c>
      <c r="H183" s="1874" t="s">
        <v>22</v>
      </c>
      <c r="I183" s="1874" t="s">
        <v>991</v>
      </c>
    </row>
    <row customHeight="1" ht="11.25">
      <c r="A184" s="1874" t="s">
        <v>2582</v>
      </c>
      <c r="B184" s="1874" t="s">
        <v>16</v>
      </c>
      <c r="C184" s="1874" t="s">
        <v>2743</v>
      </c>
      <c r="D184" s="1874" t="s">
        <v>2744</v>
      </c>
      <c r="E184" s="1874" t="s">
        <v>2745</v>
      </c>
      <c r="F184" s="1874" t="s">
        <v>2746</v>
      </c>
      <c r="G184" s="1874" t="s">
        <v>2747</v>
      </c>
      <c r="H184" s="1874" t="s">
        <v>22</v>
      </c>
      <c r="I184" s="1874" t="s">
        <v>991</v>
      </c>
    </row>
    <row customHeight="1" ht="11.25">
      <c r="A185" s="1874" t="s">
        <v>2582</v>
      </c>
      <c r="B185" s="1874" t="s">
        <v>16</v>
      </c>
      <c r="C185" s="1874" t="s">
        <v>2748</v>
      </c>
      <c r="D185" s="1874" t="s">
        <v>2749</v>
      </c>
      <c r="E185" s="1874" t="s">
        <v>2750</v>
      </c>
      <c r="F185" s="1874" t="s">
        <v>2746</v>
      </c>
      <c r="G185" s="1874" t="s">
        <v>2751</v>
      </c>
      <c r="H185" s="1874" t="s">
        <v>22</v>
      </c>
      <c r="I185" s="1874" t="s">
        <v>991</v>
      </c>
    </row>
    <row customHeight="1" ht="11.25">
      <c r="A186" s="1874" t="s">
        <v>2582</v>
      </c>
      <c r="B186" s="1874" t="s">
        <v>16</v>
      </c>
      <c r="C186" s="1874" t="s">
        <v>2756</v>
      </c>
      <c r="D186" s="1874" t="s">
        <v>2757</v>
      </c>
      <c r="E186" s="1874" t="s">
        <v>2758</v>
      </c>
      <c r="F186" s="1874" t="s">
        <v>2746</v>
      </c>
      <c r="G186" s="1874" t="s">
        <v>2759</v>
      </c>
      <c r="H186" s="1874" t="s">
        <v>22</v>
      </c>
      <c r="I186" s="1874" t="s">
        <v>991</v>
      </c>
    </row>
    <row customHeight="1" ht="11.25">
      <c r="A187" s="1874" t="s">
        <v>2582</v>
      </c>
      <c r="B187" s="1874" t="s">
        <v>16</v>
      </c>
      <c r="C187" s="1874" t="s">
        <v>2760</v>
      </c>
      <c r="D187" s="1874" t="s">
        <v>2761</v>
      </c>
      <c r="E187" s="1874" t="s">
        <v>2762</v>
      </c>
      <c r="F187" s="1874" t="s">
        <v>2746</v>
      </c>
      <c r="G187" s="1874" t="s">
        <v>2763</v>
      </c>
      <c r="H187" s="1874" t="s">
        <v>2764</v>
      </c>
      <c r="I187" s="1874" t="s">
        <v>991</v>
      </c>
    </row>
    <row customHeight="1" ht="11.25">
      <c r="A188" s="1874" t="s">
        <v>2582</v>
      </c>
      <c r="B188" s="1874" t="s">
        <v>16</v>
      </c>
      <c r="C188" s="1874" t="s">
        <v>2765</v>
      </c>
      <c r="D188" s="1874" t="s">
        <v>2766</v>
      </c>
      <c r="E188" s="1874" t="s">
        <v>2767</v>
      </c>
      <c r="F188" s="1874" t="s">
        <v>2735</v>
      </c>
      <c r="G188" s="1874" t="s">
        <v>2768</v>
      </c>
      <c r="H188" s="1874" t="s">
        <v>22</v>
      </c>
      <c r="I188" s="1874" t="s">
        <v>991</v>
      </c>
    </row>
    <row customHeight="1" ht="11.25">
      <c r="A189" s="1874" t="s">
        <v>2582</v>
      </c>
      <c r="B189" s="1874" t="s">
        <v>16</v>
      </c>
      <c r="C189" s="1874" t="s">
        <v>2769</v>
      </c>
      <c r="D189" s="1874" t="s">
        <v>2770</v>
      </c>
      <c r="E189" s="1874" t="s">
        <v>2771</v>
      </c>
      <c r="F189" s="1874" t="s">
        <v>2735</v>
      </c>
      <c r="G189" s="1874" t="s">
        <v>22</v>
      </c>
      <c r="H189" s="1874" t="s">
        <v>22</v>
      </c>
      <c r="I189" s="1874" t="s">
        <v>991</v>
      </c>
    </row>
    <row customHeight="1" ht="11.25">
      <c r="A190" s="1874" t="s">
        <v>2582</v>
      </c>
      <c r="B190" s="1874" t="s">
        <v>16</v>
      </c>
      <c r="C190" s="1874" t="s">
        <v>2779</v>
      </c>
      <c r="D190" s="1874" t="s">
        <v>2780</v>
      </c>
      <c r="E190" s="1874" t="s">
        <v>2781</v>
      </c>
      <c r="F190" s="1874" t="s">
        <v>2698</v>
      </c>
      <c r="G190" s="1874" t="s">
        <v>2782</v>
      </c>
      <c r="H190" s="1874" t="s">
        <v>22</v>
      </c>
      <c r="I190" s="1874" t="s">
        <v>991</v>
      </c>
    </row>
    <row customHeight="1" ht="11.25">
      <c r="A191" s="1874" t="s">
        <v>2582</v>
      </c>
      <c r="B191" s="1874" t="s">
        <v>16</v>
      </c>
      <c r="C191" s="1874" t="s">
        <v>2793</v>
      </c>
      <c r="D191" s="1874" t="s">
        <v>2794</v>
      </c>
      <c r="E191" s="1874" t="s">
        <v>2795</v>
      </c>
      <c r="F191" s="1874" t="s">
        <v>2778</v>
      </c>
      <c r="G191" s="1874" t="s">
        <v>22</v>
      </c>
      <c r="H191" s="1874" t="s">
        <v>22</v>
      </c>
      <c r="I191" s="1874" t="s">
        <v>991</v>
      </c>
    </row>
    <row customHeight="1" ht="11.25">
      <c r="A192" s="1874" t="s">
        <v>2582</v>
      </c>
      <c r="B192" s="1874" t="s">
        <v>16</v>
      </c>
      <c r="C192" s="1874" t="s">
        <v>2796</v>
      </c>
      <c r="D192" s="1874" t="s">
        <v>2797</v>
      </c>
      <c r="E192" s="1874" t="s">
        <v>2798</v>
      </c>
      <c r="F192" s="1874" t="s">
        <v>2735</v>
      </c>
      <c r="G192" s="1874" t="s">
        <v>2799</v>
      </c>
      <c r="H192" s="1874" t="s">
        <v>22</v>
      </c>
      <c r="I192" s="1874" t="s">
        <v>991</v>
      </c>
    </row>
    <row customHeight="1" ht="11.25">
      <c r="A193" s="1874" t="s">
        <v>2582</v>
      </c>
      <c r="B193" s="1874" t="s">
        <v>16</v>
      </c>
      <c r="C193" s="1874" t="s">
        <v>2800</v>
      </c>
      <c r="D193" s="1874" t="s">
        <v>2801</v>
      </c>
      <c r="E193" s="1874" t="s">
        <v>2802</v>
      </c>
      <c r="F193" s="1874" t="s">
        <v>2709</v>
      </c>
      <c r="G193" s="1874" t="s">
        <v>2803</v>
      </c>
      <c r="H193" s="1874" t="s">
        <v>22</v>
      </c>
      <c r="I193" s="1874" t="s">
        <v>991</v>
      </c>
    </row>
    <row customHeight="1" ht="11.25">
      <c r="A194" s="1874" t="s">
        <v>2582</v>
      </c>
      <c r="B194" s="1874" t="s">
        <v>16</v>
      </c>
      <c r="C194" s="1874" t="s">
        <v>2804</v>
      </c>
      <c r="D194" s="1874" t="s">
        <v>2805</v>
      </c>
      <c r="E194" s="1874" t="s">
        <v>2806</v>
      </c>
      <c r="F194" s="1874" t="s">
        <v>2746</v>
      </c>
      <c r="G194" s="1874" t="s">
        <v>2807</v>
      </c>
      <c r="H194" s="1874" t="s">
        <v>22</v>
      </c>
      <c r="I194" s="1874" t="s">
        <v>991</v>
      </c>
    </row>
    <row customHeight="1" ht="11.25">
      <c r="A195" s="1874" t="s">
        <v>2582</v>
      </c>
      <c r="B195" s="1874" t="s">
        <v>16</v>
      </c>
      <c r="C195" s="1874" t="s">
        <v>2808</v>
      </c>
      <c r="D195" s="1874" t="s">
        <v>2805</v>
      </c>
      <c r="E195" s="1874" t="s">
        <v>2809</v>
      </c>
      <c r="F195" s="1874" t="s">
        <v>2637</v>
      </c>
      <c r="G195" s="1874" t="s">
        <v>2810</v>
      </c>
      <c r="H195" s="1874" t="s">
        <v>22</v>
      </c>
      <c r="I195" s="1874" t="s">
        <v>991</v>
      </c>
    </row>
    <row customHeight="1" ht="11.25">
      <c r="A196" s="1874" t="s">
        <v>2582</v>
      </c>
      <c r="B196" s="1874" t="s">
        <v>16</v>
      </c>
      <c r="C196" s="1874" t="s">
        <v>2811</v>
      </c>
      <c r="D196" s="1874" t="s">
        <v>2812</v>
      </c>
      <c r="E196" s="1874" t="s">
        <v>2813</v>
      </c>
      <c r="F196" s="1874" t="s">
        <v>2727</v>
      </c>
      <c r="G196" s="1874" t="s">
        <v>22</v>
      </c>
      <c r="H196" s="1874" t="s">
        <v>22</v>
      </c>
      <c r="I196" s="1874" t="s">
        <v>991</v>
      </c>
    </row>
    <row customHeight="1" ht="11.25">
      <c r="A197" s="1874" t="s">
        <v>2582</v>
      </c>
      <c r="B197" s="1874" t="s">
        <v>16</v>
      </c>
      <c r="C197" s="1874" t="s">
        <v>2814</v>
      </c>
      <c r="D197" s="1874" t="s">
        <v>2815</v>
      </c>
      <c r="E197" s="1874" t="s">
        <v>2816</v>
      </c>
      <c r="F197" s="1874" t="s">
        <v>2727</v>
      </c>
      <c r="G197" s="1874" t="s">
        <v>2817</v>
      </c>
      <c r="H197" s="1874" t="s">
        <v>22</v>
      </c>
      <c r="I197" s="1874" t="s">
        <v>991</v>
      </c>
    </row>
    <row customHeight="1" ht="11.25">
      <c r="A198" s="1874" t="s">
        <v>2582</v>
      </c>
      <c r="B198" s="1874" t="s">
        <v>16</v>
      </c>
      <c r="C198" s="1874" t="s">
        <v>2833</v>
      </c>
      <c r="D198" s="1874" t="s">
        <v>2834</v>
      </c>
      <c r="E198" s="1874" t="s">
        <v>2835</v>
      </c>
      <c r="F198" s="1874" t="s">
        <v>2709</v>
      </c>
      <c r="G198" s="1874" t="s">
        <v>2836</v>
      </c>
      <c r="H198" s="1874" t="s">
        <v>22</v>
      </c>
      <c r="I198" s="1874" t="s">
        <v>991</v>
      </c>
    </row>
    <row customHeight="1" ht="11.25">
      <c r="A199" s="1874" t="s">
        <v>2582</v>
      </c>
      <c r="B199" s="1874" t="s">
        <v>16</v>
      </c>
      <c r="C199" s="1874" t="s">
        <v>2837</v>
      </c>
      <c r="D199" s="1874" t="s">
        <v>2838</v>
      </c>
      <c r="E199" s="1874" t="s">
        <v>2839</v>
      </c>
      <c r="F199" s="1874" t="s">
        <v>2591</v>
      </c>
      <c r="G199" s="1874" t="s">
        <v>22</v>
      </c>
      <c r="H199" s="1874" t="s">
        <v>22</v>
      </c>
      <c r="I199" s="1874" t="s">
        <v>991</v>
      </c>
    </row>
    <row customHeight="1" ht="11.25">
      <c r="A200" s="1874" t="s">
        <v>2582</v>
      </c>
      <c r="B200" s="1874" t="s">
        <v>16</v>
      </c>
      <c r="C200" s="1874" t="s">
        <v>2843</v>
      </c>
      <c r="D200" s="1874" t="s">
        <v>2844</v>
      </c>
      <c r="E200" s="1874" t="s">
        <v>2845</v>
      </c>
      <c r="F200" s="1874" t="s">
        <v>2709</v>
      </c>
      <c r="G200" s="1874" t="s">
        <v>22</v>
      </c>
      <c r="H200" s="1874" t="s">
        <v>22</v>
      </c>
      <c r="I200" s="1874" t="s">
        <v>991</v>
      </c>
    </row>
    <row customHeight="1" ht="11.25">
      <c r="A201" s="1874" t="s">
        <v>2582</v>
      </c>
      <c r="B201" s="1874" t="s">
        <v>16</v>
      </c>
      <c r="C201" s="1874" t="s">
        <v>2850</v>
      </c>
      <c r="D201" s="1874" t="s">
        <v>2851</v>
      </c>
      <c r="E201" s="1874" t="s">
        <v>2852</v>
      </c>
      <c r="F201" s="1874" t="s">
        <v>2689</v>
      </c>
      <c r="G201" s="1874" t="s">
        <v>22</v>
      </c>
      <c r="H201" s="1874" t="s">
        <v>22</v>
      </c>
      <c r="I201" s="1874" t="s">
        <v>991</v>
      </c>
    </row>
    <row customHeight="1" ht="11.25">
      <c r="A202" s="1874" t="s">
        <v>2582</v>
      </c>
      <c r="B202" s="1874" t="s">
        <v>16</v>
      </c>
      <c r="C202" s="1874" t="s">
        <v>2853</v>
      </c>
      <c r="D202" s="1874" t="s">
        <v>2854</v>
      </c>
      <c r="E202" s="1874" t="s">
        <v>2855</v>
      </c>
      <c r="F202" s="1874" t="s">
        <v>2735</v>
      </c>
      <c r="G202" s="1874" t="s">
        <v>22</v>
      </c>
      <c r="H202" s="1874" t="s">
        <v>22</v>
      </c>
      <c r="I202" s="1874" t="s">
        <v>991</v>
      </c>
    </row>
    <row customHeight="1" ht="11.25">
      <c r="A203" s="1874" t="s">
        <v>2582</v>
      </c>
      <c r="B203" s="1874" t="s">
        <v>16</v>
      </c>
      <c r="C203" s="1874" t="s">
        <v>2859</v>
      </c>
      <c r="D203" s="1874" t="s">
        <v>2860</v>
      </c>
      <c r="E203" s="1874" t="s">
        <v>2662</v>
      </c>
      <c r="F203" s="1874" t="s">
        <v>2861</v>
      </c>
      <c r="G203" s="1874" t="s">
        <v>22</v>
      </c>
      <c r="H203" s="1874" t="s">
        <v>22</v>
      </c>
      <c r="I203" s="1874" t="s">
        <v>991</v>
      </c>
    </row>
    <row customHeight="1" ht="11.25">
      <c r="A204" s="1874" t="s">
        <v>2582</v>
      </c>
      <c r="B204" s="1874" t="s">
        <v>16</v>
      </c>
      <c r="C204" s="1874" t="s">
        <v>2866</v>
      </c>
      <c r="D204" s="1874" t="s">
        <v>2867</v>
      </c>
      <c r="E204" s="1874" t="s">
        <v>2868</v>
      </c>
      <c r="F204" s="1874" t="s">
        <v>2869</v>
      </c>
      <c r="G204" s="1874" t="s">
        <v>2870</v>
      </c>
      <c r="H204" s="1874" t="s">
        <v>22</v>
      </c>
      <c r="I204" s="1874" t="s">
        <v>991</v>
      </c>
    </row>
    <row customHeight="1" ht="11.25">
      <c r="A205" s="1874" t="s">
        <v>2582</v>
      </c>
      <c r="B205" s="1874" t="s">
        <v>16</v>
      </c>
      <c r="C205" s="1874" t="s">
        <v>2874</v>
      </c>
      <c r="D205" s="1874" t="s">
        <v>2875</v>
      </c>
      <c r="E205" s="1874" t="s">
        <v>2876</v>
      </c>
      <c r="F205" s="1874" t="s">
        <v>2689</v>
      </c>
      <c r="G205" s="1874" t="s">
        <v>22</v>
      </c>
      <c r="H205" s="1874" t="s">
        <v>22</v>
      </c>
      <c r="I205" s="1874" t="s">
        <v>991</v>
      </c>
    </row>
    <row customHeight="1" ht="11.25">
      <c r="A206" s="1874" t="s">
        <v>2582</v>
      </c>
      <c r="B206" s="1874" t="s">
        <v>16</v>
      </c>
      <c r="C206" s="1874" t="s">
        <v>2908</v>
      </c>
      <c r="D206" s="1874" t="s">
        <v>2909</v>
      </c>
      <c r="E206" s="1874" t="s">
        <v>2910</v>
      </c>
      <c r="F206" s="1874" t="s">
        <v>2911</v>
      </c>
      <c r="G206" s="1874" t="s">
        <v>22</v>
      </c>
      <c r="H206" s="1874" t="s">
        <v>22</v>
      </c>
      <c r="I206" s="1874" t="s">
        <v>991</v>
      </c>
    </row>
    <row customHeight="1" ht="11.25">
      <c r="A207" s="1874" t="s">
        <v>2582</v>
      </c>
      <c r="B207" s="1874" t="s">
        <v>16</v>
      </c>
      <c r="C207" s="1874" t="s">
        <v>2915</v>
      </c>
      <c r="D207" s="1874" t="s">
        <v>2916</v>
      </c>
      <c r="E207" s="1874" t="s">
        <v>2917</v>
      </c>
      <c r="F207" s="1874" t="s">
        <v>2735</v>
      </c>
      <c r="G207" s="1874" t="s">
        <v>2918</v>
      </c>
      <c r="H207" s="1874" t="s">
        <v>22</v>
      </c>
      <c r="I207" s="1874" t="s">
        <v>991</v>
      </c>
    </row>
    <row customHeight="1" ht="11.25">
      <c r="A208" s="1874" t="s">
        <v>2582</v>
      </c>
      <c r="B208" s="1874" t="s">
        <v>16</v>
      </c>
      <c r="C208" s="1874" t="s">
        <v>2923</v>
      </c>
      <c r="D208" s="1874" t="s">
        <v>2924</v>
      </c>
      <c r="E208" s="1874" t="s">
        <v>2925</v>
      </c>
      <c r="F208" s="1874" t="s">
        <v>2680</v>
      </c>
      <c r="G208" s="1874" t="s">
        <v>22</v>
      </c>
      <c r="H208" s="1874" t="s">
        <v>22</v>
      </c>
      <c r="I208" s="1874" t="s">
        <v>991</v>
      </c>
    </row>
    <row customHeight="1" ht="11.25">
      <c r="A209" s="1874" t="s">
        <v>2582</v>
      </c>
      <c r="B209" s="1874" t="s">
        <v>16</v>
      </c>
      <c r="C209" s="1874" t="s">
        <v>2926</v>
      </c>
      <c r="D209" s="1874" t="s">
        <v>2927</v>
      </c>
      <c r="E209" s="1874" t="s">
        <v>2928</v>
      </c>
      <c r="F209" s="1874" t="s">
        <v>2680</v>
      </c>
      <c r="G209" s="1874" t="s">
        <v>22</v>
      </c>
      <c r="H209" s="1874" t="s">
        <v>22</v>
      </c>
      <c r="I209" s="1874" t="s">
        <v>991</v>
      </c>
    </row>
    <row customHeight="1" ht="11.25">
      <c r="A210" s="1874" t="s">
        <v>2582</v>
      </c>
      <c r="B210" s="1874" t="s">
        <v>16</v>
      </c>
      <c r="C210" s="1874" t="s">
        <v>2933</v>
      </c>
      <c r="D210" s="1874" t="s">
        <v>2934</v>
      </c>
      <c r="E210" s="1874" t="s">
        <v>2935</v>
      </c>
      <c r="F210" s="1874" t="s">
        <v>2869</v>
      </c>
      <c r="G210" s="1874" t="s">
        <v>22</v>
      </c>
      <c r="H210" s="1874" t="s">
        <v>22</v>
      </c>
      <c r="I210" s="1874" t="s">
        <v>991</v>
      </c>
    </row>
    <row customHeight="1" ht="11.25">
      <c r="A211" s="1874" t="s">
        <v>2582</v>
      </c>
      <c r="B211" s="1874" t="s">
        <v>16</v>
      </c>
      <c r="C211" s="1874" t="s">
        <v>2936</v>
      </c>
      <c r="D211" s="1874" t="s">
        <v>2937</v>
      </c>
      <c r="E211" s="1874" t="s">
        <v>2938</v>
      </c>
      <c r="F211" s="1874" t="s">
        <v>2939</v>
      </c>
      <c r="G211" s="1874" t="s">
        <v>22</v>
      </c>
      <c r="H211" s="1874" t="s">
        <v>22</v>
      </c>
      <c r="I211" s="1874" t="s">
        <v>991</v>
      </c>
    </row>
    <row customHeight="1" ht="11.25">
      <c r="A212" s="1874" t="s">
        <v>2582</v>
      </c>
      <c r="B212" s="1874" t="s">
        <v>16</v>
      </c>
      <c r="C212" s="1874" t="s">
        <v>2940</v>
      </c>
      <c r="D212" s="1874" t="s">
        <v>2941</v>
      </c>
      <c r="E212" s="1874" t="s">
        <v>2942</v>
      </c>
      <c r="F212" s="1874" t="s">
        <v>2939</v>
      </c>
      <c r="G212" s="1874" t="s">
        <v>22</v>
      </c>
      <c r="H212" s="1874" t="s">
        <v>22</v>
      </c>
      <c r="I212" s="1874" t="s">
        <v>991</v>
      </c>
    </row>
    <row customHeight="1" ht="11.25">
      <c r="A213" s="1874" t="s">
        <v>2582</v>
      </c>
      <c r="B213" s="1874" t="s">
        <v>16</v>
      </c>
      <c r="C213" s="1874" t="s">
        <v>2950</v>
      </c>
      <c r="D213" s="1874" t="s">
        <v>2951</v>
      </c>
      <c r="E213" s="1874" t="s">
        <v>2952</v>
      </c>
      <c r="F213" s="1874" t="s">
        <v>2727</v>
      </c>
      <c r="G213" s="1874" t="s">
        <v>2953</v>
      </c>
      <c r="H213" s="1874" t="s">
        <v>22</v>
      </c>
      <c r="I213" s="1874" t="s">
        <v>991</v>
      </c>
    </row>
    <row customHeight="1" ht="11.25">
      <c r="A214" s="1874" t="s">
        <v>2582</v>
      </c>
      <c r="B214" s="1874" t="s">
        <v>16</v>
      </c>
      <c r="C214" s="1874" t="s">
        <v>2954</v>
      </c>
      <c r="D214" s="1874" t="s">
        <v>2955</v>
      </c>
      <c r="E214" s="1874" t="s">
        <v>2956</v>
      </c>
      <c r="F214" s="1874" t="s">
        <v>2939</v>
      </c>
      <c r="G214" s="1874" t="s">
        <v>2957</v>
      </c>
      <c r="H214" s="1874" t="s">
        <v>22</v>
      </c>
      <c r="I214" s="1874" t="s">
        <v>991</v>
      </c>
    </row>
    <row customHeight="1" ht="11.25">
      <c r="A215" s="1874" t="s">
        <v>2582</v>
      </c>
      <c r="B215" s="1874" t="s">
        <v>16</v>
      </c>
      <c r="C215" s="1874" t="s">
        <v>2958</v>
      </c>
      <c r="D215" s="1874" t="s">
        <v>2959</v>
      </c>
      <c r="E215" s="1874" t="s">
        <v>2960</v>
      </c>
      <c r="F215" s="1874" t="s">
        <v>2735</v>
      </c>
      <c r="G215" s="1874" t="s">
        <v>22</v>
      </c>
      <c r="H215" s="1874" t="s">
        <v>22</v>
      </c>
      <c r="I215" s="1874" t="s">
        <v>991</v>
      </c>
    </row>
    <row customHeight="1" ht="11.25">
      <c r="A216" s="1874" t="s">
        <v>2582</v>
      </c>
      <c r="B216" s="1874" t="s">
        <v>16</v>
      </c>
      <c r="C216" s="1874" t="s">
        <v>2971</v>
      </c>
      <c r="D216" s="1874" t="s">
        <v>2972</v>
      </c>
      <c r="E216" s="1874" t="s">
        <v>2973</v>
      </c>
      <c r="F216" s="1874" t="s">
        <v>2746</v>
      </c>
      <c r="G216" s="1874" t="s">
        <v>2974</v>
      </c>
      <c r="H216" s="1874" t="s">
        <v>22</v>
      </c>
      <c r="I216" s="1874" t="s">
        <v>991</v>
      </c>
    </row>
    <row customHeight="1" ht="11.25">
      <c r="A217" s="1874" t="s">
        <v>2582</v>
      </c>
      <c r="B217" s="1874" t="s">
        <v>16</v>
      </c>
      <c r="C217" s="1874" t="s">
        <v>3170</v>
      </c>
      <c r="D217" s="1874" t="s">
        <v>3171</v>
      </c>
      <c r="E217" s="1874" t="s">
        <v>3172</v>
      </c>
      <c r="F217" s="1874" t="s">
        <v>2637</v>
      </c>
      <c r="G217" s="1874" t="s">
        <v>22</v>
      </c>
      <c r="H217" s="1874" t="s">
        <v>22</v>
      </c>
      <c r="I217" s="1874" t="s">
        <v>991</v>
      </c>
    </row>
    <row customHeight="1" ht="11.25">
      <c r="A218" s="1874" t="s">
        <v>2582</v>
      </c>
      <c r="B218" s="1874" t="s">
        <v>16</v>
      </c>
      <c r="C218" s="1874" t="s">
        <v>2978</v>
      </c>
      <c r="D218" s="1874" t="s">
        <v>2979</v>
      </c>
      <c r="E218" s="1874" t="s">
        <v>2980</v>
      </c>
      <c r="F218" s="1874" t="s">
        <v>2911</v>
      </c>
      <c r="G218" s="1874" t="s">
        <v>22</v>
      </c>
      <c r="H218" s="1874" t="s">
        <v>22</v>
      </c>
      <c r="I218" s="1874" t="s">
        <v>991</v>
      </c>
    </row>
    <row customHeight="1" ht="11.25">
      <c r="A219" s="1874" t="s">
        <v>2582</v>
      </c>
      <c r="B219" s="1874" t="s">
        <v>16</v>
      </c>
      <c r="C219" s="1874" t="s">
        <v>2995</v>
      </c>
      <c r="D219" s="1874" t="s">
        <v>2996</v>
      </c>
      <c r="E219" s="1874" t="s">
        <v>2997</v>
      </c>
      <c r="F219" s="1874" t="s">
        <v>2735</v>
      </c>
      <c r="G219" s="1874" t="s">
        <v>22</v>
      </c>
      <c r="H219" s="1874" t="s">
        <v>22</v>
      </c>
      <c r="I219" s="1874" t="s">
        <v>991</v>
      </c>
    </row>
    <row customHeight="1" ht="11.25">
      <c r="A220" s="1874" t="s">
        <v>2582</v>
      </c>
      <c r="B220" s="1874" t="s">
        <v>16</v>
      </c>
      <c r="C220" s="1874" t="s">
        <v>3006</v>
      </c>
      <c r="D220" s="1874" t="s">
        <v>3007</v>
      </c>
      <c r="E220" s="1874" t="s">
        <v>3008</v>
      </c>
      <c r="F220" s="1874" t="s">
        <v>2735</v>
      </c>
      <c r="G220" s="1874" t="s">
        <v>22</v>
      </c>
      <c r="H220" s="1874" t="s">
        <v>22</v>
      </c>
      <c r="I220" s="1874" t="s">
        <v>991</v>
      </c>
    </row>
    <row customHeight="1" ht="11.25">
      <c r="A221" s="1874" t="s">
        <v>2582</v>
      </c>
      <c r="B221" s="1874" t="s">
        <v>16</v>
      </c>
      <c r="C221" s="1874" t="s">
        <v>3025</v>
      </c>
      <c r="D221" s="1874" t="s">
        <v>3026</v>
      </c>
      <c r="E221" s="1874" t="s">
        <v>3027</v>
      </c>
      <c r="F221" s="1874" t="s">
        <v>2628</v>
      </c>
      <c r="G221" s="1874" t="s">
        <v>3028</v>
      </c>
      <c r="H221" s="1874" t="s">
        <v>22</v>
      </c>
      <c r="I221" s="1874" t="s">
        <v>991</v>
      </c>
    </row>
    <row customHeight="1" ht="11.25">
      <c r="A222" s="1874" t="s">
        <v>2582</v>
      </c>
      <c r="B222" s="1874" t="s">
        <v>16</v>
      </c>
      <c r="C222" s="1874" t="s">
        <v>3038</v>
      </c>
      <c r="D222" s="1874" t="s">
        <v>3039</v>
      </c>
      <c r="E222" s="1874" t="s">
        <v>3040</v>
      </c>
      <c r="F222" s="1874" t="s">
        <v>2694</v>
      </c>
      <c r="G222" s="1874" t="s">
        <v>3041</v>
      </c>
      <c r="H222" s="1874" t="s">
        <v>22</v>
      </c>
      <c r="I222" s="1874" t="s">
        <v>991</v>
      </c>
    </row>
    <row customHeight="1" ht="11.25">
      <c r="A223" s="1874" t="s">
        <v>2582</v>
      </c>
      <c r="B223" s="1874" t="s">
        <v>16</v>
      </c>
      <c r="C223" s="1874" t="s">
        <v>3046</v>
      </c>
      <c r="D223" s="1874" t="s">
        <v>3047</v>
      </c>
      <c r="E223" s="1874" t="s">
        <v>3048</v>
      </c>
      <c r="F223" s="1874" t="s">
        <v>2911</v>
      </c>
      <c r="G223" s="1874" t="s">
        <v>3049</v>
      </c>
      <c r="H223" s="1874" t="s">
        <v>22</v>
      </c>
      <c r="I223" s="1874" t="s">
        <v>991</v>
      </c>
    </row>
    <row customHeight="1" ht="11.25">
      <c r="A224" s="1874" t="s">
        <v>2582</v>
      </c>
      <c r="B224" s="1874" t="s">
        <v>16</v>
      </c>
      <c r="C224" s="1874" t="s">
        <v>3062</v>
      </c>
      <c r="D224" s="1874" t="s">
        <v>3063</v>
      </c>
      <c r="E224" s="1874" t="s">
        <v>3064</v>
      </c>
      <c r="F224" s="1874" t="s">
        <v>2939</v>
      </c>
      <c r="G224" s="1874" t="s">
        <v>22</v>
      </c>
      <c r="H224" s="1874" t="s">
        <v>22</v>
      </c>
      <c r="I224" s="1874" t="s">
        <v>991</v>
      </c>
    </row>
    <row customHeight="1" ht="11.25">
      <c r="A225" s="1874" t="s">
        <v>2582</v>
      </c>
      <c r="B225" s="1874" t="s">
        <v>16</v>
      </c>
      <c r="C225" s="1874" t="s">
        <v>3065</v>
      </c>
      <c r="D225" s="1874" t="s">
        <v>3066</v>
      </c>
      <c r="E225" s="1874" t="s">
        <v>3067</v>
      </c>
      <c r="F225" s="1874" t="s">
        <v>2939</v>
      </c>
      <c r="G225" s="1874" t="s">
        <v>22</v>
      </c>
      <c r="H225" s="1874" t="s">
        <v>22</v>
      </c>
      <c r="I225" s="1874" t="s">
        <v>991</v>
      </c>
    </row>
    <row customHeight="1" ht="11.25">
      <c r="A226" s="1874" t="s">
        <v>2582</v>
      </c>
      <c r="B226" s="1874" t="s">
        <v>16</v>
      </c>
      <c r="C226" s="1874" t="s">
        <v>3068</v>
      </c>
      <c r="D226" s="1874" t="s">
        <v>3069</v>
      </c>
      <c r="E226" s="1874" t="s">
        <v>3070</v>
      </c>
      <c r="F226" s="1874" t="s">
        <v>2659</v>
      </c>
      <c r="G226" s="1874" t="s">
        <v>3071</v>
      </c>
      <c r="H226" s="1874" t="s">
        <v>22</v>
      </c>
      <c r="I226" s="1874" t="s">
        <v>991</v>
      </c>
    </row>
    <row customHeight="1" ht="11.25">
      <c r="A227" s="1874" t="s">
        <v>2582</v>
      </c>
      <c r="B227" s="1874" t="s">
        <v>16</v>
      </c>
      <c r="C227" s="1874" t="s">
        <v>3075</v>
      </c>
      <c r="D227" s="1874" t="s">
        <v>3076</v>
      </c>
      <c r="E227" s="1874" t="s">
        <v>3077</v>
      </c>
      <c r="F227" s="1874" t="s">
        <v>2709</v>
      </c>
      <c r="G227" s="1874" t="s">
        <v>22</v>
      </c>
      <c r="H227" s="1874" t="s">
        <v>22</v>
      </c>
      <c r="I227" s="1874" t="s">
        <v>991</v>
      </c>
    </row>
    <row customHeight="1" ht="11.25">
      <c r="A228" s="1874" t="s">
        <v>2582</v>
      </c>
      <c r="B228" s="1874" t="s">
        <v>16</v>
      </c>
      <c r="C228" s="1874" t="s">
        <v>3093</v>
      </c>
      <c r="D228" s="1874" t="s">
        <v>3094</v>
      </c>
      <c r="E228" s="1874" t="s">
        <v>3095</v>
      </c>
      <c r="F228" s="1874" t="s">
        <v>2735</v>
      </c>
      <c r="G228" s="1874" t="s">
        <v>2918</v>
      </c>
      <c r="H228" s="1874" t="s">
        <v>22</v>
      </c>
      <c r="I228" s="1874" t="s">
        <v>991</v>
      </c>
    </row>
    <row customHeight="1" ht="11.25">
      <c r="A229" s="1874" t="s">
        <v>2582</v>
      </c>
      <c r="B229" s="1874" t="s">
        <v>16</v>
      </c>
      <c r="C229" s="1874" t="s">
        <v>3099</v>
      </c>
      <c r="D229" s="1874" t="s">
        <v>3100</v>
      </c>
      <c r="E229" s="1874" t="s">
        <v>3101</v>
      </c>
      <c r="F229" s="1874" t="s">
        <v>2685</v>
      </c>
      <c r="G229" s="1874" t="s">
        <v>22</v>
      </c>
      <c r="H229" s="1874" t="s">
        <v>22</v>
      </c>
      <c r="I229" s="1874" t="s">
        <v>991</v>
      </c>
    </row>
    <row customHeight="1" ht="11.25">
      <c r="A230" s="1874" t="s">
        <v>2582</v>
      </c>
      <c r="B230" s="1874" t="s">
        <v>16</v>
      </c>
      <c r="C230" s="1874" t="s">
        <v>3106</v>
      </c>
      <c r="D230" s="1874" t="s">
        <v>3107</v>
      </c>
      <c r="E230" s="1874" t="s">
        <v>3108</v>
      </c>
      <c r="F230" s="1874" t="s">
        <v>2698</v>
      </c>
      <c r="G230" s="1874" t="s">
        <v>2648</v>
      </c>
      <c r="H230" s="1874" t="s">
        <v>22</v>
      </c>
      <c r="I230" s="1874" t="s">
        <v>991</v>
      </c>
    </row>
    <row customHeight="1" ht="11.25">
      <c r="A231" s="1874" t="s">
        <v>2582</v>
      </c>
      <c r="B231" s="1874" t="s">
        <v>16</v>
      </c>
      <c r="C231" s="1874" t="s">
        <v>3109</v>
      </c>
      <c r="D231" s="1874" t="s">
        <v>3110</v>
      </c>
      <c r="E231" s="1874" t="s">
        <v>3111</v>
      </c>
      <c r="F231" s="1874" t="s">
        <v>2939</v>
      </c>
      <c r="G231" s="1874" t="s">
        <v>22</v>
      </c>
      <c r="H231" s="1874" t="s">
        <v>22</v>
      </c>
      <c r="I231" s="1874" t="s">
        <v>991</v>
      </c>
    </row>
    <row customHeight="1" ht="11.25">
      <c r="A232" s="1874" t="s">
        <v>2582</v>
      </c>
      <c r="B232" s="1874" t="s">
        <v>16</v>
      </c>
      <c r="C232" s="1874" t="s">
        <v>3112</v>
      </c>
      <c r="D232" s="1874" t="s">
        <v>3113</v>
      </c>
      <c r="E232" s="1874" t="s">
        <v>3114</v>
      </c>
      <c r="F232" s="1874" t="s">
        <v>51</v>
      </c>
      <c r="G232" s="1874" t="s">
        <v>2832</v>
      </c>
      <c r="H232" s="1874" t="s">
        <v>22</v>
      </c>
      <c r="I232" s="1874" t="s">
        <v>991</v>
      </c>
    </row>
    <row customHeight="1" ht="11.25">
      <c r="A233" s="1874" t="s">
        <v>2582</v>
      </c>
      <c r="B233" s="1874" t="s">
        <v>16</v>
      </c>
      <c r="C233" s="1874" t="s">
        <v>3131</v>
      </c>
      <c r="D233" s="1874" t="s">
        <v>3132</v>
      </c>
      <c r="E233" s="1874" t="s">
        <v>3133</v>
      </c>
      <c r="F233" s="1874" t="s">
        <v>2778</v>
      </c>
      <c r="G233" s="1874" t="s">
        <v>22</v>
      </c>
      <c r="H233" s="1874" t="s">
        <v>22</v>
      </c>
      <c r="I233" s="1874" t="s">
        <v>991</v>
      </c>
    </row>
    <row customHeight="1" ht="11.25">
      <c r="A234" s="1874" t="s">
        <v>2582</v>
      </c>
      <c r="B234" s="1874" t="s">
        <v>16</v>
      </c>
      <c r="C234" s="1874" t="s">
        <v>3137</v>
      </c>
      <c r="D234" s="1874" t="s">
        <v>3138</v>
      </c>
      <c r="E234" s="1874" t="s">
        <v>3139</v>
      </c>
      <c r="F234" s="1874" t="s">
        <v>51</v>
      </c>
      <c r="G234" s="1874" t="s">
        <v>22</v>
      </c>
      <c r="H234" s="1874" t="s">
        <v>22</v>
      </c>
      <c r="I234" s="1874" t="s">
        <v>991</v>
      </c>
    </row>
    <row customHeight="1" ht="11.25">
      <c r="A235" s="1874" t="s">
        <v>2582</v>
      </c>
      <c r="B235" s="1874" t="s">
        <v>16</v>
      </c>
      <c r="C235" s="1874" t="s">
        <v>3140</v>
      </c>
      <c r="D235" s="1874" t="s">
        <v>3141</v>
      </c>
      <c r="E235" s="1874" t="s">
        <v>3142</v>
      </c>
      <c r="F235" s="1874" t="s">
        <v>2641</v>
      </c>
      <c r="G235" s="1874" t="s">
        <v>3143</v>
      </c>
      <c r="H235" s="1874" t="s">
        <v>22</v>
      </c>
      <c r="I235" s="1874" t="s">
        <v>991</v>
      </c>
    </row>
    <row customHeight="1" ht="11.25">
      <c r="A236" s="1874" t="s">
        <v>2582</v>
      </c>
      <c r="B236" s="1874" t="s">
        <v>16</v>
      </c>
      <c r="C236" s="1874" t="s">
        <v>3144</v>
      </c>
      <c r="D236" s="1874" t="s">
        <v>3145</v>
      </c>
      <c r="E236" s="1874" t="s">
        <v>3146</v>
      </c>
      <c r="F236" s="1874" t="s">
        <v>51</v>
      </c>
      <c r="G236" s="1874" t="s">
        <v>22</v>
      </c>
      <c r="H236" s="1874" t="s">
        <v>22</v>
      </c>
      <c r="I236" s="1874" t="s">
        <v>991</v>
      </c>
    </row>
    <row customHeight="1" ht="11.25">
      <c r="A237" s="1874" t="s">
        <v>2582</v>
      </c>
      <c r="B237" s="1874" t="s">
        <v>16</v>
      </c>
      <c r="C237" s="1874" t="s">
        <v>3154</v>
      </c>
      <c r="D237" s="1874" t="s">
        <v>3155</v>
      </c>
      <c r="E237" s="1874" t="s">
        <v>3156</v>
      </c>
      <c r="F237" s="1874" t="s">
        <v>3157</v>
      </c>
      <c r="G237" s="1874" t="s">
        <v>22</v>
      </c>
      <c r="H237" s="1874" t="s">
        <v>22</v>
      </c>
      <c r="I237" s="1874" t="s">
        <v>991</v>
      </c>
    </row>
    <row customHeight="1" ht="11.25">
      <c r="A238" s="1874" t="s">
        <v>2582</v>
      </c>
      <c r="B238" s="1874" t="s">
        <v>16</v>
      </c>
      <c r="C238" s="1874" t="s">
        <v>3158</v>
      </c>
      <c r="D238" s="1874" t="s">
        <v>3159</v>
      </c>
      <c r="E238" s="1874" t="s">
        <v>3160</v>
      </c>
      <c r="F238" s="1874" t="s">
        <v>3161</v>
      </c>
      <c r="G238" s="1874" t="s">
        <v>3162</v>
      </c>
      <c r="H238" s="1874" t="s">
        <v>22</v>
      </c>
      <c r="I238" s="1874" t="s">
        <v>991</v>
      </c>
    </row>
    <row customHeight="1" ht="11.25">
      <c r="A239" s="1874" t="s">
        <v>2582</v>
      </c>
      <c r="B239" s="1874" t="s">
        <v>16</v>
      </c>
      <c r="C239" s="1874" t="s">
        <v>3173</v>
      </c>
      <c r="D239" s="1874" t="s">
        <v>3174</v>
      </c>
      <c r="E239" s="1874" t="s">
        <v>3175</v>
      </c>
      <c r="F239" s="1874" t="s">
        <v>2911</v>
      </c>
      <c r="G239" s="1874" t="s">
        <v>3005</v>
      </c>
      <c r="H239" s="1874" t="s">
        <v>22</v>
      </c>
      <c r="I239" s="1874" t="s">
        <v>951</v>
      </c>
    </row>
    <row customHeight="1" ht="11.25">
      <c r="A240" s="1874" t="s">
        <v>2582</v>
      </c>
      <c r="B240" s="1874" t="s">
        <v>16</v>
      </c>
      <c r="C240" s="1874" t="s">
        <v>3176</v>
      </c>
      <c r="D240" s="1874" t="s">
        <v>3177</v>
      </c>
      <c r="E240" s="1874" t="s">
        <v>3178</v>
      </c>
      <c r="F240" s="1874" t="s">
        <v>3179</v>
      </c>
      <c r="G240" s="1874" t="s">
        <v>22</v>
      </c>
      <c r="H240" s="1874" t="s">
        <v>22</v>
      </c>
      <c r="I240" s="1874" t="s">
        <v>951</v>
      </c>
    </row>
    <row customHeight="1" ht="11.25">
      <c r="A241" s="1874" t="s">
        <v>2582</v>
      </c>
      <c r="B241" s="1874" t="s">
        <v>16</v>
      </c>
      <c r="C241" s="1874" t="s">
        <v>3180</v>
      </c>
      <c r="D241" s="1874" t="s">
        <v>3181</v>
      </c>
      <c r="E241" s="1874" t="s">
        <v>3182</v>
      </c>
      <c r="F241" s="1874" t="s">
        <v>3183</v>
      </c>
      <c r="G241" s="1874" t="s">
        <v>22</v>
      </c>
      <c r="H241" s="1874" t="s">
        <v>22</v>
      </c>
      <c r="I241" s="1874" t="s">
        <v>951</v>
      </c>
    </row>
    <row customHeight="1" ht="11.25">
      <c r="A242" s="1874" t="s">
        <v>2582</v>
      </c>
      <c r="B242" s="1874" t="s">
        <v>16</v>
      </c>
      <c r="C242" s="1874" t="s">
        <v>2583</v>
      </c>
      <c r="D242" s="1874" t="s">
        <v>2584</v>
      </c>
      <c r="E242" s="1874" t="s">
        <v>2585</v>
      </c>
      <c r="F242" s="1874" t="s">
        <v>2586</v>
      </c>
      <c r="G242" s="1874" t="s">
        <v>2587</v>
      </c>
      <c r="H242" s="1874" t="s">
        <v>22</v>
      </c>
      <c r="I242" s="1874" t="s">
        <v>951</v>
      </c>
    </row>
    <row customHeight="1" ht="11.25">
      <c r="A243" s="1874" t="s">
        <v>2582</v>
      </c>
      <c r="B243" s="1874" t="s">
        <v>16</v>
      </c>
      <c r="C243" s="1874" t="s">
        <v>13</v>
      </c>
      <c r="D243" s="1874" t="s">
        <v>46</v>
      </c>
      <c r="E243" s="1874" t="s">
        <v>49</v>
      </c>
      <c r="F243" s="1874" t="s">
        <v>51</v>
      </c>
      <c r="G243" s="1874" t="s">
        <v>2592</v>
      </c>
      <c r="H243" s="1874" t="s">
        <v>22</v>
      </c>
      <c r="I243" s="1874" t="s">
        <v>951</v>
      </c>
    </row>
    <row customHeight="1" ht="11.25">
      <c r="A244" s="1874" t="s">
        <v>2582</v>
      </c>
      <c r="B244" s="1874" t="s">
        <v>16</v>
      </c>
      <c r="C244" s="1874" t="s">
        <v>3184</v>
      </c>
      <c r="D244" s="1874" t="s">
        <v>3185</v>
      </c>
      <c r="E244" s="1874" t="s">
        <v>3186</v>
      </c>
      <c r="F244" s="1874" t="s">
        <v>2939</v>
      </c>
      <c r="G244" s="1874" t="s">
        <v>22</v>
      </c>
      <c r="H244" s="1874" t="s">
        <v>22</v>
      </c>
      <c r="I244" s="1874" t="s">
        <v>951</v>
      </c>
    </row>
    <row customHeight="1" ht="11.25">
      <c r="A245" s="1874" t="s">
        <v>2582</v>
      </c>
      <c r="B245" s="1874" t="s">
        <v>16</v>
      </c>
      <c r="C245" s="1874" t="s">
        <v>2622</v>
      </c>
      <c r="D245" s="1874" t="s">
        <v>2623</v>
      </c>
      <c r="E245" s="1874" t="s">
        <v>2624</v>
      </c>
      <c r="F245" s="1874" t="s">
        <v>2591</v>
      </c>
      <c r="G245" s="1874" t="s">
        <v>22</v>
      </c>
      <c r="H245" s="1874" t="s">
        <v>22</v>
      </c>
      <c r="I245" s="1874" t="s">
        <v>951</v>
      </c>
    </row>
    <row customHeight="1" ht="11.25">
      <c r="A246" s="1874" t="s">
        <v>2582</v>
      </c>
      <c r="B246" s="1874" t="s">
        <v>16</v>
      </c>
      <c r="C246" s="1874" t="s">
        <v>2625</v>
      </c>
      <c r="D246" s="1874" t="s">
        <v>2626</v>
      </c>
      <c r="E246" s="1874" t="s">
        <v>2627</v>
      </c>
      <c r="F246" s="1874" t="s">
        <v>2628</v>
      </c>
      <c r="G246" s="1874" t="s">
        <v>2629</v>
      </c>
      <c r="H246" s="1874" t="s">
        <v>22</v>
      </c>
      <c r="I246" s="1874" t="s">
        <v>951</v>
      </c>
    </row>
    <row customHeight="1" ht="11.25">
      <c r="A247" s="1874" t="s">
        <v>2582</v>
      </c>
      <c r="B247" s="1874" t="s">
        <v>16</v>
      </c>
      <c r="C247" s="1874" t="s">
        <v>2634</v>
      </c>
      <c r="D247" s="1874" t="s">
        <v>2635</v>
      </c>
      <c r="E247" s="1874" t="s">
        <v>2636</v>
      </c>
      <c r="F247" s="1874" t="s">
        <v>2637</v>
      </c>
      <c r="G247" s="1874" t="s">
        <v>22</v>
      </c>
      <c r="H247" s="1874" t="s">
        <v>22</v>
      </c>
      <c r="I247" s="1874" t="s">
        <v>951</v>
      </c>
    </row>
    <row customHeight="1" ht="11.25">
      <c r="A248" s="1874" t="s">
        <v>2582</v>
      </c>
      <c r="B248" s="1874" t="s">
        <v>16</v>
      </c>
      <c r="C248" s="1874" t="s">
        <v>2642</v>
      </c>
      <c r="D248" s="1874" t="s">
        <v>2643</v>
      </c>
      <c r="E248" s="1874" t="s">
        <v>2644</v>
      </c>
      <c r="F248" s="1874" t="s">
        <v>2628</v>
      </c>
      <c r="G248" s="1874" t="s">
        <v>22</v>
      </c>
      <c r="H248" s="1874" t="s">
        <v>22</v>
      </c>
      <c r="I248" s="1874" t="s">
        <v>951</v>
      </c>
    </row>
    <row customHeight="1" ht="11.25">
      <c r="A249" s="1874" t="s">
        <v>2582</v>
      </c>
      <c r="B249" s="1874" t="s">
        <v>16</v>
      </c>
      <c r="C249" s="1874" t="s">
        <v>3187</v>
      </c>
      <c r="D249" s="1874" t="s">
        <v>3188</v>
      </c>
      <c r="E249" s="1874" t="s">
        <v>3189</v>
      </c>
      <c r="F249" s="1874" t="s">
        <v>2735</v>
      </c>
      <c r="G249" s="1874" t="s">
        <v>22</v>
      </c>
      <c r="H249" s="1874" t="s">
        <v>22</v>
      </c>
      <c r="I249" s="1874" t="s">
        <v>951</v>
      </c>
    </row>
    <row customHeight="1" ht="11.25">
      <c r="A250" s="1874" t="s">
        <v>2582</v>
      </c>
      <c r="B250" s="1874" t="s">
        <v>16</v>
      </c>
      <c r="C250" s="1874" t="s">
        <v>2656</v>
      </c>
      <c r="D250" s="1874" t="s">
        <v>2657</v>
      </c>
      <c r="E250" s="1874" t="s">
        <v>2658</v>
      </c>
      <c r="F250" s="1874" t="s">
        <v>2659</v>
      </c>
      <c r="G250" s="1874" t="s">
        <v>22</v>
      </c>
      <c r="H250" s="1874" t="s">
        <v>22</v>
      </c>
      <c r="I250" s="1874" t="s">
        <v>951</v>
      </c>
    </row>
    <row customHeight="1" ht="11.25">
      <c r="A251" s="1874" t="s">
        <v>2582</v>
      </c>
      <c r="B251" s="1874" t="s">
        <v>16</v>
      </c>
      <c r="C251" s="1874" t="s">
        <v>2660</v>
      </c>
      <c r="D251" s="1874" t="s">
        <v>2661</v>
      </c>
      <c r="E251" s="1874" t="s">
        <v>2662</v>
      </c>
      <c r="F251" s="1874" t="s">
        <v>2663</v>
      </c>
      <c r="G251" s="1874" t="s">
        <v>22</v>
      </c>
      <c r="H251" s="1874" t="s">
        <v>22</v>
      </c>
      <c r="I251" s="1874" t="s">
        <v>951</v>
      </c>
    </row>
    <row customHeight="1" ht="11.25">
      <c r="A252" s="1874" t="s">
        <v>2582</v>
      </c>
      <c r="B252" s="1874" t="s">
        <v>16</v>
      </c>
      <c r="C252" s="1874" t="s">
        <v>3190</v>
      </c>
      <c r="D252" s="1874" t="s">
        <v>3191</v>
      </c>
      <c r="E252" s="1874" t="s">
        <v>3192</v>
      </c>
      <c r="F252" s="1874" t="s">
        <v>659</v>
      </c>
      <c r="G252" s="1874" t="s">
        <v>3193</v>
      </c>
      <c r="H252" s="1874" t="s">
        <v>22</v>
      </c>
      <c r="I252" s="1874" t="s">
        <v>951</v>
      </c>
    </row>
    <row customHeight="1" ht="11.25">
      <c r="A253" s="1874" t="s">
        <v>2582</v>
      </c>
      <c r="B253" s="1874" t="s">
        <v>16</v>
      </c>
      <c r="C253" s="1874" t="s">
        <v>3194</v>
      </c>
      <c r="D253" s="1874" t="s">
        <v>3195</v>
      </c>
      <c r="E253" s="1874" t="s">
        <v>3196</v>
      </c>
      <c r="F253" s="1874" t="s">
        <v>659</v>
      </c>
      <c r="G253" s="1874" t="s">
        <v>3197</v>
      </c>
      <c r="H253" s="1874" t="s">
        <v>22</v>
      </c>
      <c r="I253" s="1874" t="s">
        <v>951</v>
      </c>
    </row>
    <row customHeight="1" ht="11.25">
      <c r="A254" s="1874" t="s">
        <v>2582</v>
      </c>
      <c r="B254" s="1874" t="s">
        <v>16</v>
      </c>
      <c r="C254" s="1874" t="s">
        <v>3198</v>
      </c>
      <c r="D254" s="1874" t="s">
        <v>3199</v>
      </c>
      <c r="E254" s="1874" t="s">
        <v>3200</v>
      </c>
      <c r="F254" s="1874" t="s">
        <v>659</v>
      </c>
      <c r="G254" s="1874" t="s">
        <v>22</v>
      </c>
      <c r="H254" s="1874" t="s">
        <v>22</v>
      </c>
      <c r="I254" s="1874" t="s">
        <v>951</v>
      </c>
    </row>
    <row customHeight="1" ht="11.25">
      <c r="A255" s="1874" t="s">
        <v>2582</v>
      </c>
      <c r="B255" s="1874" t="s">
        <v>16</v>
      </c>
      <c r="C255" s="1874" t="s">
        <v>3201</v>
      </c>
      <c r="D255" s="1874" t="s">
        <v>3202</v>
      </c>
      <c r="E255" s="1874" t="s">
        <v>3203</v>
      </c>
      <c r="F255" s="1874" t="s">
        <v>659</v>
      </c>
      <c r="G255" s="1874" t="s">
        <v>22</v>
      </c>
      <c r="H255" s="1874" t="s">
        <v>22</v>
      </c>
      <c r="I255" s="1874" t="s">
        <v>951</v>
      </c>
    </row>
    <row customHeight="1" ht="11.25">
      <c r="A256" s="1874" t="s">
        <v>2582</v>
      </c>
      <c r="B256" s="1874" t="s">
        <v>16</v>
      </c>
      <c r="C256" s="1874" t="s">
        <v>2671</v>
      </c>
      <c r="D256" s="1874" t="s">
        <v>2672</v>
      </c>
      <c r="E256" s="1874" t="s">
        <v>2673</v>
      </c>
      <c r="F256" s="1874" t="s">
        <v>51</v>
      </c>
      <c r="G256" s="1874" t="s">
        <v>2674</v>
      </c>
      <c r="H256" s="1874" t="s">
        <v>22</v>
      </c>
      <c r="I256" s="1874" t="s">
        <v>951</v>
      </c>
    </row>
    <row customHeight="1" ht="11.25">
      <c r="A257" s="1874" t="s">
        <v>2582</v>
      </c>
      <c r="B257" s="1874" t="s">
        <v>16</v>
      </c>
      <c r="C257" s="1874" t="s">
        <v>22</v>
      </c>
      <c r="D257" s="1874" t="s">
        <v>2675</v>
      </c>
      <c r="E257" s="1874" t="s">
        <v>2676</v>
      </c>
      <c r="F257" s="1874" t="s">
        <v>51</v>
      </c>
      <c r="G257" s="1874" t="s">
        <v>22</v>
      </c>
      <c r="H257" s="1874" t="s">
        <v>22</v>
      </c>
      <c r="I257" s="1874" t="s">
        <v>951</v>
      </c>
    </row>
    <row customHeight="1" ht="11.25">
      <c r="A258" s="1874" t="s">
        <v>2582</v>
      </c>
      <c r="B258" s="1874" t="s">
        <v>16</v>
      </c>
      <c r="C258" s="1874" t="s">
        <v>3204</v>
      </c>
      <c r="D258" s="1874" t="s">
        <v>3205</v>
      </c>
      <c r="E258" s="1874" t="s">
        <v>3206</v>
      </c>
      <c r="F258" s="1874" t="s">
        <v>2698</v>
      </c>
      <c r="G258" s="1874" t="s">
        <v>3207</v>
      </c>
      <c r="H258" s="1874" t="s">
        <v>22</v>
      </c>
      <c r="I258" s="1874" t="s">
        <v>951</v>
      </c>
    </row>
    <row customHeight="1" ht="11.25">
      <c r="A259" s="1874" t="s">
        <v>2582</v>
      </c>
      <c r="B259" s="1874" t="s">
        <v>16</v>
      </c>
      <c r="C259" s="1874" t="s">
        <v>3208</v>
      </c>
      <c r="D259" s="1874" t="s">
        <v>3209</v>
      </c>
      <c r="E259" s="1874" t="s">
        <v>3210</v>
      </c>
      <c r="F259" s="1874" t="s">
        <v>2698</v>
      </c>
      <c r="G259" s="1874" t="s">
        <v>3211</v>
      </c>
      <c r="H259" s="1874" t="s">
        <v>22</v>
      </c>
      <c r="I259" s="1874" t="s">
        <v>951</v>
      </c>
    </row>
    <row customHeight="1" ht="11.25">
      <c r="A260" s="1874" t="s">
        <v>2582</v>
      </c>
      <c r="B260" s="1874" t="s">
        <v>16</v>
      </c>
      <c r="C260" s="1874" t="s">
        <v>2677</v>
      </c>
      <c r="D260" s="1874" t="s">
        <v>2678</v>
      </c>
      <c r="E260" s="1874" t="s">
        <v>2679</v>
      </c>
      <c r="F260" s="1874" t="s">
        <v>2680</v>
      </c>
      <c r="G260" s="1874" t="s">
        <v>2681</v>
      </c>
      <c r="H260" s="1874" t="s">
        <v>22</v>
      </c>
      <c r="I260" s="1874" t="s">
        <v>951</v>
      </c>
    </row>
    <row customHeight="1" ht="11.25">
      <c r="A261" s="1874" t="s">
        <v>2582</v>
      </c>
      <c r="B261" s="1874" t="s">
        <v>16</v>
      </c>
      <c r="C261" s="1874" t="s">
        <v>3212</v>
      </c>
      <c r="D261" s="1874" t="s">
        <v>3213</v>
      </c>
      <c r="E261" s="1874" t="s">
        <v>3214</v>
      </c>
      <c r="F261" s="1874" t="s">
        <v>2689</v>
      </c>
      <c r="G261" s="1874" t="s">
        <v>3215</v>
      </c>
      <c r="H261" s="1874" t="s">
        <v>22</v>
      </c>
      <c r="I261" s="1874" t="s">
        <v>951</v>
      </c>
    </row>
    <row customHeight="1" ht="11.25">
      <c r="A262" s="1874" t="s">
        <v>2582</v>
      </c>
      <c r="B262" s="1874" t="s">
        <v>16</v>
      </c>
      <c r="C262" s="1874" t="s">
        <v>2682</v>
      </c>
      <c r="D262" s="1874" t="s">
        <v>2683</v>
      </c>
      <c r="E262" s="1874" t="s">
        <v>2684</v>
      </c>
      <c r="F262" s="1874" t="s">
        <v>2685</v>
      </c>
      <c r="G262" s="1874" t="s">
        <v>22</v>
      </c>
      <c r="H262" s="1874" t="s">
        <v>22</v>
      </c>
      <c r="I262" s="1874" t="s">
        <v>951</v>
      </c>
    </row>
    <row customHeight="1" ht="11.25">
      <c r="A263" s="1874" t="s">
        <v>2582</v>
      </c>
      <c r="B263" s="1874" t="s">
        <v>16</v>
      </c>
      <c r="C263" s="1874" t="s">
        <v>2686</v>
      </c>
      <c r="D263" s="1874" t="s">
        <v>2687</v>
      </c>
      <c r="E263" s="1874" t="s">
        <v>2688</v>
      </c>
      <c r="F263" s="1874" t="s">
        <v>2689</v>
      </c>
      <c r="G263" s="1874" t="s">
        <v>2690</v>
      </c>
      <c r="H263" s="1874" t="s">
        <v>22</v>
      </c>
      <c r="I263" s="1874" t="s">
        <v>951</v>
      </c>
    </row>
    <row customHeight="1" ht="11.25">
      <c r="A264" s="1874" t="s">
        <v>2582</v>
      </c>
      <c r="B264" s="1874" t="s">
        <v>16</v>
      </c>
      <c r="C264" s="1874" t="s">
        <v>3216</v>
      </c>
      <c r="D264" s="1874" t="s">
        <v>3217</v>
      </c>
      <c r="E264" s="1874" t="s">
        <v>3218</v>
      </c>
      <c r="F264" s="1874" t="s">
        <v>2689</v>
      </c>
      <c r="G264" s="1874" t="s">
        <v>3219</v>
      </c>
      <c r="H264" s="1874" t="s">
        <v>22</v>
      </c>
      <c r="I264" s="1874" t="s">
        <v>951</v>
      </c>
    </row>
    <row customHeight="1" ht="11.25">
      <c r="A265" s="1874" t="s">
        <v>2582</v>
      </c>
      <c r="B265" s="1874" t="s">
        <v>16</v>
      </c>
      <c r="C265" s="1874" t="s">
        <v>2695</v>
      </c>
      <c r="D265" s="1874" t="s">
        <v>2696</v>
      </c>
      <c r="E265" s="1874" t="s">
        <v>2697</v>
      </c>
      <c r="F265" s="1874" t="s">
        <v>2698</v>
      </c>
      <c r="G265" s="1874" t="s">
        <v>2699</v>
      </c>
      <c r="H265" s="1874" t="s">
        <v>22</v>
      </c>
      <c r="I265" s="1874" t="s">
        <v>951</v>
      </c>
    </row>
    <row customHeight="1" ht="11.25">
      <c r="A266" s="1874" t="s">
        <v>2582</v>
      </c>
      <c r="B266" s="1874" t="s">
        <v>16</v>
      </c>
      <c r="C266" s="1874" t="s">
        <v>2700</v>
      </c>
      <c r="D266" s="1874" t="s">
        <v>2701</v>
      </c>
      <c r="E266" s="1874" t="s">
        <v>2702</v>
      </c>
      <c r="F266" s="1874" t="s">
        <v>2637</v>
      </c>
      <c r="G266" s="1874" t="s">
        <v>22</v>
      </c>
      <c r="H266" s="1874" t="s">
        <v>22</v>
      </c>
      <c r="I266" s="1874" t="s">
        <v>951</v>
      </c>
    </row>
    <row customHeight="1" ht="11.25">
      <c r="A267" s="1874" t="s">
        <v>2582</v>
      </c>
      <c r="B267" s="1874" t="s">
        <v>16</v>
      </c>
      <c r="C267" s="1874" t="s">
        <v>2703</v>
      </c>
      <c r="D267" s="1874" t="s">
        <v>2701</v>
      </c>
      <c r="E267" s="1874" t="s">
        <v>2704</v>
      </c>
      <c r="F267" s="1874" t="s">
        <v>2659</v>
      </c>
      <c r="G267" s="1874" t="s">
        <v>2705</v>
      </c>
      <c r="H267" s="1874" t="s">
        <v>22</v>
      </c>
      <c r="I267" s="1874" t="s">
        <v>951</v>
      </c>
    </row>
    <row customHeight="1" ht="11.25">
      <c r="A268" s="1874" t="s">
        <v>2582</v>
      </c>
      <c r="B268" s="1874" t="s">
        <v>16</v>
      </c>
      <c r="C268" s="1874" t="s">
        <v>3220</v>
      </c>
      <c r="D268" s="1874" t="s">
        <v>3221</v>
      </c>
      <c r="E268" s="1874" t="s">
        <v>3222</v>
      </c>
      <c r="F268" s="1874" t="s">
        <v>2735</v>
      </c>
      <c r="G268" s="1874" t="s">
        <v>3223</v>
      </c>
      <c r="H268" s="1874" t="s">
        <v>22</v>
      </c>
      <c r="I268" s="1874" t="s">
        <v>951</v>
      </c>
    </row>
    <row customHeight="1" ht="11.25">
      <c r="A269" s="1874" t="s">
        <v>2582</v>
      </c>
      <c r="B269" s="1874" t="s">
        <v>16</v>
      </c>
      <c r="C269" s="1874" t="s">
        <v>3224</v>
      </c>
      <c r="D269" s="1874" t="s">
        <v>3225</v>
      </c>
      <c r="E269" s="1874" t="s">
        <v>3226</v>
      </c>
      <c r="F269" s="1874" t="s">
        <v>2709</v>
      </c>
      <c r="G269" s="1874" t="s">
        <v>22</v>
      </c>
      <c r="H269" s="1874" t="s">
        <v>22</v>
      </c>
      <c r="I269" s="1874" t="s">
        <v>951</v>
      </c>
    </row>
    <row customHeight="1" ht="11.25">
      <c r="A270" s="1874" t="s">
        <v>2582</v>
      </c>
      <c r="B270" s="1874" t="s">
        <v>16</v>
      </c>
      <c r="C270" s="1874" t="s">
        <v>3227</v>
      </c>
      <c r="D270" s="1874" t="s">
        <v>3228</v>
      </c>
      <c r="E270" s="1874" t="s">
        <v>3229</v>
      </c>
      <c r="F270" s="1874" t="s">
        <v>2778</v>
      </c>
      <c r="G270" s="1874" t="s">
        <v>22</v>
      </c>
      <c r="H270" s="1874" t="s">
        <v>22</v>
      </c>
      <c r="I270" s="1874" t="s">
        <v>951</v>
      </c>
    </row>
    <row customHeight="1" ht="11.25">
      <c r="A271" s="1874" t="s">
        <v>2582</v>
      </c>
      <c r="B271" s="1874" t="s">
        <v>16</v>
      </c>
      <c r="C271" s="1874" t="s">
        <v>2710</v>
      </c>
      <c r="D271" s="1874" t="s">
        <v>2711</v>
      </c>
      <c r="E271" s="1874" t="s">
        <v>2712</v>
      </c>
      <c r="F271" s="1874" t="s">
        <v>2655</v>
      </c>
      <c r="G271" s="1874" t="s">
        <v>2713</v>
      </c>
      <c r="H271" s="1874" t="s">
        <v>22</v>
      </c>
      <c r="I271" s="1874" t="s">
        <v>951</v>
      </c>
    </row>
    <row customHeight="1" ht="11.25">
      <c r="A272" s="1874" t="s">
        <v>2582</v>
      </c>
      <c r="B272" s="1874" t="s">
        <v>16</v>
      </c>
      <c r="C272" s="1874" t="s">
        <v>2714</v>
      </c>
      <c r="D272" s="1874" t="s">
        <v>2715</v>
      </c>
      <c r="E272" s="1874" t="s">
        <v>2716</v>
      </c>
      <c r="F272" s="1874" t="s">
        <v>2698</v>
      </c>
      <c r="G272" s="1874" t="s">
        <v>22</v>
      </c>
      <c r="H272" s="1874" t="s">
        <v>22</v>
      </c>
      <c r="I272" s="1874" t="s">
        <v>951</v>
      </c>
    </row>
    <row customHeight="1" ht="11.25">
      <c r="A273" s="1874" t="s">
        <v>2582</v>
      </c>
      <c r="B273" s="1874" t="s">
        <v>16</v>
      </c>
      <c r="C273" s="1874" t="s">
        <v>2721</v>
      </c>
      <c r="D273" s="1874" t="s">
        <v>2722</v>
      </c>
      <c r="E273" s="1874" t="s">
        <v>2723</v>
      </c>
      <c r="F273" s="1874" t="s">
        <v>2680</v>
      </c>
      <c r="G273" s="1874" t="s">
        <v>22</v>
      </c>
      <c r="H273" s="1874" t="s">
        <v>22</v>
      </c>
      <c r="I273" s="1874" t="s">
        <v>951</v>
      </c>
    </row>
    <row customHeight="1" ht="11.25">
      <c r="A274" s="1874" t="s">
        <v>2582</v>
      </c>
      <c r="B274" s="1874" t="s">
        <v>16</v>
      </c>
      <c r="C274" s="1874" t="s">
        <v>2724</v>
      </c>
      <c r="D274" s="1874" t="s">
        <v>2725</v>
      </c>
      <c r="E274" s="1874" t="s">
        <v>2726</v>
      </c>
      <c r="F274" s="1874" t="s">
        <v>2727</v>
      </c>
      <c r="G274" s="1874" t="s">
        <v>22</v>
      </c>
      <c r="H274" s="1874" t="s">
        <v>22</v>
      </c>
      <c r="I274" s="1874" t="s">
        <v>951</v>
      </c>
    </row>
    <row customHeight="1" ht="11.25">
      <c r="A275" s="1874" t="s">
        <v>2582</v>
      </c>
      <c r="B275" s="1874" t="s">
        <v>16</v>
      </c>
      <c r="C275" s="1874" t="s">
        <v>2728</v>
      </c>
      <c r="D275" s="1874" t="s">
        <v>2729</v>
      </c>
      <c r="E275" s="1874" t="s">
        <v>2730</v>
      </c>
      <c r="F275" s="1874" t="s">
        <v>2709</v>
      </c>
      <c r="G275" s="1874" t="s">
        <v>2731</v>
      </c>
      <c r="H275" s="1874" t="s">
        <v>22</v>
      </c>
      <c r="I275" s="1874" t="s">
        <v>951</v>
      </c>
    </row>
    <row customHeight="1" ht="11.25">
      <c r="A276" s="1874" t="s">
        <v>2582</v>
      </c>
      <c r="B276" s="1874" t="s">
        <v>16</v>
      </c>
      <c r="C276" s="1874" t="s">
        <v>2732</v>
      </c>
      <c r="D276" s="1874" t="s">
        <v>2733</v>
      </c>
      <c r="E276" s="1874" t="s">
        <v>2734</v>
      </c>
      <c r="F276" s="1874" t="s">
        <v>2735</v>
      </c>
      <c r="G276" s="1874" t="s">
        <v>22</v>
      </c>
      <c r="H276" s="1874" t="s">
        <v>22</v>
      </c>
      <c r="I276" s="1874" t="s">
        <v>951</v>
      </c>
    </row>
    <row customHeight="1" ht="11.25">
      <c r="A277" s="1874" t="s">
        <v>2582</v>
      </c>
      <c r="B277" s="1874" t="s">
        <v>16</v>
      </c>
      <c r="C277" s="1874" t="s">
        <v>2736</v>
      </c>
      <c r="D277" s="1874" t="s">
        <v>2737</v>
      </c>
      <c r="E277" s="1874" t="s">
        <v>2738</v>
      </c>
      <c r="F277" s="1874" t="s">
        <v>2735</v>
      </c>
      <c r="G277" s="1874" t="s">
        <v>2739</v>
      </c>
      <c r="H277" s="1874" t="s">
        <v>22</v>
      </c>
      <c r="I277" s="1874" t="s">
        <v>951</v>
      </c>
    </row>
    <row customHeight="1" ht="11.25">
      <c r="A278" s="1874" t="s">
        <v>2582</v>
      </c>
      <c r="B278" s="1874" t="s">
        <v>16</v>
      </c>
      <c r="C278" s="1874" t="s">
        <v>2740</v>
      </c>
      <c r="D278" s="1874" t="s">
        <v>2741</v>
      </c>
      <c r="E278" s="1874" t="s">
        <v>2742</v>
      </c>
      <c r="F278" s="1874" t="s">
        <v>2709</v>
      </c>
      <c r="G278" s="1874" t="s">
        <v>22</v>
      </c>
      <c r="H278" s="1874" t="s">
        <v>22</v>
      </c>
      <c r="I278" s="1874" t="s">
        <v>951</v>
      </c>
    </row>
    <row customHeight="1" ht="11.25">
      <c r="A279" s="1874" t="s">
        <v>2582</v>
      </c>
      <c r="B279" s="1874" t="s">
        <v>16</v>
      </c>
      <c r="C279" s="1874" t="s">
        <v>2743</v>
      </c>
      <c r="D279" s="1874" t="s">
        <v>2744</v>
      </c>
      <c r="E279" s="1874" t="s">
        <v>2745</v>
      </c>
      <c r="F279" s="1874" t="s">
        <v>2746</v>
      </c>
      <c r="G279" s="1874" t="s">
        <v>2747</v>
      </c>
      <c r="H279" s="1874" t="s">
        <v>22</v>
      </c>
      <c r="I279" s="1874" t="s">
        <v>951</v>
      </c>
    </row>
    <row customHeight="1" ht="11.25">
      <c r="A280" s="1874" t="s">
        <v>2582</v>
      </c>
      <c r="B280" s="1874" t="s">
        <v>16</v>
      </c>
      <c r="C280" s="1874" t="s">
        <v>3230</v>
      </c>
      <c r="D280" s="1874" t="s">
        <v>3231</v>
      </c>
      <c r="E280" s="1874" t="s">
        <v>3232</v>
      </c>
      <c r="F280" s="1874" t="s">
        <v>2709</v>
      </c>
      <c r="G280" s="1874" t="s">
        <v>3233</v>
      </c>
      <c r="H280" s="1874" t="s">
        <v>22</v>
      </c>
      <c r="I280" s="1874" t="s">
        <v>951</v>
      </c>
    </row>
    <row customHeight="1" ht="11.25">
      <c r="A281" s="1874" t="s">
        <v>2582</v>
      </c>
      <c r="B281" s="1874" t="s">
        <v>16</v>
      </c>
      <c r="C281" s="1874" t="s">
        <v>3234</v>
      </c>
      <c r="D281" s="1874" t="s">
        <v>3235</v>
      </c>
      <c r="E281" s="1874" t="s">
        <v>3236</v>
      </c>
      <c r="F281" s="1874" t="s">
        <v>2746</v>
      </c>
      <c r="G281" s="1874" t="s">
        <v>3237</v>
      </c>
      <c r="H281" s="1874" t="s">
        <v>22</v>
      </c>
      <c r="I281" s="1874" t="s">
        <v>951</v>
      </c>
    </row>
    <row customHeight="1" ht="11.25">
      <c r="A282" s="1874" t="s">
        <v>2582</v>
      </c>
      <c r="B282" s="1874" t="s">
        <v>16</v>
      </c>
      <c r="C282" s="1874" t="s">
        <v>2752</v>
      </c>
      <c r="D282" s="1874" t="s">
        <v>2753</v>
      </c>
      <c r="E282" s="1874" t="s">
        <v>2754</v>
      </c>
      <c r="F282" s="1874" t="s">
        <v>2755</v>
      </c>
      <c r="G282" s="1874" t="s">
        <v>22</v>
      </c>
      <c r="H282" s="1874" t="s">
        <v>22</v>
      </c>
      <c r="I282" s="1874" t="s">
        <v>951</v>
      </c>
    </row>
    <row customHeight="1" ht="11.25">
      <c r="A283" s="1874" t="s">
        <v>2582</v>
      </c>
      <c r="B283" s="1874" t="s">
        <v>16</v>
      </c>
      <c r="C283" s="1874" t="s">
        <v>3238</v>
      </c>
      <c r="D283" s="1874" t="s">
        <v>3239</v>
      </c>
      <c r="E283" s="1874" t="s">
        <v>3240</v>
      </c>
      <c r="F283" s="1874" t="s">
        <v>2746</v>
      </c>
      <c r="G283" s="1874" t="s">
        <v>22</v>
      </c>
      <c r="H283" s="1874" t="s">
        <v>22</v>
      </c>
      <c r="I283" s="1874" t="s">
        <v>951</v>
      </c>
    </row>
    <row customHeight="1" ht="11.25">
      <c r="A284" s="1874" t="s">
        <v>2582</v>
      </c>
      <c r="B284" s="1874" t="s">
        <v>16</v>
      </c>
      <c r="C284" s="1874" t="s">
        <v>2760</v>
      </c>
      <c r="D284" s="1874" t="s">
        <v>2761</v>
      </c>
      <c r="E284" s="1874" t="s">
        <v>2762</v>
      </c>
      <c r="F284" s="1874" t="s">
        <v>2746</v>
      </c>
      <c r="G284" s="1874" t="s">
        <v>2763</v>
      </c>
      <c r="H284" s="1874" t="s">
        <v>2764</v>
      </c>
      <c r="I284" s="1874" t="s">
        <v>951</v>
      </c>
    </row>
    <row customHeight="1" ht="11.25">
      <c r="A285" s="1874" t="s">
        <v>2582</v>
      </c>
      <c r="B285" s="1874" t="s">
        <v>16</v>
      </c>
      <c r="C285" s="1874" t="s">
        <v>2765</v>
      </c>
      <c r="D285" s="1874" t="s">
        <v>2766</v>
      </c>
      <c r="E285" s="1874" t="s">
        <v>2767</v>
      </c>
      <c r="F285" s="1874" t="s">
        <v>2735</v>
      </c>
      <c r="G285" s="1874" t="s">
        <v>2768</v>
      </c>
      <c r="H285" s="1874" t="s">
        <v>22</v>
      </c>
      <c r="I285" s="1874" t="s">
        <v>951</v>
      </c>
    </row>
    <row customHeight="1" ht="11.25">
      <c r="A286" s="1874" t="s">
        <v>2582</v>
      </c>
      <c r="B286" s="1874" t="s">
        <v>16</v>
      </c>
      <c r="C286" s="1874" t="s">
        <v>2769</v>
      </c>
      <c r="D286" s="1874" t="s">
        <v>2770</v>
      </c>
      <c r="E286" s="1874" t="s">
        <v>2771</v>
      </c>
      <c r="F286" s="1874" t="s">
        <v>2735</v>
      </c>
      <c r="G286" s="1874" t="s">
        <v>22</v>
      </c>
      <c r="H286" s="1874" t="s">
        <v>22</v>
      </c>
      <c r="I286" s="1874" t="s">
        <v>951</v>
      </c>
    </row>
    <row customHeight="1" ht="11.25">
      <c r="A287" s="1874" t="s">
        <v>2582</v>
      </c>
      <c r="B287" s="1874" t="s">
        <v>16</v>
      </c>
      <c r="C287" s="1874" t="s">
        <v>3241</v>
      </c>
      <c r="D287" s="1874" t="s">
        <v>3242</v>
      </c>
      <c r="E287" s="1874" t="s">
        <v>3243</v>
      </c>
      <c r="F287" s="1874" t="s">
        <v>2698</v>
      </c>
      <c r="G287" s="1874" t="s">
        <v>3244</v>
      </c>
      <c r="H287" s="1874" t="s">
        <v>22</v>
      </c>
      <c r="I287" s="1874" t="s">
        <v>951</v>
      </c>
    </row>
    <row customHeight="1" ht="11.25">
      <c r="A288" s="1874" t="s">
        <v>2582</v>
      </c>
      <c r="B288" s="1874" t="s">
        <v>16</v>
      </c>
      <c r="C288" s="1874" t="s">
        <v>2772</v>
      </c>
      <c r="D288" s="1874" t="s">
        <v>2773</v>
      </c>
      <c r="E288" s="1874" t="s">
        <v>2774</v>
      </c>
      <c r="F288" s="1874" t="s">
        <v>2659</v>
      </c>
      <c r="G288" s="1874" t="s">
        <v>22</v>
      </c>
      <c r="H288" s="1874" t="s">
        <v>22</v>
      </c>
      <c r="I288" s="1874" t="s">
        <v>951</v>
      </c>
    </row>
    <row customHeight="1" ht="11.25">
      <c r="A289" s="1874" t="s">
        <v>2582</v>
      </c>
      <c r="B289" s="1874" t="s">
        <v>16</v>
      </c>
      <c r="C289" s="1874" t="s">
        <v>2779</v>
      </c>
      <c r="D289" s="1874" t="s">
        <v>2780</v>
      </c>
      <c r="E289" s="1874" t="s">
        <v>2781</v>
      </c>
      <c r="F289" s="1874" t="s">
        <v>2698</v>
      </c>
      <c r="G289" s="1874" t="s">
        <v>2782</v>
      </c>
      <c r="H289" s="1874" t="s">
        <v>22</v>
      </c>
      <c r="I289" s="1874" t="s">
        <v>951</v>
      </c>
    </row>
    <row customHeight="1" ht="11.25">
      <c r="A290" s="1874" t="s">
        <v>2582</v>
      </c>
      <c r="B290" s="1874" t="s">
        <v>16</v>
      </c>
      <c r="C290" s="1874" t="s">
        <v>2783</v>
      </c>
      <c r="D290" s="1874" t="s">
        <v>2784</v>
      </c>
      <c r="E290" s="1874" t="s">
        <v>2785</v>
      </c>
      <c r="F290" s="1874" t="s">
        <v>2735</v>
      </c>
      <c r="G290" s="1874" t="s">
        <v>2786</v>
      </c>
      <c r="H290" s="1874" t="s">
        <v>22</v>
      </c>
      <c r="I290" s="1874" t="s">
        <v>951</v>
      </c>
    </row>
    <row customHeight="1" ht="11.25">
      <c r="A291" s="1874" t="s">
        <v>2582</v>
      </c>
      <c r="B291" s="1874" t="s">
        <v>16</v>
      </c>
      <c r="C291" s="1874" t="s">
        <v>2790</v>
      </c>
      <c r="D291" s="1874" t="s">
        <v>2791</v>
      </c>
      <c r="E291" s="1874" t="s">
        <v>2792</v>
      </c>
      <c r="F291" s="1874" t="s">
        <v>2746</v>
      </c>
      <c r="G291" s="1874" t="s">
        <v>22</v>
      </c>
      <c r="H291" s="1874" t="s">
        <v>22</v>
      </c>
      <c r="I291" s="1874" t="s">
        <v>951</v>
      </c>
    </row>
    <row customHeight="1" ht="11.25">
      <c r="A292" s="1874" t="s">
        <v>2582</v>
      </c>
      <c r="B292" s="1874" t="s">
        <v>16</v>
      </c>
      <c r="C292" s="1874" t="s">
        <v>2793</v>
      </c>
      <c r="D292" s="1874" t="s">
        <v>2794</v>
      </c>
      <c r="E292" s="1874" t="s">
        <v>2795</v>
      </c>
      <c r="F292" s="1874" t="s">
        <v>2778</v>
      </c>
      <c r="G292" s="1874" t="s">
        <v>22</v>
      </c>
      <c r="H292" s="1874" t="s">
        <v>22</v>
      </c>
      <c r="I292" s="1874" t="s">
        <v>951</v>
      </c>
    </row>
    <row customHeight="1" ht="11.25">
      <c r="A293" s="1874" t="s">
        <v>2582</v>
      </c>
      <c r="B293" s="1874" t="s">
        <v>16</v>
      </c>
      <c r="C293" s="1874" t="s">
        <v>2796</v>
      </c>
      <c r="D293" s="1874" t="s">
        <v>2797</v>
      </c>
      <c r="E293" s="1874" t="s">
        <v>2798</v>
      </c>
      <c r="F293" s="1874" t="s">
        <v>2735</v>
      </c>
      <c r="G293" s="1874" t="s">
        <v>2799</v>
      </c>
      <c r="H293" s="1874" t="s">
        <v>22</v>
      </c>
      <c r="I293" s="1874" t="s">
        <v>951</v>
      </c>
    </row>
    <row customHeight="1" ht="11.25">
      <c r="A294" s="1874" t="s">
        <v>2582</v>
      </c>
      <c r="B294" s="1874" t="s">
        <v>16</v>
      </c>
      <c r="C294" s="1874" t="s">
        <v>2804</v>
      </c>
      <c r="D294" s="1874" t="s">
        <v>2805</v>
      </c>
      <c r="E294" s="1874" t="s">
        <v>2806</v>
      </c>
      <c r="F294" s="1874" t="s">
        <v>2746</v>
      </c>
      <c r="G294" s="1874" t="s">
        <v>2807</v>
      </c>
      <c r="H294" s="1874" t="s">
        <v>22</v>
      </c>
      <c r="I294" s="1874" t="s">
        <v>951</v>
      </c>
    </row>
    <row customHeight="1" ht="11.25">
      <c r="A295" s="1874" t="s">
        <v>2582</v>
      </c>
      <c r="B295" s="1874" t="s">
        <v>16</v>
      </c>
      <c r="C295" s="1874" t="s">
        <v>2808</v>
      </c>
      <c r="D295" s="1874" t="s">
        <v>2805</v>
      </c>
      <c r="E295" s="1874" t="s">
        <v>2809</v>
      </c>
      <c r="F295" s="1874" t="s">
        <v>2637</v>
      </c>
      <c r="G295" s="1874" t="s">
        <v>2810</v>
      </c>
      <c r="H295" s="1874" t="s">
        <v>22</v>
      </c>
      <c r="I295" s="1874" t="s">
        <v>951</v>
      </c>
    </row>
    <row customHeight="1" ht="11.25">
      <c r="A296" s="1874" t="s">
        <v>2582</v>
      </c>
      <c r="B296" s="1874" t="s">
        <v>16</v>
      </c>
      <c r="C296" s="1874" t="s">
        <v>2811</v>
      </c>
      <c r="D296" s="1874" t="s">
        <v>2812</v>
      </c>
      <c r="E296" s="1874" t="s">
        <v>2813</v>
      </c>
      <c r="F296" s="1874" t="s">
        <v>2727</v>
      </c>
      <c r="G296" s="1874" t="s">
        <v>22</v>
      </c>
      <c r="H296" s="1874" t="s">
        <v>22</v>
      </c>
      <c r="I296" s="1874" t="s">
        <v>951</v>
      </c>
    </row>
    <row customHeight="1" ht="11.25">
      <c r="A297" s="1874" t="s">
        <v>2582</v>
      </c>
      <c r="B297" s="1874" t="s">
        <v>16</v>
      </c>
      <c r="C297" s="1874" t="s">
        <v>2814</v>
      </c>
      <c r="D297" s="1874" t="s">
        <v>2815</v>
      </c>
      <c r="E297" s="1874" t="s">
        <v>2816</v>
      </c>
      <c r="F297" s="1874" t="s">
        <v>2727</v>
      </c>
      <c r="G297" s="1874" t="s">
        <v>2817</v>
      </c>
      <c r="H297" s="1874" t="s">
        <v>22</v>
      </c>
      <c r="I297" s="1874" t="s">
        <v>951</v>
      </c>
    </row>
    <row customHeight="1" ht="11.25">
      <c r="A298" s="1874" t="s">
        <v>2582</v>
      </c>
      <c r="B298" s="1874" t="s">
        <v>16</v>
      </c>
      <c r="C298" s="1874" t="s">
        <v>2818</v>
      </c>
      <c r="D298" s="1874" t="s">
        <v>2819</v>
      </c>
      <c r="E298" s="1874" t="s">
        <v>2820</v>
      </c>
      <c r="F298" s="1874" t="s">
        <v>2689</v>
      </c>
      <c r="G298" s="1874" t="s">
        <v>22</v>
      </c>
      <c r="H298" s="1874" t="s">
        <v>22</v>
      </c>
      <c r="I298" s="1874" t="s">
        <v>951</v>
      </c>
    </row>
    <row customHeight="1" ht="11.25">
      <c r="A299" s="1874" t="s">
        <v>2582</v>
      </c>
      <c r="B299" s="1874" t="s">
        <v>16</v>
      </c>
      <c r="C299" s="1874" t="s">
        <v>2821</v>
      </c>
      <c r="D299" s="1874" t="s">
        <v>2822</v>
      </c>
      <c r="E299" s="1874" t="s">
        <v>2823</v>
      </c>
      <c r="F299" s="1874" t="s">
        <v>2698</v>
      </c>
      <c r="G299" s="1874" t="s">
        <v>2824</v>
      </c>
      <c r="H299" s="1874" t="s">
        <v>22</v>
      </c>
      <c r="I299" s="1874" t="s">
        <v>951</v>
      </c>
    </row>
    <row customHeight="1" ht="11.25">
      <c r="A300" s="1874" t="s">
        <v>2582</v>
      </c>
      <c r="B300" s="1874" t="s">
        <v>16</v>
      </c>
      <c r="C300" s="1874" t="s">
        <v>2825</v>
      </c>
      <c r="D300" s="1874" t="s">
        <v>2826</v>
      </c>
      <c r="E300" s="1874" t="s">
        <v>2827</v>
      </c>
      <c r="F300" s="1874" t="s">
        <v>2698</v>
      </c>
      <c r="G300" s="1874" t="s">
        <v>2828</v>
      </c>
      <c r="H300" s="1874" t="s">
        <v>22</v>
      </c>
      <c r="I300" s="1874" t="s">
        <v>951</v>
      </c>
    </row>
    <row customHeight="1" ht="11.25">
      <c r="A301" s="1874" t="s">
        <v>2582</v>
      </c>
      <c r="B301" s="1874" t="s">
        <v>16</v>
      </c>
      <c r="C301" s="1874" t="s">
        <v>2829</v>
      </c>
      <c r="D301" s="1874" t="s">
        <v>2830</v>
      </c>
      <c r="E301" s="1874" t="s">
        <v>2831</v>
      </c>
      <c r="F301" s="1874" t="s">
        <v>2689</v>
      </c>
      <c r="G301" s="1874" t="s">
        <v>2832</v>
      </c>
      <c r="H301" s="1874" t="s">
        <v>22</v>
      </c>
      <c r="I301" s="1874" t="s">
        <v>951</v>
      </c>
    </row>
    <row customHeight="1" ht="11.25">
      <c r="A302" s="1874" t="s">
        <v>2582</v>
      </c>
      <c r="B302" s="1874" t="s">
        <v>16</v>
      </c>
      <c r="C302" s="1874" t="s">
        <v>2833</v>
      </c>
      <c r="D302" s="1874" t="s">
        <v>2834</v>
      </c>
      <c r="E302" s="1874" t="s">
        <v>2835</v>
      </c>
      <c r="F302" s="1874" t="s">
        <v>2709</v>
      </c>
      <c r="G302" s="1874" t="s">
        <v>2836</v>
      </c>
      <c r="H302" s="1874" t="s">
        <v>22</v>
      </c>
      <c r="I302" s="1874" t="s">
        <v>951</v>
      </c>
    </row>
    <row customHeight="1" ht="11.25">
      <c r="A303" s="1874" t="s">
        <v>2582</v>
      </c>
      <c r="B303" s="1874" t="s">
        <v>16</v>
      </c>
      <c r="C303" s="1874" t="s">
        <v>3245</v>
      </c>
      <c r="D303" s="1874" t="s">
        <v>3246</v>
      </c>
      <c r="E303" s="1874" t="s">
        <v>3247</v>
      </c>
      <c r="F303" s="1874" t="s">
        <v>51</v>
      </c>
      <c r="G303" s="1874" t="s">
        <v>22</v>
      </c>
      <c r="H303" s="1874" t="s">
        <v>22</v>
      </c>
      <c r="I303" s="1874" t="s">
        <v>951</v>
      </c>
    </row>
    <row customHeight="1" ht="11.25">
      <c r="A304" s="1874" t="s">
        <v>2582</v>
      </c>
      <c r="B304" s="1874" t="s">
        <v>16</v>
      </c>
      <c r="C304" s="1874" t="s">
        <v>2840</v>
      </c>
      <c r="D304" s="1874" t="s">
        <v>2841</v>
      </c>
      <c r="E304" s="1874" t="s">
        <v>2842</v>
      </c>
      <c r="F304" s="1874" t="s">
        <v>2755</v>
      </c>
      <c r="G304" s="1874" t="s">
        <v>22</v>
      </c>
      <c r="H304" s="1874" t="s">
        <v>22</v>
      </c>
      <c r="I304" s="1874" t="s">
        <v>951</v>
      </c>
    </row>
    <row customHeight="1" ht="11.25">
      <c r="A305" s="1874" t="s">
        <v>2582</v>
      </c>
      <c r="B305" s="1874" t="s">
        <v>16</v>
      </c>
      <c r="C305" s="1874" t="s">
        <v>2846</v>
      </c>
      <c r="D305" s="1874" t="s">
        <v>2847</v>
      </c>
      <c r="E305" s="1874" t="s">
        <v>2848</v>
      </c>
      <c r="F305" s="1874" t="s">
        <v>2637</v>
      </c>
      <c r="G305" s="1874" t="s">
        <v>2849</v>
      </c>
      <c r="H305" s="1874" t="s">
        <v>22</v>
      </c>
      <c r="I305" s="1874" t="s">
        <v>951</v>
      </c>
    </row>
    <row customHeight="1" ht="11.25">
      <c r="A306" s="1874" t="s">
        <v>2582</v>
      </c>
      <c r="B306" s="1874" t="s">
        <v>16</v>
      </c>
      <c r="C306" s="1874" t="s">
        <v>2850</v>
      </c>
      <c r="D306" s="1874" t="s">
        <v>2851</v>
      </c>
      <c r="E306" s="1874" t="s">
        <v>2852</v>
      </c>
      <c r="F306" s="1874" t="s">
        <v>2689</v>
      </c>
      <c r="G306" s="1874" t="s">
        <v>22</v>
      </c>
      <c r="H306" s="1874" t="s">
        <v>22</v>
      </c>
      <c r="I306" s="1874" t="s">
        <v>951</v>
      </c>
    </row>
    <row customHeight="1" ht="11.25">
      <c r="A307" s="1874" t="s">
        <v>2582</v>
      </c>
      <c r="B307" s="1874" t="s">
        <v>16</v>
      </c>
      <c r="C307" s="1874" t="s">
        <v>2853</v>
      </c>
      <c r="D307" s="1874" t="s">
        <v>2854</v>
      </c>
      <c r="E307" s="1874" t="s">
        <v>2855</v>
      </c>
      <c r="F307" s="1874" t="s">
        <v>2735</v>
      </c>
      <c r="G307" s="1874" t="s">
        <v>22</v>
      </c>
      <c r="H307" s="1874" t="s">
        <v>22</v>
      </c>
      <c r="I307" s="1874" t="s">
        <v>951</v>
      </c>
    </row>
    <row customHeight="1" ht="11.25">
      <c r="A308" s="1874" t="s">
        <v>2582</v>
      </c>
      <c r="B308" s="1874" t="s">
        <v>16</v>
      </c>
      <c r="C308" s="1874" t="s">
        <v>2859</v>
      </c>
      <c r="D308" s="1874" t="s">
        <v>2860</v>
      </c>
      <c r="E308" s="1874" t="s">
        <v>2662</v>
      </c>
      <c r="F308" s="1874" t="s">
        <v>2861</v>
      </c>
      <c r="G308" s="1874" t="s">
        <v>22</v>
      </c>
      <c r="H308" s="1874" t="s">
        <v>22</v>
      </c>
      <c r="I308" s="1874" t="s">
        <v>951</v>
      </c>
    </row>
    <row customHeight="1" ht="11.25">
      <c r="A309" s="1874" t="s">
        <v>2582</v>
      </c>
      <c r="B309" s="1874" t="s">
        <v>16</v>
      </c>
      <c r="C309" s="1874" t="s">
        <v>2866</v>
      </c>
      <c r="D309" s="1874" t="s">
        <v>2867</v>
      </c>
      <c r="E309" s="1874" t="s">
        <v>2868</v>
      </c>
      <c r="F309" s="1874" t="s">
        <v>2869</v>
      </c>
      <c r="G309" s="1874" t="s">
        <v>2870</v>
      </c>
      <c r="H309" s="1874" t="s">
        <v>22</v>
      </c>
      <c r="I309" s="1874" t="s">
        <v>951</v>
      </c>
    </row>
    <row customHeight="1" ht="11.25">
      <c r="A310" s="1874" t="s">
        <v>2582</v>
      </c>
      <c r="B310" s="1874" t="s">
        <v>16</v>
      </c>
      <c r="C310" s="1874" t="s">
        <v>2871</v>
      </c>
      <c r="D310" s="1874" t="s">
        <v>2872</v>
      </c>
      <c r="E310" s="1874" t="s">
        <v>2873</v>
      </c>
      <c r="F310" s="1874" t="s">
        <v>2637</v>
      </c>
      <c r="G310" s="1874" t="s">
        <v>22</v>
      </c>
      <c r="H310" s="1874" t="s">
        <v>22</v>
      </c>
      <c r="I310" s="1874" t="s">
        <v>951</v>
      </c>
    </row>
    <row customHeight="1" ht="11.25">
      <c r="A311" s="1874" t="s">
        <v>2582</v>
      </c>
      <c r="B311" s="1874" t="s">
        <v>16</v>
      </c>
      <c r="C311" s="1874" t="s">
        <v>2874</v>
      </c>
      <c r="D311" s="1874" t="s">
        <v>2875</v>
      </c>
      <c r="E311" s="1874" t="s">
        <v>2876</v>
      </c>
      <c r="F311" s="1874" t="s">
        <v>2689</v>
      </c>
      <c r="G311" s="1874" t="s">
        <v>22</v>
      </c>
      <c r="H311" s="1874" t="s">
        <v>22</v>
      </c>
      <c r="I311" s="1874" t="s">
        <v>951</v>
      </c>
    </row>
    <row customHeight="1" ht="11.25">
      <c r="A312" s="1874" t="s">
        <v>2582</v>
      </c>
      <c r="B312" s="1874" t="s">
        <v>16</v>
      </c>
      <c r="C312" s="1874" t="s">
        <v>2877</v>
      </c>
      <c r="D312" s="1874" t="s">
        <v>2878</v>
      </c>
      <c r="E312" s="1874" t="s">
        <v>2879</v>
      </c>
      <c r="F312" s="1874" t="s">
        <v>2689</v>
      </c>
      <c r="G312" s="1874" t="s">
        <v>22</v>
      </c>
      <c r="H312" s="1874" t="s">
        <v>22</v>
      </c>
      <c r="I312" s="1874" t="s">
        <v>951</v>
      </c>
    </row>
    <row customHeight="1" ht="11.25">
      <c r="A313" s="1874" t="s">
        <v>2582</v>
      </c>
      <c r="B313" s="1874" t="s">
        <v>16</v>
      </c>
      <c r="C313" s="1874" t="s">
        <v>3248</v>
      </c>
      <c r="D313" s="1874" t="s">
        <v>3249</v>
      </c>
      <c r="E313" s="1874" t="s">
        <v>3250</v>
      </c>
      <c r="F313" s="1874" t="s">
        <v>2911</v>
      </c>
      <c r="G313" s="1874" t="s">
        <v>22</v>
      </c>
      <c r="H313" s="1874" t="s">
        <v>3251</v>
      </c>
      <c r="I313" s="1874" t="s">
        <v>951</v>
      </c>
    </row>
    <row customHeight="1" ht="11.25">
      <c r="A314" s="1874" t="s">
        <v>2582</v>
      </c>
      <c r="B314" s="1874" t="s">
        <v>16</v>
      </c>
      <c r="C314" s="1874" t="s">
        <v>3252</v>
      </c>
      <c r="D314" s="1874" t="s">
        <v>3253</v>
      </c>
      <c r="E314" s="1874" t="s">
        <v>3254</v>
      </c>
      <c r="F314" s="1874" t="s">
        <v>51</v>
      </c>
      <c r="G314" s="1874" t="s">
        <v>3255</v>
      </c>
      <c r="H314" s="1874" t="s">
        <v>3256</v>
      </c>
      <c r="I314" s="1874" t="s">
        <v>951</v>
      </c>
    </row>
    <row customHeight="1" ht="11.25">
      <c r="A315" s="1874" t="s">
        <v>2582</v>
      </c>
      <c r="B315" s="1874" t="s">
        <v>16</v>
      </c>
      <c r="C315" s="1874" t="s">
        <v>3257</v>
      </c>
      <c r="D315" s="1874" t="s">
        <v>3258</v>
      </c>
      <c r="E315" s="1874" t="s">
        <v>3259</v>
      </c>
      <c r="F315" s="1874" t="s">
        <v>2911</v>
      </c>
      <c r="G315" s="1874" t="s">
        <v>22</v>
      </c>
      <c r="H315" s="1874" t="s">
        <v>22</v>
      </c>
      <c r="I315" s="1874" t="s">
        <v>951</v>
      </c>
    </row>
    <row customHeight="1" ht="11.25">
      <c r="A316" s="1874" t="s">
        <v>2582</v>
      </c>
      <c r="B316" s="1874" t="s">
        <v>16</v>
      </c>
      <c r="C316" s="1874" t="s">
        <v>3260</v>
      </c>
      <c r="D316" s="1874" t="s">
        <v>3258</v>
      </c>
      <c r="E316" s="1874" t="s">
        <v>3261</v>
      </c>
      <c r="F316" s="1874" t="s">
        <v>2659</v>
      </c>
      <c r="G316" s="1874" t="s">
        <v>22</v>
      </c>
      <c r="H316" s="1874" t="s">
        <v>22</v>
      </c>
      <c r="I316" s="1874" t="s">
        <v>951</v>
      </c>
    </row>
    <row customHeight="1" ht="11.25">
      <c r="A317" s="1874" t="s">
        <v>2582</v>
      </c>
      <c r="B317" s="1874" t="s">
        <v>16</v>
      </c>
      <c r="C317" s="1874" t="s">
        <v>3262</v>
      </c>
      <c r="D317" s="1874" t="s">
        <v>3263</v>
      </c>
      <c r="E317" s="1874" t="s">
        <v>3264</v>
      </c>
      <c r="F317" s="1874" t="s">
        <v>2655</v>
      </c>
      <c r="G317" s="1874" t="s">
        <v>22</v>
      </c>
      <c r="H317" s="1874" t="s">
        <v>3265</v>
      </c>
      <c r="I317" s="1874" t="s">
        <v>951</v>
      </c>
    </row>
    <row customHeight="1" ht="11.25">
      <c r="A318" s="1874" t="s">
        <v>2582</v>
      </c>
      <c r="B318" s="1874" t="s">
        <v>16</v>
      </c>
      <c r="C318" s="1874" t="s">
        <v>3266</v>
      </c>
      <c r="D318" s="1874" t="s">
        <v>3267</v>
      </c>
      <c r="E318" s="1874" t="s">
        <v>3268</v>
      </c>
      <c r="F318" s="1874" t="s">
        <v>2911</v>
      </c>
      <c r="G318" s="1874" t="s">
        <v>3269</v>
      </c>
      <c r="H318" s="1874" t="s">
        <v>22</v>
      </c>
      <c r="I318" s="1874" t="s">
        <v>951</v>
      </c>
    </row>
    <row customHeight="1" ht="11.25">
      <c r="A319" s="1874" t="s">
        <v>2582</v>
      </c>
      <c r="B319" s="1874" t="s">
        <v>16</v>
      </c>
      <c r="C319" s="1874" t="s">
        <v>3270</v>
      </c>
      <c r="D319" s="1874" t="s">
        <v>3271</v>
      </c>
      <c r="E319" s="1874" t="s">
        <v>3272</v>
      </c>
      <c r="F319" s="1874" t="s">
        <v>2689</v>
      </c>
      <c r="G319" s="1874" t="s">
        <v>3273</v>
      </c>
      <c r="H319" s="1874" t="s">
        <v>22</v>
      </c>
      <c r="I319" s="1874" t="s">
        <v>951</v>
      </c>
    </row>
    <row customHeight="1" ht="11.25">
      <c r="A320" s="1874" t="s">
        <v>2582</v>
      </c>
      <c r="B320" s="1874" t="s">
        <v>16</v>
      </c>
      <c r="C320" s="1874" t="s">
        <v>2905</v>
      </c>
      <c r="D320" s="1874" t="s">
        <v>2906</v>
      </c>
      <c r="E320" s="1874" t="s">
        <v>2907</v>
      </c>
      <c r="F320" s="1874" t="s">
        <v>2735</v>
      </c>
      <c r="G320" s="1874" t="s">
        <v>22</v>
      </c>
      <c r="H320" s="1874" t="s">
        <v>22</v>
      </c>
      <c r="I320" s="1874" t="s">
        <v>951</v>
      </c>
    </row>
    <row customHeight="1" ht="11.25">
      <c r="A321" s="1874" t="s">
        <v>2582</v>
      </c>
      <c r="B321" s="1874" t="s">
        <v>16</v>
      </c>
      <c r="C321" s="1874" t="s">
        <v>2908</v>
      </c>
      <c r="D321" s="1874" t="s">
        <v>2909</v>
      </c>
      <c r="E321" s="1874" t="s">
        <v>2910</v>
      </c>
      <c r="F321" s="1874" t="s">
        <v>2911</v>
      </c>
      <c r="G321" s="1874" t="s">
        <v>22</v>
      </c>
      <c r="H321" s="1874" t="s">
        <v>22</v>
      </c>
      <c r="I321" s="1874" t="s">
        <v>951</v>
      </c>
    </row>
    <row customHeight="1" ht="11.25">
      <c r="A322" s="1874" t="s">
        <v>2582</v>
      </c>
      <c r="B322" s="1874" t="s">
        <v>16</v>
      </c>
      <c r="C322" s="1874" t="s">
        <v>3274</v>
      </c>
      <c r="D322" s="1874" t="s">
        <v>3275</v>
      </c>
      <c r="E322" s="1874" t="s">
        <v>3276</v>
      </c>
      <c r="F322" s="1874" t="s">
        <v>2746</v>
      </c>
      <c r="G322" s="1874" t="s">
        <v>3277</v>
      </c>
      <c r="H322" s="1874" t="s">
        <v>22</v>
      </c>
      <c r="I322" s="1874" t="s">
        <v>951</v>
      </c>
    </row>
    <row customHeight="1" ht="11.25">
      <c r="A323" s="1874" t="s">
        <v>2582</v>
      </c>
      <c r="B323" s="1874" t="s">
        <v>16</v>
      </c>
      <c r="C323" s="1874" t="s">
        <v>2936</v>
      </c>
      <c r="D323" s="1874" t="s">
        <v>2937</v>
      </c>
      <c r="E323" s="1874" t="s">
        <v>2938</v>
      </c>
      <c r="F323" s="1874" t="s">
        <v>2939</v>
      </c>
      <c r="G323" s="1874" t="s">
        <v>22</v>
      </c>
      <c r="H323" s="1874" t="s">
        <v>22</v>
      </c>
      <c r="I323" s="1874" t="s">
        <v>951</v>
      </c>
    </row>
    <row customHeight="1" ht="11.25">
      <c r="A324" s="1874" t="s">
        <v>2582</v>
      </c>
      <c r="B324" s="1874" t="s">
        <v>16</v>
      </c>
      <c r="C324" s="1874" t="s">
        <v>2940</v>
      </c>
      <c r="D324" s="1874" t="s">
        <v>2941</v>
      </c>
      <c r="E324" s="1874" t="s">
        <v>2942</v>
      </c>
      <c r="F324" s="1874" t="s">
        <v>2939</v>
      </c>
      <c r="G324" s="1874" t="s">
        <v>22</v>
      </c>
      <c r="H324" s="1874" t="s">
        <v>22</v>
      </c>
      <c r="I324" s="1874" t="s">
        <v>951</v>
      </c>
    </row>
    <row customHeight="1" ht="11.25">
      <c r="A325" s="1874" t="s">
        <v>2582</v>
      </c>
      <c r="B325" s="1874" t="s">
        <v>16</v>
      </c>
      <c r="C325" s="1874" t="s">
        <v>3278</v>
      </c>
      <c r="D325" s="1874" t="s">
        <v>3279</v>
      </c>
      <c r="E325" s="1874" t="s">
        <v>3280</v>
      </c>
      <c r="F325" s="1874" t="s">
        <v>2694</v>
      </c>
      <c r="G325" s="1874" t="s">
        <v>22</v>
      </c>
      <c r="H325" s="1874" t="s">
        <v>22</v>
      </c>
      <c r="I325" s="1874" t="s">
        <v>951</v>
      </c>
    </row>
    <row customHeight="1" ht="11.25">
      <c r="A326" s="1874" t="s">
        <v>2582</v>
      </c>
      <c r="B326" s="1874" t="s">
        <v>16</v>
      </c>
      <c r="C326" s="1874" t="s">
        <v>2954</v>
      </c>
      <c r="D326" s="1874" t="s">
        <v>2955</v>
      </c>
      <c r="E326" s="1874" t="s">
        <v>2956</v>
      </c>
      <c r="F326" s="1874" t="s">
        <v>2939</v>
      </c>
      <c r="G326" s="1874" t="s">
        <v>2957</v>
      </c>
      <c r="H326" s="1874" t="s">
        <v>22</v>
      </c>
      <c r="I326" s="1874" t="s">
        <v>951</v>
      </c>
    </row>
    <row customHeight="1" ht="11.25">
      <c r="A327" s="1874" t="s">
        <v>2582</v>
      </c>
      <c r="B327" s="1874" t="s">
        <v>16</v>
      </c>
      <c r="C327" s="1874" t="s">
        <v>2958</v>
      </c>
      <c r="D327" s="1874" t="s">
        <v>2959</v>
      </c>
      <c r="E327" s="1874" t="s">
        <v>2960</v>
      </c>
      <c r="F327" s="1874" t="s">
        <v>2735</v>
      </c>
      <c r="G327" s="1874" t="s">
        <v>22</v>
      </c>
      <c r="H327" s="1874" t="s">
        <v>22</v>
      </c>
      <c r="I327" s="1874" t="s">
        <v>951</v>
      </c>
    </row>
    <row customHeight="1" ht="11.25">
      <c r="A328" s="1874" t="s">
        <v>2582</v>
      </c>
      <c r="B328" s="1874" t="s">
        <v>16</v>
      </c>
      <c r="C328" s="1874" t="s">
        <v>2961</v>
      </c>
      <c r="D328" s="1874" t="s">
        <v>2962</v>
      </c>
      <c r="E328" s="1874" t="s">
        <v>2963</v>
      </c>
      <c r="F328" s="1874" t="s">
        <v>2735</v>
      </c>
      <c r="G328" s="1874" t="s">
        <v>2964</v>
      </c>
      <c r="H328" s="1874" t="s">
        <v>22</v>
      </c>
      <c r="I328" s="1874" t="s">
        <v>951</v>
      </c>
    </row>
    <row customHeight="1" ht="11.25">
      <c r="A329" s="1874" t="s">
        <v>2582</v>
      </c>
      <c r="B329" s="1874" t="s">
        <v>16</v>
      </c>
      <c r="C329" s="1874" t="s">
        <v>2965</v>
      </c>
      <c r="D329" s="1874" t="s">
        <v>2966</v>
      </c>
      <c r="E329" s="1874" t="s">
        <v>2967</v>
      </c>
      <c r="F329" s="1874" t="s">
        <v>2735</v>
      </c>
      <c r="G329" s="1874" t="s">
        <v>22</v>
      </c>
      <c r="H329" s="1874" t="s">
        <v>22</v>
      </c>
      <c r="I329" s="1874" t="s">
        <v>951</v>
      </c>
    </row>
    <row customHeight="1" ht="11.25">
      <c r="A330" s="1874" t="s">
        <v>2582</v>
      </c>
      <c r="B330" s="1874" t="s">
        <v>16</v>
      </c>
      <c r="C330" s="1874" t="s">
        <v>2971</v>
      </c>
      <c r="D330" s="1874" t="s">
        <v>2972</v>
      </c>
      <c r="E330" s="1874" t="s">
        <v>2973</v>
      </c>
      <c r="F330" s="1874" t="s">
        <v>2746</v>
      </c>
      <c r="G330" s="1874" t="s">
        <v>2974</v>
      </c>
      <c r="H330" s="1874" t="s">
        <v>22</v>
      </c>
      <c r="I330" s="1874" t="s">
        <v>951</v>
      </c>
    </row>
    <row customHeight="1" ht="11.25">
      <c r="A331" s="1874" t="s">
        <v>2582</v>
      </c>
      <c r="B331" s="1874" t="s">
        <v>16</v>
      </c>
      <c r="C331" s="1874" t="s">
        <v>3170</v>
      </c>
      <c r="D331" s="1874" t="s">
        <v>3171</v>
      </c>
      <c r="E331" s="1874" t="s">
        <v>3172</v>
      </c>
      <c r="F331" s="1874" t="s">
        <v>2637</v>
      </c>
      <c r="G331" s="1874" t="s">
        <v>22</v>
      </c>
      <c r="H331" s="1874" t="s">
        <v>22</v>
      </c>
      <c r="I331" s="1874" t="s">
        <v>951</v>
      </c>
    </row>
    <row customHeight="1" ht="11.25">
      <c r="A332" s="1874" t="s">
        <v>2582</v>
      </c>
      <c r="B332" s="1874" t="s">
        <v>16</v>
      </c>
      <c r="C332" s="1874" t="s">
        <v>3281</v>
      </c>
      <c r="D332" s="1874" t="s">
        <v>3282</v>
      </c>
      <c r="E332" s="1874" t="s">
        <v>3283</v>
      </c>
      <c r="F332" s="1874" t="s">
        <v>2735</v>
      </c>
      <c r="G332" s="1874" t="s">
        <v>22</v>
      </c>
      <c r="H332" s="1874" t="s">
        <v>22</v>
      </c>
      <c r="I332" s="1874" t="s">
        <v>951</v>
      </c>
    </row>
    <row customHeight="1" ht="11.25">
      <c r="A333" s="1874" t="s">
        <v>2582</v>
      </c>
      <c r="B333" s="1874" t="s">
        <v>16</v>
      </c>
      <c r="C333" s="1874" t="s">
        <v>3284</v>
      </c>
      <c r="D333" s="1874" t="s">
        <v>3285</v>
      </c>
      <c r="E333" s="1874" t="s">
        <v>3286</v>
      </c>
      <c r="F333" s="1874" t="s">
        <v>2735</v>
      </c>
      <c r="G333" s="1874" t="s">
        <v>22</v>
      </c>
      <c r="H333" s="1874" t="s">
        <v>22</v>
      </c>
      <c r="I333" s="1874" t="s">
        <v>951</v>
      </c>
    </row>
    <row customHeight="1" ht="11.25">
      <c r="A334" s="1874" t="s">
        <v>2582</v>
      </c>
      <c r="B334" s="1874" t="s">
        <v>16</v>
      </c>
      <c r="C334" s="1874" t="s">
        <v>2978</v>
      </c>
      <c r="D334" s="1874" t="s">
        <v>2979</v>
      </c>
      <c r="E334" s="1874" t="s">
        <v>2980</v>
      </c>
      <c r="F334" s="1874" t="s">
        <v>2911</v>
      </c>
      <c r="G334" s="1874" t="s">
        <v>22</v>
      </c>
      <c r="H334" s="1874" t="s">
        <v>22</v>
      </c>
      <c r="I334" s="1874" t="s">
        <v>951</v>
      </c>
    </row>
    <row customHeight="1" ht="11.25">
      <c r="A335" s="1874" t="s">
        <v>2582</v>
      </c>
      <c r="B335" s="1874" t="s">
        <v>16</v>
      </c>
      <c r="C335" s="1874" t="s">
        <v>2981</v>
      </c>
      <c r="D335" s="1874" t="s">
        <v>2982</v>
      </c>
      <c r="E335" s="1874" t="s">
        <v>2983</v>
      </c>
      <c r="F335" s="1874" t="s">
        <v>2911</v>
      </c>
      <c r="G335" s="1874" t="s">
        <v>22</v>
      </c>
      <c r="H335" s="1874" t="s">
        <v>22</v>
      </c>
      <c r="I335" s="1874" t="s">
        <v>951</v>
      </c>
    </row>
    <row customHeight="1" ht="11.25">
      <c r="A336" s="1874" t="s">
        <v>2582</v>
      </c>
      <c r="B336" s="1874" t="s">
        <v>16</v>
      </c>
      <c r="C336" s="1874" t="s">
        <v>2992</v>
      </c>
      <c r="D336" s="1874" t="s">
        <v>2993</v>
      </c>
      <c r="E336" s="1874" t="s">
        <v>2994</v>
      </c>
      <c r="F336" s="1874" t="s">
        <v>2659</v>
      </c>
      <c r="G336" s="1874" t="s">
        <v>22</v>
      </c>
      <c r="H336" s="1874" t="s">
        <v>22</v>
      </c>
      <c r="I336" s="1874" t="s">
        <v>951</v>
      </c>
    </row>
    <row customHeight="1" ht="11.25">
      <c r="A337" s="1874" t="s">
        <v>2582</v>
      </c>
      <c r="B337" s="1874" t="s">
        <v>16</v>
      </c>
      <c r="C337" s="1874" t="s">
        <v>3287</v>
      </c>
      <c r="D337" s="1874" t="s">
        <v>3288</v>
      </c>
      <c r="E337" s="1874" t="s">
        <v>3289</v>
      </c>
      <c r="F337" s="1874" t="s">
        <v>2746</v>
      </c>
      <c r="G337" s="1874" t="s">
        <v>3290</v>
      </c>
      <c r="H337" s="1874" t="s">
        <v>22</v>
      </c>
      <c r="I337" s="1874" t="s">
        <v>951</v>
      </c>
    </row>
    <row customHeight="1" ht="11.25">
      <c r="A338" s="1874" t="s">
        <v>2582</v>
      </c>
      <c r="B338" s="1874" t="s">
        <v>16</v>
      </c>
      <c r="C338" s="1874" t="s">
        <v>3291</v>
      </c>
      <c r="D338" s="1874" t="s">
        <v>3292</v>
      </c>
      <c r="E338" s="1874" t="s">
        <v>3293</v>
      </c>
      <c r="F338" s="1874" t="s">
        <v>2689</v>
      </c>
      <c r="G338" s="1874" t="s">
        <v>3294</v>
      </c>
      <c r="H338" s="1874" t="s">
        <v>22</v>
      </c>
      <c r="I338" s="1874" t="s">
        <v>951</v>
      </c>
    </row>
    <row customHeight="1" ht="11.25">
      <c r="A339" s="1874" t="s">
        <v>2582</v>
      </c>
      <c r="B339" s="1874" t="s">
        <v>16</v>
      </c>
      <c r="C339" s="1874" t="s">
        <v>2998</v>
      </c>
      <c r="D339" s="1874" t="s">
        <v>2999</v>
      </c>
      <c r="E339" s="1874" t="s">
        <v>3000</v>
      </c>
      <c r="F339" s="1874" t="s">
        <v>2735</v>
      </c>
      <c r="G339" s="1874" t="s">
        <v>3001</v>
      </c>
      <c r="H339" s="1874" t="s">
        <v>22</v>
      </c>
      <c r="I339" s="1874" t="s">
        <v>951</v>
      </c>
    </row>
    <row customHeight="1" ht="11.25">
      <c r="A340" s="1874" t="s">
        <v>2582</v>
      </c>
      <c r="B340" s="1874" t="s">
        <v>16</v>
      </c>
      <c r="C340" s="1874" t="s">
        <v>3295</v>
      </c>
      <c r="D340" s="1874" t="s">
        <v>3296</v>
      </c>
      <c r="E340" s="1874" t="s">
        <v>3297</v>
      </c>
      <c r="F340" s="1874" t="s">
        <v>2869</v>
      </c>
      <c r="G340" s="1874" t="s">
        <v>22</v>
      </c>
      <c r="H340" s="1874" t="s">
        <v>22</v>
      </c>
      <c r="I340" s="1874" t="s">
        <v>951</v>
      </c>
    </row>
    <row customHeight="1" ht="11.25">
      <c r="A341" s="1874" t="s">
        <v>2582</v>
      </c>
      <c r="B341" s="1874" t="s">
        <v>16</v>
      </c>
      <c r="C341" s="1874" t="s">
        <v>3009</v>
      </c>
      <c r="D341" s="1874" t="s">
        <v>3010</v>
      </c>
      <c r="E341" s="1874" t="s">
        <v>3011</v>
      </c>
      <c r="F341" s="1874" t="s">
        <v>2746</v>
      </c>
      <c r="G341" s="1874" t="s">
        <v>3012</v>
      </c>
      <c r="H341" s="1874" t="s">
        <v>22</v>
      </c>
      <c r="I341" s="1874" t="s">
        <v>951</v>
      </c>
    </row>
    <row customHeight="1" ht="11.25">
      <c r="A342" s="1874" t="s">
        <v>2582</v>
      </c>
      <c r="B342" s="1874" t="s">
        <v>16</v>
      </c>
      <c r="C342" s="1874" t="s">
        <v>3029</v>
      </c>
      <c r="D342" s="1874" t="s">
        <v>3030</v>
      </c>
      <c r="E342" s="1874" t="s">
        <v>3031</v>
      </c>
      <c r="F342" s="1874" t="s">
        <v>2735</v>
      </c>
      <c r="G342" s="1874" t="s">
        <v>22</v>
      </c>
      <c r="H342" s="1874" t="s">
        <v>22</v>
      </c>
      <c r="I342" s="1874" t="s">
        <v>951</v>
      </c>
    </row>
    <row customHeight="1" ht="11.25">
      <c r="A343" s="1874" t="s">
        <v>2582</v>
      </c>
      <c r="B343" s="1874" t="s">
        <v>16</v>
      </c>
      <c r="C343" s="1874" t="s">
        <v>3032</v>
      </c>
      <c r="D343" s="1874" t="s">
        <v>3033</v>
      </c>
      <c r="E343" s="1874" t="s">
        <v>3034</v>
      </c>
      <c r="F343" s="1874" t="s">
        <v>2680</v>
      </c>
      <c r="G343" s="1874" t="s">
        <v>22</v>
      </c>
      <c r="H343" s="1874" t="s">
        <v>22</v>
      </c>
      <c r="I343" s="1874" t="s">
        <v>951</v>
      </c>
    </row>
    <row customHeight="1" ht="11.25">
      <c r="A344" s="1874" t="s">
        <v>2582</v>
      </c>
      <c r="B344" s="1874" t="s">
        <v>16</v>
      </c>
      <c r="C344" s="1874" t="s">
        <v>3035</v>
      </c>
      <c r="D344" s="1874" t="s">
        <v>3036</v>
      </c>
      <c r="E344" s="1874" t="s">
        <v>3037</v>
      </c>
      <c r="F344" s="1874" t="s">
        <v>2987</v>
      </c>
      <c r="G344" s="1874" t="s">
        <v>22</v>
      </c>
      <c r="H344" s="1874" t="s">
        <v>22</v>
      </c>
      <c r="I344" s="1874" t="s">
        <v>951</v>
      </c>
    </row>
    <row customHeight="1" ht="11.25">
      <c r="A345" s="1874" t="s">
        <v>2582</v>
      </c>
      <c r="B345" s="1874" t="s">
        <v>16</v>
      </c>
      <c r="C345" s="1874" t="s">
        <v>3038</v>
      </c>
      <c r="D345" s="1874" t="s">
        <v>3039</v>
      </c>
      <c r="E345" s="1874" t="s">
        <v>3040</v>
      </c>
      <c r="F345" s="1874" t="s">
        <v>2694</v>
      </c>
      <c r="G345" s="1874" t="s">
        <v>3041</v>
      </c>
      <c r="H345" s="1874" t="s">
        <v>22</v>
      </c>
      <c r="I345" s="1874" t="s">
        <v>951</v>
      </c>
    </row>
    <row customHeight="1" ht="11.25">
      <c r="A346" s="1874" t="s">
        <v>2582</v>
      </c>
      <c r="B346" s="1874" t="s">
        <v>16</v>
      </c>
      <c r="C346" s="1874" t="s">
        <v>3298</v>
      </c>
      <c r="D346" s="1874" t="s">
        <v>3299</v>
      </c>
      <c r="E346" s="1874" t="s">
        <v>3300</v>
      </c>
      <c r="F346" s="1874" t="s">
        <v>2911</v>
      </c>
      <c r="G346" s="1874" t="s">
        <v>22</v>
      </c>
      <c r="H346" s="1874" t="s">
        <v>22</v>
      </c>
      <c r="I346" s="1874" t="s">
        <v>951</v>
      </c>
    </row>
    <row customHeight="1" ht="11.25">
      <c r="A347" s="1874" t="s">
        <v>2582</v>
      </c>
      <c r="B347" s="1874" t="s">
        <v>16</v>
      </c>
      <c r="C347" s="1874" t="s">
        <v>3058</v>
      </c>
      <c r="D347" s="1874" t="s">
        <v>3059</v>
      </c>
      <c r="E347" s="1874" t="s">
        <v>3060</v>
      </c>
      <c r="F347" s="1874" t="s">
        <v>2698</v>
      </c>
      <c r="G347" s="1874" t="s">
        <v>3061</v>
      </c>
      <c r="H347" s="1874" t="s">
        <v>22</v>
      </c>
      <c r="I347" s="1874" t="s">
        <v>951</v>
      </c>
    </row>
    <row customHeight="1" ht="11.25">
      <c r="A348" s="1874" t="s">
        <v>2582</v>
      </c>
      <c r="B348" s="1874" t="s">
        <v>16</v>
      </c>
      <c r="C348" s="1874" t="s">
        <v>3065</v>
      </c>
      <c r="D348" s="1874" t="s">
        <v>3066</v>
      </c>
      <c r="E348" s="1874" t="s">
        <v>3067</v>
      </c>
      <c r="F348" s="1874" t="s">
        <v>2939</v>
      </c>
      <c r="G348" s="1874" t="s">
        <v>22</v>
      </c>
      <c r="H348" s="1874" t="s">
        <v>22</v>
      </c>
      <c r="I348" s="1874" t="s">
        <v>951</v>
      </c>
    </row>
    <row customHeight="1" ht="11.25">
      <c r="A349" s="1874" t="s">
        <v>2582</v>
      </c>
      <c r="B349" s="1874" t="s">
        <v>16</v>
      </c>
      <c r="C349" s="1874" t="s">
        <v>3301</v>
      </c>
      <c r="D349" s="1874" t="s">
        <v>3302</v>
      </c>
      <c r="E349" s="1874" t="s">
        <v>3303</v>
      </c>
      <c r="F349" s="1874" t="s">
        <v>2709</v>
      </c>
      <c r="G349" s="1874" t="s">
        <v>3304</v>
      </c>
      <c r="H349" s="1874" t="s">
        <v>22</v>
      </c>
      <c r="I349" s="1874" t="s">
        <v>951</v>
      </c>
    </row>
    <row customHeight="1" ht="11.25">
      <c r="A350" s="1874" t="s">
        <v>2582</v>
      </c>
      <c r="B350" s="1874" t="s">
        <v>16</v>
      </c>
      <c r="C350" s="1874" t="s">
        <v>3072</v>
      </c>
      <c r="D350" s="1874" t="s">
        <v>3073</v>
      </c>
      <c r="E350" s="1874" t="s">
        <v>3074</v>
      </c>
      <c r="F350" s="1874" t="s">
        <v>2709</v>
      </c>
      <c r="G350" s="1874" t="s">
        <v>22</v>
      </c>
      <c r="H350" s="1874" t="s">
        <v>22</v>
      </c>
      <c r="I350" s="1874" t="s">
        <v>951</v>
      </c>
    </row>
    <row customHeight="1" ht="11.25">
      <c r="A351" s="1874" t="s">
        <v>2582</v>
      </c>
      <c r="B351" s="1874" t="s">
        <v>16</v>
      </c>
      <c r="C351" s="1874" t="s">
        <v>3075</v>
      </c>
      <c r="D351" s="1874" t="s">
        <v>3076</v>
      </c>
      <c r="E351" s="1874" t="s">
        <v>3077</v>
      </c>
      <c r="F351" s="1874" t="s">
        <v>2709</v>
      </c>
      <c r="G351" s="1874" t="s">
        <v>22</v>
      </c>
      <c r="H351" s="1874" t="s">
        <v>22</v>
      </c>
      <c r="I351" s="1874" t="s">
        <v>951</v>
      </c>
    </row>
    <row customHeight="1" ht="11.25">
      <c r="A352" s="1874" t="s">
        <v>2582</v>
      </c>
      <c r="B352" s="1874" t="s">
        <v>16</v>
      </c>
      <c r="C352" s="1874" t="s">
        <v>3078</v>
      </c>
      <c r="D352" s="1874" t="s">
        <v>3079</v>
      </c>
      <c r="E352" s="1874" t="s">
        <v>3080</v>
      </c>
      <c r="F352" s="1874" t="s">
        <v>2735</v>
      </c>
      <c r="G352" s="1874" t="s">
        <v>3081</v>
      </c>
      <c r="H352" s="1874" t="s">
        <v>22</v>
      </c>
      <c r="I352" s="1874" t="s">
        <v>951</v>
      </c>
    </row>
    <row customHeight="1" ht="11.25">
      <c r="A353" s="1874" t="s">
        <v>2582</v>
      </c>
      <c r="B353" s="1874" t="s">
        <v>16</v>
      </c>
      <c r="C353" s="1874" t="s">
        <v>3082</v>
      </c>
      <c r="D353" s="1874" t="s">
        <v>3083</v>
      </c>
      <c r="E353" s="1874" t="s">
        <v>3084</v>
      </c>
      <c r="F353" s="1874" t="s">
        <v>51</v>
      </c>
      <c r="G353" s="1874" t="s">
        <v>22</v>
      </c>
      <c r="H353" s="1874" t="s">
        <v>22</v>
      </c>
      <c r="I353" s="1874" t="s">
        <v>951</v>
      </c>
    </row>
    <row customHeight="1" ht="11.25">
      <c r="A354" s="1874" t="s">
        <v>2582</v>
      </c>
      <c r="B354" s="1874" t="s">
        <v>16</v>
      </c>
      <c r="C354" s="1874" t="s">
        <v>3085</v>
      </c>
      <c r="D354" s="1874" t="s">
        <v>3086</v>
      </c>
      <c r="E354" s="1874" t="s">
        <v>3087</v>
      </c>
      <c r="F354" s="1874" t="s">
        <v>2755</v>
      </c>
      <c r="G354" s="1874" t="s">
        <v>3088</v>
      </c>
      <c r="H354" s="1874" t="s">
        <v>22</v>
      </c>
      <c r="I354" s="1874" t="s">
        <v>951</v>
      </c>
    </row>
    <row customHeight="1" ht="11.25">
      <c r="A355" s="1874" t="s">
        <v>2582</v>
      </c>
      <c r="B355" s="1874" t="s">
        <v>16</v>
      </c>
      <c r="C355" s="1874" t="s">
        <v>3089</v>
      </c>
      <c r="D355" s="1874" t="s">
        <v>3090</v>
      </c>
      <c r="E355" s="1874" t="s">
        <v>3091</v>
      </c>
      <c r="F355" s="1874" t="s">
        <v>2689</v>
      </c>
      <c r="G355" s="1874" t="s">
        <v>3092</v>
      </c>
      <c r="H355" s="1874" t="s">
        <v>22</v>
      </c>
      <c r="I355" s="1874" t="s">
        <v>951</v>
      </c>
    </row>
    <row customHeight="1" ht="11.25">
      <c r="A356" s="1874" t="s">
        <v>2582</v>
      </c>
      <c r="B356" s="1874" t="s">
        <v>16</v>
      </c>
      <c r="C356" s="1874" t="s">
        <v>3096</v>
      </c>
      <c r="D356" s="1874" t="s">
        <v>3097</v>
      </c>
      <c r="E356" s="1874" t="s">
        <v>3098</v>
      </c>
      <c r="F356" s="1874" t="s">
        <v>2939</v>
      </c>
      <c r="G356" s="1874" t="s">
        <v>22</v>
      </c>
      <c r="H356" s="1874" t="s">
        <v>22</v>
      </c>
      <c r="I356" s="1874" t="s">
        <v>951</v>
      </c>
    </row>
    <row customHeight="1" ht="11.25">
      <c r="A357" s="1874" t="s">
        <v>2582</v>
      </c>
      <c r="B357" s="1874" t="s">
        <v>16</v>
      </c>
      <c r="C357" s="1874" t="s">
        <v>3099</v>
      </c>
      <c r="D357" s="1874" t="s">
        <v>3100</v>
      </c>
      <c r="E357" s="1874" t="s">
        <v>3101</v>
      </c>
      <c r="F357" s="1874" t="s">
        <v>2685</v>
      </c>
      <c r="G357" s="1874" t="s">
        <v>22</v>
      </c>
      <c r="H357" s="1874" t="s">
        <v>22</v>
      </c>
      <c r="I357" s="1874" t="s">
        <v>951</v>
      </c>
    </row>
    <row customHeight="1" ht="11.25">
      <c r="A358" s="1874" t="s">
        <v>2582</v>
      </c>
      <c r="B358" s="1874" t="s">
        <v>16</v>
      </c>
      <c r="C358" s="1874" t="s">
        <v>3305</v>
      </c>
      <c r="D358" s="1874" t="s">
        <v>3306</v>
      </c>
      <c r="E358" s="1874" t="s">
        <v>3307</v>
      </c>
      <c r="F358" s="1874" t="s">
        <v>2709</v>
      </c>
      <c r="G358" s="1874" t="s">
        <v>3308</v>
      </c>
      <c r="H358" s="1874" t="s">
        <v>22</v>
      </c>
      <c r="I358" s="1874" t="s">
        <v>951</v>
      </c>
    </row>
    <row customHeight="1" ht="11.25">
      <c r="A359" s="1874" t="s">
        <v>2582</v>
      </c>
      <c r="B359" s="1874" t="s">
        <v>16</v>
      </c>
      <c r="C359" s="1874" t="s">
        <v>3109</v>
      </c>
      <c r="D359" s="1874" t="s">
        <v>3110</v>
      </c>
      <c r="E359" s="1874" t="s">
        <v>3111</v>
      </c>
      <c r="F359" s="1874" t="s">
        <v>2939</v>
      </c>
      <c r="G359" s="1874" t="s">
        <v>22</v>
      </c>
      <c r="H359" s="1874" t="s">
        <v>22</v>
      </c>
      <c r="I359" s="1874" t="s">
        <v>951</v>
      </c>
    </row>
    <row customHeight="1" ht="11.25">
      <c r="A360" s="1874" t="s">
        <v>2582</v>
      </c>
      <c r="B360" s="1874" t="s">
        <v>16</v>
      </c>
      <c r="C360" s="1874" t="s">
        <v>3309</v>
      </c>
      <c r="D360" s="1874" t="s">
        <v>3310</v>
      </c>
      <c r="E360" s="1874" t="s">
        <v>3311</v>
      </c>
      <c r="F360" s="1874" t="s">
        <v>2709</v>
      </c>
      <c r="G360" s="1874" t="s">
        <v>3312</v>
      </c>
      <c r="H360" s="1874" t="s">
        <v>22</v>
      </c>
      <c r="I360" s="1874" t="s">
        <v>951</v>
      </c>
    </row>
    <row customHeight="1" ht="11.25">
      <c r="A361" s="1874" t="s">
        <v>2582</v>
      </c>
      <c r="B361" s="1874" t="s">
        <v>16</v>
      </c>
      <c r="C361" s="1874" t="s">
        <v>3313</v>
      </c>
      <c r="D361" s="1874" t="s">
        <v>3314</v>
      </c>
      <c r="E361" s="1874" t="s">
        <v>3315</v>
      </c>
      <c r="F361" s="1874" t="s">
        <v>2869</v>
      </c>
      <c r="G361" s="1874" t="s">
        <v>3316</v>
      </c>
      <c r="H361" s="1874" t="s">
        <v>22</v>
      </c>
      <c r="I361" s="1874" t="s">
        <v>951</v>
      </c>
    </row>
    <row customHeight="1" ht="11.25">
      <c r="A362" s="1874" t="s">
        <v>2582</v>
      </c>
      <c r="B362" s="1874" t="s">
        <v>16</v>
      </c>
      <c r="C362" s="1874" t="s">
        <v>3317</v>
      </c>
      <c r="D362" s="1874" t="s">
        <v>3318</v>
      </c>
      <c r="E362" s="1874" t="s">
        <v>3319</v>
      </c>
      <c r="F362" s="1874" t="s">
        <v>2628</v>
      </c>
      <c r="G362" s="1874" t="s">
        <v>3320</v>
      </c>
      <c r="H362" s="1874" t="s">
        <v>22</v>
      </c>
      <c r="I362" s="1874" t="s">
        <v>951</v>
      </c>
    </row>
    <row customHeight="1" ht="11.25">
      <c r="A363" s="1874" t="s">
        <v>2582</v>
      </c>
      <c r="B363" s="1874" t="s">
        <v>16</v>
      </c>
      <c r="C363" s="1874" t="s">
        <v>3119</v>
      </c>
      <c r="D363" s="1874" t="s">
        <v>3120</v>
      </c>
      <c r="E363" s="1874" t="s">
        <v>3121</v>
      </c>
      <c r="F363" s="1874" t="s">
        <v>2987</v>
      </c>
      <c r="G363" s="1874" t="s">
        <v>3122</v>
      </c>
      <c r="H363" s="1874" t="s">
        <v>22</v>
      </c>
      <c r="I363" s="1874" t="s">
        <v>951</v>
      </c>
    </row>
    <row customHeight="1" ht="11.25">
      <c r="A364" s="1874" t="s">
        <v>2582</v>
      </c>
      <c r="B364" s="1874" t="s">
        <v>16</v>
      </c>
      <c r="C364" s="1874" t="s">
        <v>3123</v>
      </c>
      <c r="D364" s="1874" t="s">
        <v>3124</v>
      </c>
      <c r="E364" s="1874" t="s">
        <v>3125</v>
      </c>
      <c r="F364" s="1874" t="s">
        <v>2727</v>
      </c>
      <c r="G364" s="1874" t="s">
        <v>22</v>
      </c>
      <c r="H364" s="1874" t="s">
        <v>22</v>
      </c>
      <c r="I364" s="1874" t="s">
        <v>951</v>
      </c>
    </row>
    <row customHeight="1" ht="11.25">
      <c r="A365" s="1874" t="s">
        <v>2582</v>
      </c>
      <c r="B365" s="1874" t="s">
        <v>16</v>
      </c>
      <c r="C365" s="1874" t="s">
        <v>3321</v>
      </c>
      <c r="D365" s="1874" t="s">
        <v>3322</v>
      </c>
      <c r="E365" s="1874" t="s">
        <v>2662</v>
      </c>
      <c r="F365" s="1874" t="s">
        <v>3323</v>
      </c>
      <c r="G365" s="1874" t="s">
        <v>3324</v>
      </c>
      <c r="H365" s="1874" t="s">
        <v>22</v>
      </c>
      <c r="I365" s="1874" t="s">
        <v>951</v>
      </c>
    </row>
    <row customHeight="1" ht="11.25">
      <c r="A366" s="1874" t="s">
        <v>2582</v>
      </c>
      <c r="B366" s="1874" t="s">
        <v>16</v>
      </c>
      <c r="C366" s="1874" t="s">
        <v>3325</v>
      </c>
      <c r="D366" s="1874" t="s">
        <v>3326</v>
      </c>
      <c r="E366" s="1874" t="s">
        <v>3327</v>
      </c>
      <c r="F366" s="1874" t="s">
        <v>2655</v>
      </c>
      <c r="G366" s="1874" t="s">
        <v>22</v>
      </c>
      <c r="H366" s="1874" t="s">
        <v>22</v>
      </c>
      <c r="I366" s="1874" t="s">
        <v>951</v>
      </c>
    </row>
    <row customHeight="1" ht="11.25">
      <c r="A367" s="1874" t="s">
        <v>2582</v>
      </c>
      <c r="B367" s="1874" t="s">
        <v>16</v>
      </c>
      <c r="C367" s="1874" t="s">
        <v>3328</v>
      </c>
      <c r="D367" s="1874" t="s">
        <v>3329</v>
      </c>
      <c r="E367" s="1874" t="s">
        <v>3330</v>
      </c>
      <c r="F367" s="1874" t="s">
        <v>2689</v>
      </c>
      <c r="G367" s="1874" t="s">
        <v>22</v>
      </c>
      <c r="H367" s="1874" t="s">
        <v>22</v>
      </c>
      <c r="I367" s="1874" t="s">
        <v>951</v>
      </c>
    </row>
    <row customHeight="1" ht="11.25">
      <c r="A368" s="1874" t="s">
        <v>2582</v>
      </c>
      <c r="B368" s="1874" t="s">
        <v>16</v>
      </c>
      <c r="C368" s="1874" t="s">
        <v>3126</v>
      </c>
      <c r="D368" s="1874" t="s">
        <v>3127</v>
      </c>
      <c r="E368" s="1874" t="s">
        <v>3128</v>
      </c>
      <c r="F368" s="1874" t="s">
        <v>3129</v>
      </c>
      <c r="G368" s="1874" t="s">
        <v>3130</v>
      </c>
      <c r="H368" s="1874" t="s">
        <v>22</v>
      </c>
      <c r="I368" s="1874" t="s">
        <v>951</v>
      </c>
    </row>
    <row customHeight="1" ht="11.25">
      <c r="A369" s="1874" t="s">
        <v>2582</v>
      </c>
      <c r="B369" s="1874" t="s">
        <v>16</v>
      </c>
      <c r="C369" s="1874" t="s">
        <v>3134</v>
      </c>
      <c r="D369" s="1874" t="s">
        <v>3135</v>
      </c>
      <c r="E369" s="1874" t="s">
        <v>3136</v>
      </c>
      <c r="F369" s="1874" t="s">
        <v>2727</v>
      </c>
      <c r="G369" s="1874" t="s">
        <v>22</v>
      </c>
      <c r="H369" s="1874" t="s">
        <v>22</v>
      </c>
      <c r="I369" s="1874" t="s">
        <v>951</v>
      </c>
    </row>
    <row customHeight="1" ht="11.25">
      <c r="A370" s="1874" t="s">
        <v>2582</v>
      </c>
      <c r="B370" s="1874" t="s">
        <v>16</v>
      </c>
      <c r="C370" s="1874" t="s">
        <v>3137</v>
      </c>
      <c r="D370" s="1874" t="s">
        <v>3138</v>
      </c>
      <c r="E370" s="1874" t="s">
        <v>3139</v>
      </c>
      <c r="F370" s="1874" t="s">
        <v>51</v>
      </c>
      <c r="G370" s="1874" t="s">
        <v>22</v>
      </c>
      <c r="H370" s="1874" t="s">
        <v>22</v>
      </c>
      <c r="I370" s="1874" t="s">
        <v>951</v>
      </c>
    </row>
    <row customHeight="1" ht="11.25">
      <c r="A371" s="1874" t="s">
        <v>2582</v>
      </c>
      <c r="B371" s="1874" t="s">
        <v>16</v>
      </c>
      <c r="C371" s="1874" t="s">
        <v>3140</v>
      </c>
      <c r="D371" s="1874" t="s">
        <v>3141</v>
      </c>
      <c r="E371" s="1874" t="s">
        <v>3142</v>
      </c>
      <c r="F371" s="1874" t="s">
        <v>2641</v>
      </c>
      <c r="G371" s="1874" t="s">
        <v>3143</v>
      </c>
      <c r="H371" s="1874" t="s">
        <v>22</v>
      </c>
      <c r="I371" s="1874" t="s">
        <v>951</v>
      </c>
    </row>
    <row customHeight="1" ht="11.25">
      <c r="A372" s="1874" t="s">
        <v>2582</v>
      </c>
      <c r="B372" s="1874" t="s">
        <v>16</v>
      </c>
      <c r="C372" s="1874" t="s">
        <v>3147</v>
      </c>
      <c r="D372" s="1874" t="s">
        <v>3148</v>
      </c>
      <c r="E372" s="1874" t="s">
        <v>3149</v>
      </c>
      <c r="F372" s="1874" t="s">
        <v>3150</v>
      </c>
      <c r="G372" s="1874" t="s">
        <v>22</v>
      </c>
      <c r="H372" s="1874" t="s">
        <v>22</v>
      </c>
      <c r="I372" s="1874" t="s">
        <v>951</v>
      </c>
    </row>
    <row customHeight="1" ht="11.25">
      <c r="A373" s="1874" t="s">
        <v>2582</v>
      </c>
      <c r="B373" s="1874" t="s">
        <v>16</v>
      </c>
      <c r="C373" s="1874" t="s">
        <v>3158</v>
      </c>
      <c r="D373" s="1874" t="s">
        <v>3159</v>
      </c>
      <c r="E373" s="1874" t="s">
        <v>3160</v>
      </c>
      <c r="F373" s="1874" t="s">
        <v>3161</v>
      </c>
      <c r="G373" s="1874" t="s">
        <v>3162</v>
      </c>
      <c r="H373" s="1874" t="s">
        <v>22</v>
      </c>
      <c r="I373" s="1874" t="s">
        <v>951</v>
      </c>
    </row>
    <row customHeight="1" ht="11.25">
      <c r="A374" s="1874" t="s">
        <v>2582</v>
      </c>
      <c r="B374" s="1874" t="s">
        <v>16</v>
      </c>
      <c r="C374" s="1874" t="s">
        <v>3167</v>
      </c>
      <c r="D374" s="1874" t="s">
        <v>3168</v>
      </c>
      <c r="E374" s="1874" t="s">
        <v>3169</v>
      </c>
      <c r="F374" s="1874" t="s">
        <v>2735</v>
      </c>
      <c r="G374" s="1874" t="s">
        <v>22</v>
      </c>
      <c r="H374" s="1874" t="s">
        <v>22</v>
      </c>
      <c r="I374" s="1874" t="s">
        <v>951</v>
      </c>
    </row>
    <row customHeight="1" ht="11.25">
      <c r="A375" s="1874" t="s">
        <v>2582</v>
      </c>
      <c r="B375" s="1874" t="s">
        <v>16</v>
      </c>
      <c r="C375" s="1874" t="s">
        <v>3173</v>
      </c>
      <c r="D375" s="1874" t="s">
        <v>3174</v>
      </c>
      <c r="E375" s="1874" t="s">
        <v>3175</v>
      </c>
      <c r="F375" s="1874" t="s">
        <v>2911</v>
      </c>
      <c r="G375" s="1874" t="s">
        <v>3005</v>
      </c>
      <c r="H375" s="1874" t="s">
        <v>22</v>
      </c>
      <c r="I375" s="1874" t="s">
        <v>1004</v>
      </c>
    </row>
    <row customHeight="1" ht="11.25">
      <c r="A376" s="1874" t="s">
        <v>2582</v>
      </c>
      <c r="B376" s="1874" t="s">
        <v>16</v>
      </c>
      <c r="C376" s="1874" t="s">
        <v>3176</v>
      </c>
      <c r="D376" s="1874" t="s">
        <v>3177</v>
      </c>
      <c r="E376" s="1874" t="s">
        <v>3178</v>
      </c>
      <c r="F376" s="1874" t="s">
        <v>3179</v>
      </c>
      <c r="G376" s="1874" t="s">
        <v>22</v>
      </c>
      <c r="H376" s="1874" t="s">
        <v>22</v>
      </c>
      <c r="I376" s="1874" t="s">
        <v>1004</v>
      </c>
    </row>
    <row customHeight="1" ht="11.25">
      <c r="A377" s="1874" t="s">
        <v>2582</v>
      </c>
      <c r="B377" s="1874" t="s">
        <v>16</v>
      </c>
      <c r="C377" s="1874" t="s">
        <v>3180</v>
      </c>
      <c r="D377" s="1874" t="s">
        <v>3181</v>
      </c>
      <c r="E377" s="1874" t="s">
        <v>3182</v>
      </c>
      <c r="F377" s="1874" t="s">
        <v>3183</v>
      </c>
      <c r="G377" s="1874" t="s">
        <v>22</v>
      </c>
      <c r="H377" s="1874" t="s">
        <v>22</v>
      </c>
      <c r="I377" s="1874" t="s">
        <v>1004</v>
      </c>
    </row>
    <row customHeight="1" ht="11.25">
      <c r="A378" s="1874" t="s">
        <v>2582</v>
      </c>
      <c r="B378" s="1874" t="s">
        <v>16</v>
      </c>
      <c r="C378" s="1874" t="s">
        <v>2583</v>
      </c>
      <c r="D378" s="1874" t="s">
        <v>2584</v>
      </c>
      <c r="E378" s="1874" t="s">
        <v>2585</v>
      </c>
      <c r="F378" s="1874" t="s">
        <v>2586</v>
      </c>
      <c r="G378" s="1874" t="s">
        <v>2587</v>
      </c>
      <c r="H378" s="1874" t="s">
        <v>22</v>
      </c>
      <c r="I378" s="1874" t="s">
        <v>1004</v>
      </c>
    </row>
    <row customHeight="1" ht="11.25">
      <c r="A379" s="1874" t="s">
        <v>2582</v>
      </c>
      <c r="B379" s="1874" t="s">
        <v>16</v>
      </c>
      <c r="C379" s="1874" t="s">
        <v>13</v>
      </c>
      <c r="D379" s="1874" t="s">
        <v>46</v>
      </c>
      <c r="E379" s="1874" t="s">
        <v>49</v>
      </c>
      <c r="F379" s="1874" t="s">
        <v>51</v>
      </c>
      <c r="G379" s="1874" t="s">
        <v>2592</v>
      </c>
      <c r="H379" s="1874" t="s">
        <v>22</v>
      </c>
      <c r="I379" s="1874" t="s">
        <v>1004</v>
      </c>
    </row>
    <row customHeight="1" ht="11.25">
      <c r="A380" s="1874" t="s">
        <v>2582</v>
      </c>
      <c r="B380" s="1874" t="s">
        <v>16</v>
      </c>
      <c r="C380" s="1874" t="s">
        <v>2595</v>
      </c>
      <c r="D380" s="1874" t="s">
        <v>2596</v>
      </c>
      <c r="E380" s="1874" t="s">
        <v>49</v>
      </c>
      <c r="F380" s="1874" t="s">
        <v>2597</v>
      </c>
      <c r="G380" s="1874" t="s">
        <v>22</v>
      </c>
      <c r="H380" s="1874" t="s">
        <v>22</v>
      </c>
      <c r="I380" s="1874" t="s">
        <v>1004</v>
      </c>
    </row>
    <row customHeight="1" ht="11.25">
      <c r="A381" s="1874" t="s">
        <v>2582</v>
      </c>
      <c r="B381" s="1874" t="s">
        <v>16</v>
      </c>
      <c r="C381" s="1874" t="s">
        <v>3331</v>
      </c>
      <c r="D381" s="1874" t="s">
        <v>3332</v>
      </c>
      <c r="E381" s="1874" t="s">
        <v>3333</v>
      </c>
      <c r="F381" s="1874" t="s">
        <v>2778</v>
      </c>
      <c r="G381" s="1874" t="s">
        <v>22</v>
      </c>
      <c r="H381" s="1874" t="s">
        <v>22</v>
      </c>
      <c r="I381" s="1874" t="s">
        <v>1004</v>
      </c>
    </row>
    <row customHeight="1" ht="11.25">
      <c r="A382" s="1874" t="s">
        <v>2582</v>
      </c>
      <c r="B382" s="1874" t="s">
        <v>16</v>
      </c>
      <c r="C382" s="1874" t="s">
        <v>3184</v>
      </c>
      <c r="D382" s="1874" t="s">
        <v>3185</v>
      </c>
      <c r="E382" s="1874" t="s">
        <v>3186</v>
      </c>
      <c r="F382" s="1874" t="s">
        <v>2939</v>
      </c>
      <c r="G382" s="1874" t="s">
        <v>22</v>
      </c>
      <c r="H382" s="1874" t="s">
        <v>22</v>
      </c>
      <c r="I382" s="1874" t="s">
        <v>1004</v>
      </c>
    </row>
    <row customHeight="1" ht="11.25">
      <c r="A383" s="1874" t="s">
        <v>2582</v>
      </c>
      <c r="B383" s="1874" t="s">
        <v>16</v>
      </c>
      <c r="C383" s="1874" t="s">
        <v>2622</v>
      </c>
      <c r="D383" s="1874" t="s">
        <v>2623</v>
      </c>
      <c r="E383" s="1874" t="s">
        <v>2624</v>
      </c>
      <c r="F383" s="1874" t="s">
        <v>2591</v>
      </c>
      <c r="G383" s="1874" t="s">
        <v>22</v>
      </c>
      <c r="H383" s="1874" t="s">
        <v>22</v>
      </c>
      <c r="I383" s="1874" t="s">
        <v>1004</v>
      </c>
    </row>
    <row customHeight="1" ht="11.25">
      <c r="A384" s="1874" t="s">
        <v>2582</v>
      </c>
      <c r="B384" s="1874" t="s">
        <v>16</v>
      </c>
      <c r="C384" s="1874" t="s">
        <v>2625</v>
      </c>
      <c r="D384" s="1874" t="s">
        <v>2626</v>
      </c>
      <c r="E384" s="1874" t="s">
        <v>2627</v>
      </c>
      <c r="F384" s="1874" t="s">
        <v>2628</v>
      </c>
      <c r="G384" s="1874" t="s">
        <v>2629</v>
      </c>
      <c r="H384" s="1874" t="s">
        <v>22</v>
      </c>
      <c r="I384" s="1874" t="s">
        <v>1004</v>
      </c>
    </row>
    <row customHeight="1" ht="11.25">
      <c r="A385" s="1874" t="s">
        <v>2582</v>
      </c>
      <c r="B385" s="1874" t="s">
        <v>16</v>
      </c>
      <c r="C385" s="1874" t="s">
        <v>2634</v>
      </c>
      <c r="D385" s="1874" t="s">
        <v>2635</v>
      </c>
      <c r="E385" s="1874" t="s">
        <v>2636</v>
      </c>
      <c r="F385" s="1874" t="s">
        <v>2637</v>
      </c>
      <c r="G385" s="1874" t="s">
        <v>22</v>
      </c>
      <c r="H385" s="1874" t="s">
        <v>22</v>
      </c>
      <c r="I385" s="1874" t="s">
        <v>1004</v>
      </c>
    </row>
    <row customHeight="1" ht="11.25">
      <c r="A386" s="1874" t="s">
        <v>2582</v>
      </c>
      <c r="B386" s="1874" t="s">
        <v>16</v>
      </c>
      <c r="C386" s="1874" t="s">
        <v>2642</v>
      </c>
      <c r="D386" s="1874" t="s">
        <v>2643</v>
      </c>
      <c r="E386" s="1874" t="s">
        <v>2644</v>
      </c>
      <c r="F386" s="1874" t="s">
        <v>2628</v>
      </c>
      <c r="G386" s="1874" t="s">
        <v>22</v>
      </c>
      <c r="H386" s="1874" t="s">
        <v>22</v>
      </c>
      <c r="I386" s="1874" t="s">
        <v>1004</v>
      </c>
    </row>
    <row customHeight="1" ht="11.25">
      <c r="A387" s="1874" t="s">
        <v>2582</v>
      </c>
      <c r="B387" s="1874" t="s">
        <v>16</v>
      </c>
      <c r="C387" s="1874" t="s">
        <v>3187</v>
      </c>
      <c r="D387" s="1874" t="s">
        <v>3188</v>
      </c>
      <c r="E387" s="1874" t="s">
        <v>3189</v>
      </c>
      <c r="F387" s="1874" t="s">
        <v>2735</v>
      </c>
      <c r="G387" s="1874" t="s">
        <v>22</v>
      </c>
      <c r="H387" s="1874" t="s">
        <v>22</v>
      </c>
      <c r="I387" s="1874" t="s">
        <v>1004</v>
      </c>
    </row>
    <row customHeight="1" ht="11.25">
      <c r="A388" s="1874" t="s">
        <v>2582</v>
      </c>
      <c r="B388" s="1874" t="s">
        <v>16</v>
      </c>
      <c r="C388" s="1874" t="s">
        <v>2656</v>
      </c>
      <c r="D388" s="1874" t="s">
        <v>2657</v>
      </c>
      <c r="E388" s="1874" t="s">
        <v>2658</v>
      </c>
      <c r="F388" s="1874" t="s">
        <v>2659</v>
      </c>
      <c r="G388" s="1874" t="s">
        <v>22</v>
      </c>
      <c r="H388" s="1874" t="s">
        <v>22</v>
      </c>
      <c r="I388" s="1874" t="s">
        <v>1004</v>
      </c>
    </row>
    <row customHeight="1" ht="11.25">
      <c r="A389" s="1874" t="s">
        <v>2582</v>
      </c>
      <c r="B389" s="1874" t="s">
        <v>16</v>
      </c>
      <c r="C389" s="1874" t="s">
        <v>2660</v>
      </c>
      <c r="D389" s="1874" t="s">
        <v>2661</v>
      </c>
      <c r="E389" s="1874" t="s">
        <v>2662</v>
      </c>
      <c r="F389" s="1874" t="s">
        <v>2663</v>
      </c>
      <c r="G389" s="1874" t="s">
        <v>22</v>
      </c>
      <c r="H389" s="1874" t="s">
        <v>22</v>
      </c>
      <c r="I389" s="1874" t="s">
        <v>1004</v>
      </c>
    </row>
    <row customHeight="1" ht="11.25">
      <c r="A390" s="1874" t="s">
        <v>2582</v>
      </c>
      <c r="B390" s="1874" t="s">
        <v>16</v>
      </c>
      <c r="C390" s="1874" t="s">
        <v>3334</v>
      </c>
      <c r="D390" s="1874" t="s">
        <v>3335</v>
      </c>
      <c r="E390" s="1874" t="s">
        <v>3336</v>
      </c>
      <c r="F390" s="1874" t="s">
        <v>2628</v>
      </c>
      <c r="G390" s="1874" t="s">
        <v>22</v>
      </c>
      <c r="H390" s="1874" t="s">
        <v>22</v>
      </c>
      <c r="I390" s="1874" t="s">
        <v>1004</v>
      </c>
    </row>
    <row customHeight="1" ht="11.25">
      <c r="A391" s="1874" t="s">
        <v>2582</v>
      </c>
      <c r="B391" s="1874" t="s">
        <v>16</v>
      </c>
      <c r="C391" s="1874" t="s">
        <v>2671</v>
      </c>
      <c r="D391" s="1874" t="s">
        <v>2672</v>
      </c>
      <c r="E391" s="1874" t="s">
        <v>2673</v>
      </c>
      <c r="F391" s="1874" t="s">
        <v>51</v>
      </c>
      <c r="G391" s="1874" t="s">
        <v>2674</v>
      </c>
      <c r="H391" s="1874" t="s">
        <v>22</v>
      </c>
      <c r="I391" s="1874" t="s">
        <v>1004</v>
      </c>
    </row>
    <row customHeight="1" ht="11.25">
      <c r="A392" s="1874" t="s">
        <v>2582</v>
      </c>
      <c r="B392" s="1874" t="s">
        <v>16</v>
      </c>
      <c r="C392" s="1874" t="s">
        <v>22</v>
      </c>
      <c r="D392" s="1874" t="s">
        <v>2675</v>
      </c>
      <c r="E392" s="1874" t="s">
        <v>2676</v>
      </c>
      <c r="F392" s="1874" t="s">
        <v>51</v>
      </c>
      <c r="G392" s="1874" t="s">
        <v>22</v>
      </c>
      <c r="H392" s="1874" t="s">
        <v>22</v>
      </c>
      <c r="I392" s="1874" t="s">
        <v>1004</v>
      </c>
    </row>
    <row customHeight="1" ht="11.25">
      <c r="A393" s="1874" t="s">
        <v>2582</v>
      </c>
      <c r="B393" s="1874" t="s">
        <v>16</v>
      </c>
      <c r="C393" s="1874" t="s">
        <v>2677</v>
      </c>
      <c r="D393" s="1874" t="s">
        <v>2678</v>
      </c>
      <c r="E393" s="1874" t="s">
        <v>2679</v>
      </c>
      <c r="F393" s="1874" t="s">
        <v>2680</v>
      </c>
      <c r="G393" s="1874" t="s">
        <v>2681</v>
      </c>
      <c r="H393" s="1874" t="s">
        <v>22</v>
      </c>
      <c r="I393" s="1874" t="s">
        <v>1004</v>
      </c>
    </row>
    <row customHeight="1" ht="11.25">
      <c r="A394" s="1874" t="s">
        <v>2582</v>
      </c>
      <c r="B394" s="1874" t="s">
        <v>16</v>
      </c>
      <c r="C394" s="1874" t="s">
        <v>2682</v>
      </c>
      <c r="D394" s="1874" t="s">
        <v>2683</v>
      </c>
      <c r="E394" s="1874" t="s">
        <v>2684</v>
      </c>
      <c r="F394" s="1874" t="s">
        <v>2685</v>
      </c>
      <c r="G394" s="1874" t="s">
        <v>22</v>
      </c>
      <c r="H394" s="1874" t="s">
        <v>22</v>
      </c>
      <c r="I394" s="1874" t="s">
        <v>1004</v>
      </c>
    </row>
    <row customHeight="1" ht="11.25">
      <c r="A395" s="1874" t="s">
        <v>2582</v>
      </c>
      <c r="B395" s="1874" t="s">
        <v>16</v>
      </c>
      <c r="C395" s="1874" t="s">
        <v>2695</v>
      </c>
      <c r="D395" s="1874" t="s">
        <v>2696</v>
      </c>
      <c r="E395" s="1874" t="s">
        <v>2697</v>
      </c>
      <c r="F395" s="1874" t="s">
        <v>2698</v>
      </c>
      <c r="G395" s="1874" t="s">
        <v>2699</v>
      </c>
      <c r="H395" s="1874" t="s">
        <v>22</v>
      </c>
      <c r="I395" s="1874" t="s">
        <v>1004</v>
      </c>
    </row>
    <row customHeight="1" ht="11.25">
      <c r="A396" s="1874" t="s">
        <v>2582</v>
      </c>
      <c r="B396" s="1874" t="s">
        <v>16</v>
      </c>
      <c r="C396" s="1874" t="s">
        <v>2700</v>
      </c>
      <c r="D396" s="1874" t="s">
        <v>2701</v>
      </c>
      <c r="E396" s="1874" t="s">
        <v>2702</v>
      </c>
      <c r="F396" s="1874" t="s">
        <v>2637</v>
      </c>
      <c r="G396" s="1874" t="s">
        <v>22</v>
      </c>
      <c r="H396" s="1874" t="s">
        <v>22</v>
      </c>
      <c r="I396" s="1874" t="s">
        <v>1004</v>
      </c>
    </row>
    <row customHeight="1" ht="11.25">
      <c r="A397" s="1874" t="s">
        <v>2582</v>
      </c>
      <c r="B397" s="1874" t="s">
        <v>16</v>
      </c>
      <c r="C397" s="1874" t="s">
        <v>2703</v>
      </c>
      <c r="D397" s="1874" t="s">
        <v>2701</v>
      </c>
      <c r="E397" s="1874" t="s">
        <v>2704</v>
      </c>
      <c r="F397" s="1874" t="s">
        <v>2659</v>
      </c>
      <c r="G397" s="1874" t="s">
        <v>2705</v>
      </c>
      <c r="H397" s="1874" t="s">
        <v>22</v>
      </c>
      <c r="I397" s="1874" t="s">
        <v>1004</v>
      </c>
    </row>
    <row customHeight="1" ht="11.25">
      <c r="A398" s="1874" t="s">
        <v>2582</v>
      </c>
      <c r="B398" s="1874" t="s">
        <v>16</v>
      </c>
      <c r="C398" s="1874" t="s">
        <v>3220</v>
      </c>
      <c r="D398" s="1874" t="s">
        <v>3221</v>
      </c>
      <c r="E398" s="1874" t="s">
        <v>3222</v>
      </c>
      <c r="F398" s="1874" t="s">
        <v>2735</v>
      </c>
      <c r="G398" s="1874" t="s">
        <v>3223</v>
      </c>
      <c r="H398" s="1874" t="s">
        <v>22</v>
      </c>
      <c r="I398" s="1874" t="s">
        <v>1004</v>
      </c>
    </row>
    <row customHeight="1" ht="11.25">
      <c r="A399" s="1874" t="s">
        <v>2582</v>
      </c>
      <c r="B399" s="1874" t="s">
        <v>16</v>
      </c>
      <c r="C399" s="1874" t="s">
        <v>3224</v>
      </c>
      <c r="D399" s="1874" t="s">
        <v>3225</v>
      </c>
      <c r="E399" s="1874" t="s">
        <v>3226</v>
      </c>
      <c r="F399" s="1874" t="s">
        <v>2709</v>
      </c>
      <c r="G399" s="1874" t="s">
        <v>22</v>
      </c>
      <c r="H399" s="1874" t="s">
        <v>22</v>
      </c>
      <c r="I399" s="1874" t="s">
        <v>1004</v>
      </c>
    </row>
    <row customHeight="1" ht="11.25">
      <c r="A400" s="1874" t="s">
        <v>2582</v>
      </c>
      <c r="B400" s="1874" t="s">
        <v>16</v>
      </c>
      <c r="C400" s="1874" t="s">
        <v>3227</v>
      </c>
      <c r="D400" s="1874" t="s">
        <v>3228</v>
      </c>
      <c r="E400" s="1874" t="s">
        <v>3229</v>
      </c>
      <c r="F400" s="1874" t="s">
        <v>2778</v>
      </c>
      <c r="G400" s="1874" t="s">
        <v>22</v>
      </c>
      <c r="H400" s="1874" t="s">
        <v>22</v>
      </c>
      <c r="I400" s="1874" t="s">
        <v>1004</v>
      </c>
    </row>
    <row customHeight="1" ht="11.25">
      <c r="A401" s="1874" t="s">
        <v>2582</v>
      </c>
      <c r="B401" s="1874" t="s">
        <v>16</v>
      </c>
      <c r="C401" s="1874" t="s">
        <v>2710</v>
      </c>
      <c r="D401" s="1874" t="s">
        <v>2711</v>
      </c>
      <c r="E401" s="1874" t="s">
        <v>2712</v>
      </c>
      <c r="F401" s="1874" t="s">
        <v>2655</v>
      </c>
      <c r="G401" s="1874" t="s">
        <v>2713</v>
      </c>
      <c r="H401" s="1874" t="s">
        <v>22</v>
      </c>
      <c r="I401" s="1874" t="s">
        <v>1004</v>
      </c>
    </row>
    <row customHeight="1" ht="11.25">
      <c r="A402" s="1874" t="s">
        <v>2582</v>
      </c>
      <c r="B402" s="1874" t="s">
        <v>16</v>
      </c>
      <c r="C402" s="1874" t="s">
        <v>2721</v>
      </c>
      <c r="D402" s="1874" t="s">
        <v>2722</v>
      </c>
      <c r="E402" s="1874" t="s">
        <v>2723</v>
      </c>
      <c r="F402" s="1874" t="s">
        <v>2680</v>
      </c>
      <c r="G402" s="1874" t="s">
        <v>22</v>
      </c>
      <c r="H402" s="1874" t="s">
        <v>22</v>
      </c>
      <c r="I402" s="1874" t="s">
        <v>1004</v>
      </c>
    </row>
    <row customHeight="1" ht="11.25">
      <c r="A403" s="1874" t="s">
        <v>2582</v>
      </c>
      <c r="B403" s="1874" t="s">
        <v>16</v>
      </c>
      <c r="C403" s="1874" t="s">
        <v>2724</v>
      </c>
      <c r="D403" s="1874" t="s">
        <v>2725</v>
      </c>
      <c r="E403" s="1874" t="s">
        <v>2726</v>
      </c>
      <c r="F403" s="1874" t="s">
        <v>2727</v>
      </c>
      <c r="G403" s="1874" t="s">
        <v>22</v>
      </c>
      <c r="H403" s="1874" t="s">
        <v>22</v>
      </c>
      <c r="I403" s="1874" t="s">
        <v>1004</v>
      </c>
    </row>
    <row customHeight="1" ht="11.25">
      <c r="A404" s="1874" t="s">
        <v>2582</v>
      </c>
      <c r="B404" s="1874" t="s">
        <v>16</v>
      </c>
      <c r="C404" s="1874" t="s">
        <v>2728</v>
      </c>
      <c r="D404" s="1874" t="s">
        <v>2729</v>
      </c>
      <c r="E404" s="1874" t="s">
        <v>2730</v>
      </c>
      <c r="F404" s="1874" t="s">
        <v>2709</v>
      </c>
      <c r="G404" s="1874" t="s">
        <v>2731</v>
      </c>
      <c r="H404" s="1874" t="s">
        <v>22</v>
      </c>
      <c r="I404" s="1874" t="s">
        <v>1004</v>
      </c>
    </row>
    <row customHeight="1" ht="11.25">
      <c r="A405" s="1874" t="s">
        <v>2582</v>
      </c>
      <c r="B405" s="1874" t="s">
        <v>16</v>
      </c>
      <c r="C405" s="1874" t="s">
        <v>2732</v>
      </c>
      <c r="D405" s="1874" t="s">
        <v>2733</v>
      </c>
      <c r="E405" s="1874" t="s">
        <v>2734</v>
      </c>
      <c r="F405" s="1874" t="s">
        <v>2735</v>
      </c>
      <c r="G405" s="1874" t="s">
        <v>22</v>
      </c>
      <c r="H405" s="1874" t="s">
        <v>22</v>
      </c>
      <c r="I405" s="1874" t="s">
        <v>1004</v>
      </c>
    </row>
    <row customHeight="1" ht="11.25">
      <c r="A406" s="1874" t="s">
        <v>2582</v>
      </c>
      <c r="B406" s="1874" t="s">
        <v>16</v>
      </c>
      <c r="C406" s="1874" t="s">
        <v>2736</v>
      </c>
      <c r="D406" s="1874" t="s">
        <v>2737</v>
      </c>
      <c r="E406" s="1874" t="s">
        <v>2738</v>
      </c>
      <c r="F406" s="1874" t="s">
        <v>2735</v>
      </c>
      <c r="G406" s="1874" t="s">
        <v>2739</v>
      </c>
      <c r="H406" s="1874" t="s">
        <v>22</v>
      </c>
      <c r="I406" s="1874" t="s">
        <v>1004</v>
      </c>
    </row>
    <row customHeight="1" ht="11.25">
      <c r="A407" s="1874" t="s">
        <v>2582</v>
      </c>
      <c r="B407" s="1874" t="s">
        <v>16</v>
      </c>
      <c r="C407" s="1874" t="s">
        <v>2740</v>
      </c>
      <c r="D407" s="1874" t="s">
        <v>2741</v>
      </c>
      <c r="E407" s="1874" t="s">
        <v>2742</v>
      </c>
      <c r="F407" s="1874" t="s">
        <v>2709</v>
      </c>
      <c r="G407" s="1874" t="s">
        <v>22</v>
      </c>
      <c r="H407" s="1874" t="s">
        <v>22</v>
      </c>
      <c r="I407" s="1874" t="s">
        <v>1004</v>
      </c>
    </row>
    <row customHeight="1" ht="11.25">
      <c r="A408" s="1874" t="s">
        <v>2582</v>
      </c>
      <c r="B408" s="1874" t="s">
        <v>16</v>
      </c>
      <c r="C408" s="1874" t="s">
        <v>2743</v>
      </c>
      <c r="D408" s="1874" t="s">
        <v>2744</v>
      </c>
      <c r="E408" s="1874" t="s">
        <v>2745</v>
      </c>
      <c r="F408" s="1874" t="s">
        <v>2746</v>
      </c>
      <c r="G408" s="1874" t="s">
        <v>2747</v>
      </c>
      <c r="H408" s="1874" t="s">
        <v>22</v>
      </c>
      <c r="I408" s="1874" t="s">
        <v>1004</v>
      </c>
    </row>
    <row customHeight="1" ht="11.25">
      <c r="A409" s="1874" t="s">
        <v>2582</v>
      </c>
      <c r="B409" s="1874" t="s">
        <v>16</v>
      </c>
      <c r="C409" s="1874" t="s">
        <v>3230</v>
      </c>
      <c r="D409" s="1874" t="s">
        <v>3231</v>
      </c>
      <c r="E409" s="1874" t="s">
        <v>3232</v>
      </c>
      <c r="F409" s="1874" t="s">
        <v>2709</v>
      </c>
      <c r="G409" s="1874" t="s">
        <v>3233</v>
      </c>
      <c r="H409" s="1874" t="s">
        <v>22</v>
      </c>
      <c r="I409" s="1874" t="s">
        <v>1004</v>
      </c>
    </row>
    <row customHeight="1" ht="11.25">
      <c r="A410" s="1874" t="s">
        <v>2582</v>
      </c>
      <c r="B410" s="1874" t="s">
        <v>16</v>
      </c>
      <c r="C410" s="1874" t="s">
        <v>3234</v>
      </c>
      <c r="D410" s="1874" t="s">
        <v>3235</v>
      </c>
      <c r="E410" s="1874" t="s">
        <v>3236</v>
      </c>
      <c r="F410" s="1874" t="s">
        <v>2746</v>
      </c>
      <c r="G410" s="1874" t="s">
        <v>3237</v>
      </c>
      <c r="H410" s="1874" t="s">
        <v>22</v>
      </c>
      <c r="I410" s="1874" t="s">
        <v>1004</v>
      </c>
    </row>
    <row customHeight="1" ht="11.25">
      <c r="A411" s="1874" t="s">
        <v>2582</v>
      </c>
      <c r="B411" s="1874" t="s">
        <v>16</v>
      </c>
      <c r="C411" s="1874" t="s">
        <v>2752</v>
      </c>
      <c r="D411" s="1874" t="s">
        <v>2753</v>
      </c>
      <c r="E411" s="1874" t="s">
        <v>2754</v>
      </c>
      <c r="F411" s="1874" t="s">
        <v>2755</v>
      </c>
      <c r="G411" s="1874" t="s">
        <v>22</v>
      </c>
      <c r="H411" s="1874" t="s">
        <v>22</v>
      </c>
      <c r="I411" s="1874" t="s">
        <v>1004</v>
      </c>
    </row>
    <row customHeight="1" ht="11.25">
      <c r="A412" s="1874" t="s">
        <v>2582</v>
      </c>
      <c r="B412" s="1874" t="s">
        <v>16</v>
      </c>
      <c r="C412" s="1874" t="s">
        <v>3337</v>
      </c>
      <c r="D412" s="1874" t="s">
        <v>3338</v>
      </c>
      <c r="E412" s="1874" t="s">
        <v>3339</v>
      </c>
      <c r="F412" s="1874" t="s">
        <v>2746</v>
      </c>
      <c r="G412" s="1874" t="s">
        <v>3340</v>
      </c>
      <c r="H412" s="1874" t="s">
        <v>22</v>
      </c>
      <c r="I412" s="1874" t="s">
        <v>1004</v>
      </c>
    </row>
    <row customHeight="1" ht="11.25">
      <c r="A413" s="1874" t="s">
        <v>2582</v>
      </c>
      <c r="B413" s="1874" t="s">
        <v>16</v>
      </c>
      <c r="C413" s="1874" t="s">
        <v>2765</v>
      </c>
      <c r="D413" s="1874" t="s">
        <v>2766</v>
      </c>
      <c r="E413" s="1874" t="s">
        <v>2767</v>
      </c>
      <c r="F413" s="1874" t="s">
        <v>2735</v>
      </c>
      <c r="G413" s="1874" t="s">
        <v>2768</v>
      </c>
      <c r="H413" s="1874" t="s">
        <v>22</v>
      </c>
      <c r="I413" s="1874" t="s">
        <v>1004</v>
      </c>
    </row>
    <row customHeight="1" ht="11.25">
      <c r="A414" s="1874" t="s">
        <v>2582</v>
      </c>
      <c r="B414" s="1874" t="s">
        <v>16</v>
      </c>
      <c r="C414" s="1874" t="s">
        <v>2769</v>
      </c>
      <c r="D414" s="1874" t="s">
        <v>2770</v>
      </c>
      <c r="E414" s="1874" t="s">
        <v>2771</v>
      </c>
      <c r="F414" s="1874" t="s">
        <v>2735</v>
      </c>
      <c r="G414" s="1874" t="s">
        <v>22</v>
      </c>
      <c r="H414" s="1874" t="s">
        <v>22</v>
      </c>
      <c r="I414" s="1874" t="s">
        <v>1004</v>
      </c>
    </row>
    <row customHeight="1" ht="11.25">
      <c r="A415" s="1874" t="s">
        <v>2582</v>
      </c>
      <c r="B415" s="1874" t="s">
        <v>16</v>
      </c>
      <c r="C415" s="1874" t="s">
        <v>2772</v>
      </c>
      <c r="D415" s="1874" t="s">
        <v>2773</v>
      </c>
      <c r="E415" s="1874" t="s">
        <v>2774</v>
      </c>
      <c r="F415" s="1874" t="s">
        <v>2659</v>
      </c>
      <c r="G415" s="1874" t="s">
        <v>22</v>
      </c>
      <c r="H415" s="1874" t="s">
        <v>22</v>
      </c>
      <c r="I415" s="1874" t="s">
        <v>1004</v>
      </c>
    </row>
    <row customHeight="1" ht="11.25">
      <c r="A416" s="1874" t="s">
        <v>2582</v>
      </c>
      <c r="B416" s="1874" t="s">
        <v>16</v>
      </c>
      <c r="C416" s="1874" t="s">
        <v>3341</v>
      </c>
      <c r="D416" s="1874" t="s">
        <v>3342</v>
      </c>
      <c r="E416" s="1874" t="s">
        <v>3343</v>
      </c>
      <c r="F416" s="1874" t="s">
        <v>2680</v>
      </c>
      <c r="G416" s="1874" t="s">
        <v>3344</v>
      </c>
      <c r="H416" s="1874" t="s">
        <v>22</v>
      </c>
      <c r="I416" s="1874" t="s">
        <v>1004</v>
      </c>
    </row>
    <row customHeight="1" ht="11.25">
      <c r="A417" s="1874" t="s">
        <v>2582</v>
      </c>
      <c r="B417" s="1874" t="s">
        <v>16</v>
      </c>
      <c r="C417" s="1874" t="s">
        <v>2779</v>
      </c>
      <c r="D417" s="1874" t="s">
        <v>2780</v>
      </c>
      <c r="E417" s="1874" t="s">
        <v>2781</v>
      </c>
      <c r="F417" s="1874" t="s">
        <v>2698</v>
      </c>
      <c r="G417" s="1874" t="s">
        <v>2782</v>
      </c>
      <c r="H417" s="1874" t="s">
        <v>22</v>
      </c>
      <c r="I417" s="1874" t="s">
        <v>1004</v>
      </c>
    </row>
    <row customHeight="1" ht="11.25">
      <c r="A418" s="1874" t="s">
        <v>2582</v>
      </c>
      <c r="B418" s="1874" t="s">
        <v>16</v>
      </c>
      <c r="C418" s="1874" t="s">
        <v>2783</v>
      </c>
      <c r="D418" s="1874" t="s">
        <v>2784</v>
      </c>
      <c r="E418" s="1874" t="s">
        <v>2785</v>
      </c>
      <c r="F418" s="1874" t="s">
        <v>2735</v>
      </c>
      <c r="G418" s="1874" t="s">
        <v>2786</v>
      </c>
      <c r="H418" s="1874" t="s">
        <v>22</v>
      </c>
      <c r="I418" s="1874" t="s">
        <v>1004</v>
      </c>
    </row>
    <row customHeight="1" ht="11.25">
      <c r="A419" s="1874" t="s">
        <v>2582</v>
      </c>
      <c r="B419" s="1874" t="s">
        <v>16</v>
      </c>
      <c r="C419" s="1874" t="s">
        <v>2790</v>
      </c>
      <c r="D419" s="1874" t="s">
        <v>2791</v>
      </c>
      <c r="E419" s="1874" t="s">
        <v>2792</v>
      </c>
      <c r="F419" s="1874" t="s">
        <v>2746</v>
      </c>
      <c r="G419" s="1874" t="s">
        <v>22</v>
      </c>
      <c r="H419" s="1874" t="s">
        <v>22</v>
      </c>
      <c r="I419" s="1874" t="s">
        <v>1004</v>
      </c>
    </row>
    <row customHeight="1" ht="11.25">
      <c r="A420" s="1874" t="s">
        <v>2582</v>
      </c>
      <c r="B420" s="1874" t="s">
        <v>16</v>
      </c>
      <c r="C420" s="1874" t="s">
        <v>2793</v>
      </c>
      <c r="D420" s="1874" t="s">
        <v>2794</v>
      </c>
      <c r="E420" s="1874" t="s">
        <v>2795</v>
      </c>
      <c r="F420" s="1874" t="s">
        <v>2778</v>
      </c>
      <c r="G420" s="1874" t="s">
        <v>22</v>
      </c>
      <c r="H420" s="1874" t="s">
        <v>22</v>
      </c>
      <c r="I420" s="1874" t="s">
        <v>1004</v>
      </c>
    </row>
    <row customHeight="1" ht="11.25">
      <c r="A421" s="1874" t="s">
        <v>2582</v>
      </c>
      <c r="B421" s="1874" t="s">
        <v>16</v>
      </c>
      <c r="C421" s="1874" t="s">
        <v>2796</v>
      </c>
      <c r="D421" s="1874" t="s">
        <v>2797</v>
      </c>
      <c r="E421" s="1874" t="s">
        <v>2798</v>
      </c>
      <c r="F421" s="1874" t="s">
        <v>2735</v>
      </c>
      <c r="G421" s="1874" t="s">
        <v>2799</v>
      </c>
      <c r="H421" s="1874" t="s">
        <v>22</v>
      </c>
      <c r="I421" s="1874" t="s">
        <v>1004</v>
      </c>
    </row>
    <row customHeight="1" ht="11.25">
      <c r="A422" s="1874" t="s">
        <v>2582</v>
      </c>
      <c r="B422" s="1874" t="s">
        <v>16</v>
      </c>
      <c r="C422" s="1874" t="s">
        <v>2804</v>
      </c>
      <c r="D422" s="1874" t="s">
        <v>2805</v>
      </c>
      <c r="E422" s="1874" t="s">
        <v>2806</v>
      </c>
      <c r="F422" s="1874" t="s">
        <v>2746</v>
      </c>
      <c r="G422" s="1874" t="s">
        <v>2807</v>
      </c>
      <c r="H422" s="1874" t="s">
        <v>22</v>
      </c>
      <c r="I422" s="1874" t="s">
        <v>1004</v>
      </c>
    </row>
    <row customHeight="1" ht="11.25">
      <c r="A423" s="1874" t="s">
        <v>2582</v>
      </c>
      <c r="B423" s="1874" t="s">
        <v>16</v>
      </c>
      <c r="C423" s="1874" t="s">
        <v>2808</v>
      </c>
      <c r="D423" s="1874" t="s">
        <v>2805</v>
      </c>
      <c r="E423" s="1874" t="s">
        <v>2809</v>
      </c>
      <c r="F423" s="1874" t="s">
        <v>2637</v>
      </c>
      <c r="G423" s="1874" t="s">
        <v>2810</v>
      </c>
      <c r="H423" s="1874" t="s">
        <v>22</v>
      </c>
      <c r="I423" s="1874" t="s">
        <v>1004</v>
      </c>
    </row>
    <row customHeight="1" ht="11.25">
      <c r="A424" s="1874" t="s">
        <v>2582</v>
      </c>
      <c r="B424" s="1874" t="s">
        <v>16</v>
      </c>
      <c r="C424" s="1874" t="s">
        <v>2811</v>
      </c>
      <c r="D424" s="1874" t="s">
        <v>2812</v>
      </c>
      <c r="E424" s="1874" t="s">
        <v>2813</v>
      </c>
      <c r="F424" s="1874" t="s">
        <v>2727</v>
      </c>
      <c r="G424" s="1874" t="s">
        <v>22</v>
      </c>
      <c r="H424" s="1874" t="s">
        <v>22</v>
      </c>
      <c r="I424" s="1874" t="s">
        <v>1004</v>
      </c>
    </row>
    <row customHeight="1" ht="11.25">
      <c r="A425" s="1874" t="s">
        <v>2582</v>
      </c>
      <c r="B425" s="1874" t="s">
        <v>16</v>
      </c>
      <c r="C425" s="1874" t="s">
        <v>2814</v>
      </c>
      <c r="D425" s="1874" t="s">
        <v>2815</v>
      </c>
      <c r="E425" s="1874" t="s">
        <v>2816</v>
      </c>
      <c r="F425" s="1874" t="s">
        <v>2727</v>
      </c>
      <c r="G425" s="1874" t="s">
        <v>2817</v>
      </c>
      <c r="H425" s="1874" t="s">
        <v>22</v>
      </c>
      <c r="I425" s="1874" t="s">
        <v>1004</v>
      </c>
    </row>
    <row customHeight="1" ht="11.25">
      <c r="A426" s="1874" t="s">
        <v>2582</v>
      </c>
      <c r="B426" s="1874" t="s">
        <v>16</v>
      </c>
      <c r="C426" s="1874" t="s">
        <v>2818</v>
      </c>
      <c r="D426" s="1874" t="s">
        <v>2819</v>
      </c>
      <c r="E426" s="1874" t="s">
        <v>2820</v>
      </c>
      <c r="F426" s="1874" t="s">
        <v>2689</v>
      </c>
      <c r="G426" s="1874" t="s">
        <v>22</v>
      </c>
      <c r="H426" s="1874" t="s">
        <v>22</v>
      </c>
      <c r="I426" s="1874" t="s">
        <v>1004</v>
      </c>
    </row>
    <row customHeight="1" ht="11.25">
      <c r="A427" s="1874" t="s">
        <v>2582</v>
      </c>
      <c r="B427" s="1874" t="s">
        <v>16</v>
      </c>
      <c r="C427" s="1874" t="s">
        <v>2833</v>
      </c>
      <c r="D427" s="1874" t="s">
        <v>2834</v>
      </c>
      <c r="E427" s="1874" t="s">
        <v>2835</v>
      </c>
      <c r="F427" s="1874" t="s">
        <v>2709</v>
      </c>
      <c r="G427" s="1874" t="s">
        <v>2836</v>
      </c>
      <c r="H427" s="1874" t="s">
        <v>22</v>
      </c>
      <c r="I427" s="1874" t="s">
        <v>1004</v>
      </c>
    </row>
    <row customHeight="1" ht="11.25">
      <c r="A428" s="1874" t="s">
        <v>2582</v>
      </c>
      <c r="B428" s="1874" t="s">
        <v>16</v>
      </c>
      <c r="C428" s="1874" t="s">
        <v>3245</v>
      </c>
      <c r="D428" s="1874" t="s">
        <v>3246</v>
      </c>
      <c r="E428" s="1874" t="s">
        <v>3247</v>
      </c>
      <c r="F428" s="1874" t="s">
        <v>51</v>
      </c>
      <c r="G428" s="1874" t="s">
        <v>22</v>
      </c>
      <c r="H428" s="1874" t="s">
        <v>22</v>
      </c>
      <c r="I428" s="1874" t="s">
        <v>1004</v>
      </c>
    </row>
    <row customHeight="1" ht="11.25">
      <c r="A429" s="1874" t="s">
        <v>2582</v>
      </c>
      <c r="B429" s="1874" t="s">
        <v>16</v>
      </c>
      <c r="C429" s="1874" t="s">
        <v>2840</v>
      </c>
      <c r="D429" s="1874" t="s">
        <v>2841</v>
      </c>
      <c r="E429" s="1874" t="s">
        <v>2842</v>
      </c>
      <c r="F429" s="1874" t="s">
        <v>2755</v>
      </c>
      <c r="G429" s="1874" t="s">
        <v>22</v>
      </c>
      <c r="H429" s="1874" t="s">
        <v>22</v>
      </c>
      <c r="I429" s="1874" t="s">
        <v>1004</v>
      </c>
    </row>
    <row customHeight="1" ht="11.25">
      <c r="A430" s="1874" t="s">
        <v>2582</v>
      </c>
      <c r="B430" s="1874" t="s">
        <v>16</v>
      </c>
      <c r="C430" s="1874" t="s">
        <v>2846</v>
      </c>
      <c r="D430" s="1874" t="s">
        <v>2847</v>
      </c>
      <c r="E430" s="1874" t="s">
        <v>2848</v>
      </c>
      <c r="F430" s="1874" t="s">
        <v>2637</v>
      </c>
      <c r="G430" s="1874" t="s">
        <v>2849</v>
      </c>
      <c r="H430" s="1874" t="s">
        <v>22</v>
      </c>
      <c r="I430" s="1874" t="s">
        <v>1004</v>
      </c>
    </row>
    <row customHeight="1" ht="11.25">
      <c r="A431" s="1874" t="s">
        <v>2582</v>
      </c>
      <c r="B431" s="1874" t="s">
        <v>16</v>
      </c>
      <c r="C431" s="1874" t="s">
        <v>2850</v>
      </c>
      <c r="D431" s="1874" t="s">
        <v>2851</v>
      </c>
      <c r="E431" s="1874" t="s">
        <v>2852</v>
      </c>
      <c r="F431" s="1874" t="s">
        <v>2689</v>
      </c>
      <c r="G431" s="1874" t="s">
        <v>22</v>
      </c>
      <c r="H431" s="1874" t="s">
        <v>22</v>
      </c>
      <c r="I431" s="1874" t="s">
        <v>1004</v>
      </c>
    </row>
    <row customHeight="1" ht="11.25">
      <c r="A432" s="1874" t="s">
        <v>2582</v>
      </c>
      <c r="B432" s="1874" t="s">
        <v>16</v>
      </c>
      <c r="C432" s="1874" t="s">
        <v>2853</v>
      </c>
      <c r="D432" s="1874" t="s">
        <v>2854</v>
      </c>
      <c r="E432" s="1874" t="s">
        <v>2855</v>
      </c>
      <c r="F432" s="1874" t="s">
        <v>2735</v>
      </c>
      <c r="G432" s="1874" t="s">
        <v>22</v>
      </c>
      <c r="H432" s="1874" t="s">
        <v>22</v>
      </c>
      <c r="I432" s="1874" t="s">
        <v>1004</v>
      </c>
    </row>
    <row customHeight="1" ht="11.25">
      <c r="A433" s="1874" t="s">
        <v>2582</v>
      </c>
      <c r="B433" s="1874" t="s">
        <v>16</v>
      </c>
      <c r="C433" s="1874" t="s">
        <v>2866</v>
      </c>
      <c r="D433" s="1874" t="s">
        <v>2867</v>
      </c>
      <c r="E433" s="1874" t="s">
        <v>2868</v>
      </c>
      <c r="F433" s="1874" t="s">
        <v>2869</v>
      </c>
      <c r="G433" s="1874" t="s">
        <v>2870</v>
      </c>
      <c r="H433" s="1874" t="s">
        <v>22</v>
      </c>
      <c r="I433" s="1874" t="s">
        <v>1004</v>
      </c>
    </row>
    <row customHeight="1" ht="11.25">
      <c r="A434" s="1874" t="s">
        <v>2582</v>
      </c>
      <c r="B434" s="1874" t="s">
        <v>16</v>
      </c>
      <c r="C434" s="1874" t="s">
        <v>2871</v>
      </c>
      <c r="D434" s="1874" t="s">
        <v>2872</v>
      </c>
      <c r="E434" s="1874" t="s">
        <v>2873</v>
      </c>
      <c r="F434" s="1874" t="s">
        <v>2637</v>
      </c>
      <c r="G434" s="1874" t="s">
        <v>22</v>
      </c>
      <c r="H434" s="1874" t="s">
        <v>22</v>
      </c>
      <c r="I434" s="1874" t="s">
        <v>1004</v>
      </c>
    </row>
    <row customHeight="1" ht="11.25">
      <c r="A435" s="1874" t="s">
        <v>2582</v>
      </c>
      <c r="B435" s="1874" t="s">
        <v>16</v>
      </c>
      <c r="C435" s="1874" t="s">
        <v>2877</v>
      </c>
      <c r="D435" s="1874" t="s">
        <v>2878</v>
      </c>
      <c r="E435" s="1874" t="s">
        <v>2879</v>
      </c>
      <c r="F435" s="1874" t="s">
        <v>2689</v>
      </c>
      <c r="G435" s="1874" t="s">
        <v>22</v>
      </c>
      <c r="H435" s="1874" t="s">
        <v>22</v>
      </c>
      <c r="I435" s="1874" t="s">
        <v>1004</v>
      </c>
    </row>
    <row customHeight="1" ht="11.25">
      <c r="A436" s="1874" t="s">
        <v>2582</v>
      </c>
      <c r="B436" s="1874" t="s">
        <v>16</v>
      </c>
      <c r="C436" s="1874" t="s">
        <v>2883</v>
      </c>
      <c r="D436" s="1874" t="s">
        <v>2884</v>
      </c>
      <c r="E436" s="1874" t="s">
        <v>2885</v>
      </c>
      <c r="F436" s="1874" t="s">
        <v>51</v>
      </c>
      <c r="G436" s="1874" t="s">
        <v>2886</v>
      </c>
      <c r="H436" s="1874" t="s">
        <v>22</v>
      </c>
      <c r="I436" s="1874" t="s">
        <v>1004</v>
      </c>
    </row>
    <row customHeight="1" ht="11.25">
      <c r="A437" s="1874" t="s">
        <v>2582</v>
      </c>
      <c r="B437" s="1874" t="s">
        <v>16</v>
      </c>
      <c r="C437" s="1874" t="s">
        <v>3248</v>
      </c>
      <c r="D437" s="1874" t="s">
        <v>3249</v>
      </c>
      <c r="E437" s="1874" t="s">
        <v>3250</v>
      </c>
      <c r="F437" s="1874" t="s">
        <v>2911</v>
      </c>
      <c r="G437" s="1874" t="s">
        <v>22</v>
      </c>
      <c r="H437" s="1874" t="s">
        <v>3251</v>
      </c>
      <c r="I437" s="1874" t="s">
        <v>1004</v>
      </c>
    </row>
    <row customHeight="1" ht="11.25">
      <c r="A438" s="1874" t="s">
        <v>2582</v>
      </c>
      <c r="B438" s="1874" t="s">
        <v>16</v>
      </c>
      <c r="C438" s="1874" t="s">
        <v>3252</v>
      </c>
      <c r="D438" s="1874" t="s">
        <v>3253</v>
      </c>
      <c r="E438" s="1874" t="s">
        <v>3254</v>
      </c>
      <c r="F438" s="1874" t="s">
        <v>51</v>
      </c>
      <c r="G438" s="1874" t="s">
        <v>3255</v>
      </c>
      <c r="H438" s="1874" t="s">
        <v>3256</v>
      </c>
      <c r="I438" s="1874" t="s">
        <v>1004</v>
      </c>
    </row>
    <row customHeight="1" ht="11.25">
      <c r="A439" s="1874" t="s">
        <v>2582</v>
      </c>
      <c r="B439" s="1874" t="s">
        <v>16</v>
      </c>
      <c r="C439" s="1874" t="s">
        <v>3257</v>
      </c>
      <c r="D439" s="1874" t="s">
        <v>3258</v>
      </c>
      <c r="E439" s="1874" t="s">
        <v>3259</v>
      </c>
      <c r="F439" s="1874" t="s">
        <v>2911</v>
      </c>
      <c r="G439" s="1874" t="s">
        <v>22</v>
      </c>
      <c r="H439" s="1874" t="s">
        <v>22</v>
      </c>
      <c r="I439" s="1874" t="s">
        <v>1004</v>
      </c>
    </row>
    <row customHeight="1" ht="11.25">
      <c r="A440" s="1874" t="s">
        <v>2582</v>
      </c>
      <c r="B440" s="1874" t="s">
        <v>16</v>
      </c>
      <c r="C440" s="1874" t="s">
        <v>3260</v>
      </c>
      <c r="D440" s="1874" t="s">
        <v>3258</v>
      </c>
      <c r="E440" s="1874" t="s">
        <v>3261</v>
      </c>
      <c r="F440" s="1874" t="s">
        <v>2659</v>
      </c>
      <c r="G440" s="1874" t="s">
        <v>22</v>
      </c>
      <c r="H440" s="1874" t="s">
        <v>22</v>
      </c>
      <c r="I440" s="1874" t="s">
        <v>1004</v>
      </c>
    </row>
    <row customHeight="1" ht="11.25">
      <c r="A441" s="1874" t="s">
        <v>2582</v>
      </c>
      <c r="B441" s="1874" t="s">
        <v>16</v>
      </c>
      <c r="C441" s="1874" t="s">
        <v>3262</v>
      </c>
      <c r="D441" s="1874" t="s">
        <v>3263</v>
      </c>
      <c r="E441" s="1874" t="s">
        <v>3264</v>
      </c>
      <c r="F441" s="1874" t="s">
        <v>2655</v>
      </c>
      <c r="G441" s="1874" t="s">
        <v>22</v>
      </c>
      <c r="H441" s="1874" t="s">
        <v>3265</v>
      </c>
      <c r="I441" s="1874" t="s">
        <v>1004</v>
      </c>
    </row>
    <row customHeight="1" ht="11.25">
      <c r="A442" s="1874" t="s">
        <v>2582</v>
      </c>
      <c r="B442" s="1874" t="s">
        <v>16</v>
      </c>
      <c r="C442" s="1874" t="s">
        <v>2905</v>
      </c>
      <c r="D442" s="1874" t="s">
        <v>2906</v>
      </c>
      <c r="E442" s="1874" t="s">
        <v>2907</v>
      </c>
      <c r="F442" s="1874" t="s">
        <v>2735</v>
      </c>
      <c r="G442" s="1874" t="s">
        <v>22</v>
      </c>
      <c r="H442" s="1874" t="s">
        <v>22</v>
      </c>
      <c r="I442" s="1874" t="s">
        <v>1004</v>
      </c>
    </row>
    <row customHeight="1" ht="11.25">
      <c r="A443" s="1874" t="s">
        <v>2582</v>
      </c>
      <c r="B443" s="1874" t="s">
        <v>16</v>
      </c>
      <c r="C443" s="1874" t="s">
        <v>2908</v>
      </c>
      <c r="D443" s="1874" t="s">
        <v>2909</v>
      </c>
      <c r="E443" s="1874" t="s">
        <v>2910</v>
      </c>
      <c r="F443" s="1874" t="s">
        <v>2911</v>
      </c>
      <c r="G443" s="1874" t="s">
        <v>22</v>
      </c>
      <c r="H443" s="1874" t="s">
        <v>22</v>
      </c>
      <c r="I443" s="1874" t="s">
        <v>1004</v>
      </c>
    </row>
    <row customHeight="1" ht="11.25">
      <c r="A444" s="1874" t="s">
        <v>2582</v>
      </c>
      <c r="B444" s="1874" t="s">
        <v>16</v>
      </c>
      <c r="C444" s="1874" t="s">
        <v>3345</v>
      </c>
      <c r="D444" s="1874" t="s">
        <v>3346</v>
      </c>
      <c r="E444" s="1874" t="s">
        <v>3347</v>
      </c>
      <c r="F444" s="1874" t="s">
        <v>2735</v>
      </c>
      <c r="G444" s="1874" t="s">
        <v>3348</v>
      </c>
      <c r="H444" s="1874" t="s">
        <v>22</v>
      </c>
      <c r="I444" s="1874" t="s">
        <v>1004</v>
      </c>
    </row>
    <row customHeight="1" ht="11.25">
      <c r="A445" s="1874" t="s">
        <v>2582</v>
      </c>
      <c r="B445" s="1874" t="s">
        <v>16</v>
      </c>
      <c r="C445" s="1874" t="s">
        <v>2936</v>
      </c>
      <c r="D445" s="1874" t="s">
        <v>2937</v>
      </c>
      <c r="E445" s="1874" t="s">
        <v>2938</v>
      </c>
      <c r="F445" s="1874" t="s">
        <v>2939</v>
      </c>
      <c r="G445" s="1874" t="s">
        <v>22</v>
      </c>
      <c r="H445" s="1874" t="s">
        <v>22</v>
      </c>
      <c r="I445" s="1874" t="s">
        <v>1004</v>
      </c>
    </row>
    <row customHeight="1" ht="11.25">
      <c r="A446" s="1874" t="s">
        <v>2582</v>
      </c>
      <c r="B446" s="1874" t="s">
        <v>16</v>
      </c>
      <c r="C446" s="1874" t="s">
        <v>2940</v>
      </c>
      <c r="D446" s="1874" t="s">
        <v>2941</v>
      </c>
      <c r="E446" s="1874" t="s">
        <v>2942</v>
      </c>
      <c r="F446" s="1874" t="s">
        <v>2939</v>
      </c>
      <c r="G446" s="1874" t="s">
        <v>22</v>
      </c>
      <c r="H446" s="1874" t="s">
        <v>22</v>
      </c>
      <c r="I446" s="1874" t="s">
        <v>1004</v>
      </c>
    </row>
    <row customHeight="1" ht="11.25">
      <c r="A447" s="1874" t="s">
        <v>2582</v>
      </c>
      <c r="B447" s="1874" t="s">
        <v>16</v>
      </c>
      <c r="C447" s="1874" t="s">
        <v>3278</v>
      </c>
      <c r="D447" s="1874" t="s">
        <v>3279</v>
      </c>
      <c r="E447" s="1874" t="s">
        <v>3280</v>
      </c>
      <c r="F447" s="1874" t="s">
        <v>2694</v>
      </c>
      <c r="G447" s="1874" t="s">
        <v>22</v>
      </c>
      <c r="H447" s="1874" t="s">
        <v>22</v>
      </c>
      <c r="I447" s="1874" t="s">
        <v>1004</v>
      </c>
    </row>
    <row customHeight="1" ht="11.25">
      <c r="A448" s="1874" t="s">
        <v>2582</v>
      </c>
      <c r="B448" s="1874" t="s">
        <v>16</v>
      </c>
      <c r="C448" s="1874" t="s">
        <v>2958</v>
      </c>
      <c r="D448" s="1874" t="s">
        <v>2959</v>
      </c>
      <c r="E448" s="1874" t="s">
        <v>2960</v>
      </c>
      <c r="F448" s="1874" t="s">
        <v>2735</v>
      </c>
      <c r="G448" s="1874" t="s">
        <v>22</v>
      </c>
      <c r="H448" s="1874" t="s">
        <v>22</v>
      </c>
      <c r="I448" s="1874" t="s">
        <v>1004</v>
      </c>
    </row>
    <row customHeight="1" ht="11.25">
      <c r="A449" s="1874" t="s">
        <v>2582</v>
      </c>
      <c r="B449" s="1874" t="s">
        <v>16</v>
      </c>
      <c r="C449" s="1874" t="s">
        <v>2961</v>
      </c>
      <c r="D449" s="1874" t="s">
        <v>2962</v>
      </c>
      <c r="E449" s="1874" t="s">
        <v>2963</v>
      </c>
      <c r="F449" s="1874" t="s">
        <v>2735</v>
      </c>
      <c r="G449" s="1874" t="s">
        <v>2964</v>
      </c>
      <c r="H449" s="1874" t="s">
        <v>22</v>
      </c>
      <c r="I449" s="1874" t="s">
        <v>1004</v>
      </c>
    </row>
    <row customHeight="1" ht="11.25">
      <c r="A450" s="1874" t="s">
        <v>2582</v>
      </c>
      <c r="B450" s="1874" t="s">
        <v>16</v>
      </c>
      <c r="C450" s="1874" t="s">
        <v>2965</v>
      </c>
      <c r="D450" s="1874" t="s">
        <v>2966</v>
      </c>
      <c r="E450" s="1874" t="s">
        <v>2967</v>
      </c>
      <c r="F450" s="1874" t="s">
        <v>2735</v>
      </c>
      <c r="G450" s="1874" t="s">
        <v>22</v>
      </c>
      <c r="H450" s="1874" t="s">
        <v>22</v>
      </c>
      <c r="I450" s="1874" t="s">
        <v>1004</v>
      </c>
    </row>
    <row customHeight="1" ht="11.25">
      <c r="A451" s="1874" t="s">
        <v>2582</v>
      </c>
      <c r="B451" s="1874" t="s">
        <v>16</v>
      </c>
      <c r="C451" s="1874" t="s">
        <v>2971</v>
      </c>
      <c r="D451" s="1874" t="s">
        <v>2972</v>
      </c>
      <c r="E451" s="1874" t="s">
        <v>2973</v>
      </c>
      <c r="F451" s="1874" t="s">
        <v>2746</v>
      </c>
      <c r="G451" s="1874" t="s">
        <v>2974</v>
      </c>
      <c r="H451" s="1874" t="s">
        <v>22</v>
      </c>
      <c r="I451" s="1874" t="s">
        <v>1004</v>
      </c>
    </row>
    <row customHeight="1" ht="11.25">
      <c r="A452" s="1874" t="s">
        <v>2582</v>
      </c>
      <c r="B452" s="1874" t="s">
        <v>16</v>
      </c>
      <c r="C452" s="1874" t="s">
        <v>3170</v>
      </c>
      <c r="D452" s="1874" t="s">
        <v>3171</v>
      </c>
      <c r="E452" s="1874" t="s">
        <v>3172</v>
      </c>
      <c r="F452" s="1874" t="s">
        <v>2637</v>
      </c>
      <c r="G452" s="1874" t="s">
        <v>22</v>
      </c>
      <c r="H452" s="1874" t="s">
        <v>22</v>
      </c>
      <c r="I452" s="1874" t="s">
        <v>1004</v>
      </c>
    </row>
    <row customHeight="1" ht="11.25">
      <c r="A453" s="1874" t="s">
        <v>2582</v>
      </c>
      <c r="B453" s="1874" t="s">
        <v>16</v>
      </c>
      <c r="C453" s="1874" t="s">
        <v>3281</v>
      </c>
      <c r="D453" s="1874" t="s">
        <v>3282</v>
      </c>
      <c r="E453" s="1874" t="s">
        <v>3283</v>
      </c>
      <c r="F453" s="1874" t="s">
        <v>2735</v>
      </c>
      <c r="G453" s="1874" t="s">
        <v>22</v>
      </c>
      <c r="H453" s="1874" t="s">
        <v>22</v>
      </c>
      <c r="I453" s="1874" t="s">
        <v>1004</v>
      </c>
    </row>
    <row customHeight="1" ht="11.25">
      <c r="A454" s="1874" t="s">
        <v>2582</v>
      </c>
      <c r="B454" s="1874" t="s">
        <v>16</v>
      </c>
      <c r="C454" s="1874" t="s">
        <v>3284</v>
      </c>
      <c r="D454" s="1874" t="s">
        <v>3285</v>
      </c>
      <c r="E454" s="1874" t="s">
        <v>3286</v>
      </c>
      <c r="F454" s="1874" t="s">
        <v>2735</v>
      </c>
      <c r="G454" s="1874" t="s">
        <v>22</v>
      </c>
      <c r="H454" s="1874" t="s">
        <v>22</v>
      </c>
      <c r="I454" s="1874" t="s">
        <v>1004</v>
      </c>
    </row>
    <row customHeight="1" ht="11.25">
      <c r="A455" s="1874" t="s">
        <v>2582</v>
      </c>
      <c r="B455" s="1874" t="s">
        <v>16</v>
      </c>
      <c r="C455" s="1874" t="s">
        <v>2978</v>
      </c>
      <c r="D455" s="1874" t="s">
        <v>2979</v>
      </c>
      <c r="E455" s="1874" t="s">
        <v>2980</v>
      </c>
      <c r="F455" s="1874" t="s">
        <v>2911</v>
      </c>
      <c r="G455" s="1874" t="s">
        <v>22</v>
      </c>
      <c r="H455" s="1874" t="s">
        <v>22</v>
      </c>
      <c r="I455" s="1874" t="s">
        <v>1004</v>
      </c>
    </row>
    <row customHeight="1" ht="11.25">
      <c r="A456" s="1874" t="s">
        <v>2582</v>
      </c>
      <c r="B456" s="1874" t="s">
        <v>16</v>
      </c>
      <c r="C456" s="1874" t="s">
        <v>2981</v>
      </c>
      <c r="D456" s="1874" t="s">
        <v>2982</v>
      </c>
      <c r="E456" s="1874" t="s">
        <v>2983</v>
      </c>
      <c r="F456" s="1874" t="s">
        <v>2911</v>
      </c>
      <c r="G456" s="1874" t="s">
        <v>22</v>
      </c>
      <c r="H456" s="1874" t="s">
        <v>22</v>
      </c>
      <c r="I456" s="1874" t="s">
        <v>1004</v>
      </c>
    </row>
    <row customHeight="1" ht="11.25">
      <c r="A457" s="1874" t="s">
        <v>2582</v>
      </c>
      <c r="B457" s="1874" t="s">
        <v>16</v>
      </c>
      <c r="C457" s="1874" t="s">
        <v>3349</v>
      </c>
      <c r="D457" s="1874" t="s">
        <v>3350</v>
      </c>
      <c r="E457" s="1874" t="s">
        <v>3351</v>
      </c>
      <c r="F457" s="1874" t="s">
        <v>2735</v>
      </c>
      <c r="G457" s="1874" t="s">
        <v>22</v>
      </c>
      <c r="H457" s="1874" t="s">
        <v>22</v>
      </c>
      <c r="I457" s="1874" t="s">
        <v>1004</v>
      </c>
    </row>
    <row customHeight="1" ht="11.25">
      <c r="A458" s="1874" t="s">
        <v>2582</v>
      </c>
      <c r="B458" s="1874" t="s">
        <v>16</v>
      </c>
      <c r="C458" s="1874" t="s">
        <v>2992</v>
      </c>
      <c r="D458" s="1874" t="s">
        <v>2993</v>
      </c>
      <c r="E458" s="1874" t="s">
        <v>2994</v>
      </c>
      <c r="F458" s="1874" t="s">
        <v>2659</v>
      </c>
      <c r="G458" s="1874" t="s">
        <v>22</v>
      </c>
      <c r="H458" s="1874" t="s">
        <v>22</v>
      </c>
      <c r="I458" s="1874" t="s">
        <v>1004</v>
      </c>
    </row>
    <row customHeight="1" ht="11.25">
      <c r="A459" s="1874" t="s">
        <v>2582</v>
      </c>
      <c r="B459" s="1874" t="s">
        <v>16</v>
      </c>
      <c r="C459" s="1874" t="s">
        <v>3287</v>
      </c>
      <c r="D459" s="1874" t="s">
        <v>3288</v>
      </c>
      <c r="E459" s="1874" t="s">
        <v>3289</v>
      </c>
      <c r="F459" s="1874" t="s">
        <v>2746</v>
      </c>
      <c r="G459" s="1874" t="s">
        <v>3290</v>
      </c>
      <c r="H459" s="1874" t="s">
        <v>22</v>
      </c>
      <c r="I459" s="1874" t="s">
        <v>1004</v>
      </c>
    </row>
    <row customHeight="1" ht="11.25">
      <c r="A460" s="1874" t="s">
        <v>2582</v>
      </c>
      <c r="B460" s="1874" t="s">
        <v>16</v>
      </c>
      <c r="C460" s="1874" t="s">
        <v>3291</v>
      </c>
      <c r="D460" s="1874" t="s">
        <v>3292</v>
      </c>
      <c r="E460" s="1874" t="s">
        <v>3293</v>
      </c>
      <c r="F460" s="1874" t="s">
        <v>2689</v>
      </c>
      <c r="G460" s="1874" t="s">
        <v>3294</v>
      </c>
      <c r="H460" s="1874" t="s">
        <v>22</v>
      </c>
      <c r="I460" s="1874" t="s">
        <v>1004</v>
      </c>
    </row>
    <row customHeight="1" ht="11.25">
      <c r="A461" s="1874" t="s">
        <v>2582</v>
      </c>
      <c r="B461" s="1874" t="s">
        <v>16</v>
      </c>
      <c r="C461" s="1874" t="s">
        <v>3352</v>
      </c>
      <c r="D461" s="1874" t="s">
        <v>3353</v>
      </c>
      <c r="E461" s="1874" t="s">
        <v>3354</v>
      </c>
      <c r="F461" s="1874" t="s">
        <v>2680</v>
      </c>
      <c r="G461" s="1874" t="s">
        <v>22</v>
      </c>
      <c r="H461" s="1874" t="s">
        <v>22</v>
      </c>
      <c r="I461" s="1874" t="s">
        <v>1004</v>
      </c>
    </row>
    <row customHeight="1" ht="11.25">
      <c r="A462" s="1874" t="s">
        <v>2582</v>
      </c>
      <c r="B462" s="1874" t="s">
        <v>16</v>
      </c>
      <c r="C462" s="1874" t="s">
        <v>3029</v>
      </c>
      <c r="D462" s="1874" t="s">
        <v>3030</v>
      </c>
      <c r="E462" s="1874" t="s">
        <v>3031</v>
      </c>
      <c r="F462" s="1874" t="s">
        <v>2735</v>
      </c>
      <c r="G462" s="1874" t="s">
        <v>22</v>
      </c>
      <c r="H462" s="1874" t="s">
        <v>22</v>
      </c>
      <c r="I462" s="1874" t="s">
        <v>1004</v>
      </c>
    </row>
    <row customHeight="1" ht="11.25">
      <c r="A463" s="1874" t="s">
        <v>2582</v>
      </c>
      <c r="B463" s="1874" t="s">
        <v>16</v>
      </c>
      <c r="C463" s="1874" t="s">
        <v>3032</v>
      </c>
      <c r="D463" s="1874" t="s">
        <v>3033</v>
      </c>
      <c r="E463" s="1874" t="s">
        <v>3034</v>
      </c>
      <c r="F463" s="1874" t="s">
        <v>2680</v>
      </c>
      <c r="G463" s="1874" t="s">
        <v>22</v>
      </c>
      <c r="H463" s="1874" t="s">
        <v>22</v>
      </c>
      <c r="I463" s="1874" t="s">
        <v>1004</v>
      </c>
    </row>
    <row customHeight="1" ht="11.25">
      <c r="A464" s="1874" t="s">
        <v>2582</v>
      </c>
      <c r="B464" s="1874" t="s">
        <v>16</v>
      </c>
      <c r="C464" s="1874" t="s">
        <v>3038</v>
      </c>
      <c r="D464" s="1874" t="s">
        <v>3039</v>
      </c>
      <c r="E464" s="1874" t="s">
        <v>3040</v>
      </c>
      <c r="F464" s="1874" t="s">
        <v>2694</v>
      </c>
      <c r="G464" s="1874" t="s">
        <v>3041</v>
      </c>
      <c r="H464" s="1874" t="s">
        <v>22</v>
      </c>
      <c r="I464" s="1874" t="s">
        <v>1004</v>
      </c>
    </row>
    <row customHeight="1" ht="11.25">
      <c r="A465" s="1874" t="s">
        <v>2582</v>
      </c>
      <c r="B465" s="1874" t="s">
        <v>16</v>
      </c>
      <c r="C465" s="1874" t="s">
        <v>3298</v>
      </c>
      <c r="D465" s="1874" t="s">
        <v>3299</v>
      </c>
      <c r="E465" s="1874" t="s">
        <v>3300</v>
      </c>
      <c r="F465" s="1874" t="s">
        <v>2911</v>
      </c>
      <c r="G465" s="1874" t="s">
        <v>22</v>
      </c>
      <c r="H465" s="1874" t="s">
        <v>22</v>
      </c>
      <c r="I465" s="1874" t="s">
        <v>1004</v>
      </c>
    </row>
    <row customHeight="1" ht="11.25">
      <c r="A466" s="1874" t="s">
        <v>2582</v>
      </c>
      <c r="B466" s="1874" t="s">
        <v>16</v>
      </c>
      <c r="C466" s="1874" t="s">
        <v>3301</v>
      </c>
      <c r="D466" s="1874" t="s">
        <v>3302</v>
      </c>
      <c r="E466" s="1874" t="s">
        <v>3303</v>
      </c>
      <c r="F466" s="1874" t="s">
        <v>2709</v>
      </c>
      <c r="G466" s="1874" t="s">
        <v>3304</v>
      </c>
      <c r="H466" s="1874" t="s">
        <v>22</v>
      </c>
      <c r="I466" s="1874" t="s">
        <v>1004</v>
      </c>
    </row>
    <row customHeight="1" ht="11.25">
      <c r="A467" s="1874" t="s">
        <v>2582</v>
      </c>
      <c r="B467" s="1874" t="s">
        <v>16</v>
      </c>
      <c r="C467" s="1874" t="s">
        <v>3072</v>
      </c>
      <c r="D467" s="1874" t="s">
        <v>3073</v>
      </c>
      <c r="E467" s="1874" t="s">
        <v>3074</v>
      </c>
      <c r="F467" s="1874" t="s">
        <v>2709</v>
      </c>
      <c r="G467" s="1874" t="s">
        <v>22</v>
      </c>
      <c r="H467" s="1874" t="s">
        <v>22</v>
      </c>
      <c r="I467" s="1874" t="s">
        <v>1004</v>
      </c>
    </row>
    <row customHeight="1" ht="11.25">
      <c r="A468" s="1874" t="s">
        <v>2582</v>
      </c>
      <c r="B468" s="1874" t="s">
        <v>16</v>
      </c>
      <c r="C468" s="1874" t="s">
        <v>3078</v>
      </c>
      <c r="D468" s="1874" t="s">
        <v>3079</v>
      </c>
      <c r="E468" s="1874" t="s">
        <v>3080</v>
      </c>
      <c r="F468" s="1874" t="s">
        <v>2735</v>
      </c>
      <c r="G468" s="1874" t="s">
        <v>3081</v>
      </c>
      <c r="H468" s="1874" t="s">
        <v>22</v>
      </c>
      <c r="I468" s="1874" t="s">
        <v>1004</v>
      </c>
    </row>
    <row customHeight="1" ht="11.25">
      <c r="A469" s="1874" t="s">
        <v>2582</v>
      </c>
      <c r="B469" s="1874" t="s">
        <v>16</v>
      </c>
      <c r="C469" s="1874" t="s">
        <v>3082</v>
      </c>
      <c r="D469" s="1874" t="s">
        <v>3083</v>
      </c>
      <c r="E469" s="1874" t="s">
        <v>3084</v>
      </c>
      <c r="F469" s="1874" t="s">
        <v>51</v>
      </c>
      <c r="G469" s="1874" t="s">
        <v>22</v>
      </c>
      <c r="H469" s="1874" t="s">
        <v>22</v>
      </c>
      <c r="I469" s="1874" t="s">
        <v>1004</v>
      </c>
    </row>
    <row customHeight="1" ht="11.25">
      <c r="A470" s="1874" t="s">
        <v>2582</v>
      </c>
      <c r="B470" s="1874" t="s">
        <v>16</v>
      </c>
      <c r="C470" s="1874" t="s">
        <v>3085</v>
      </c>
      <c r="D470" s="1874" t="s">
        <v>3086</v>
      </c>
      <c r="E470" s="1874" t="s">
        <v>3087</v>
      </c>
      <c r="F470" s="1874" t="s">
        <v>2755</v>
      </c>
      <c r="G470" s="1874" t="s">
        <v>3088</v>
      </c>
      <c r="H470" s="1874" t="s">
        <v>22</v>
      </c>
      <c r="I470" s="1874" t="s">
        <v>1004</v>
      </c>
    </row>
    <row customHeight="1" ht="11.25">
      <c r="A471" s="1874" t="s">
        <v>2582</v>
      </c>
      <c r="B471" s="1874" t="s">
        <v>16</v>
      </c>
      <c r="C471" s="1874" t="s">
        <v>3355</v>
      </c>
      <c r="D471" s="1874" t="s">
        <v>3356</v>
      </c>
      <c r="E471" s="1874" t="s">
        <v>3357</v>
      </c>
      <c r="F471" s="1874" t="s">
        <v>2939</v>
      </c>
      <c r="G471" s="1874" t="s">
        <v>22</v>
      </c>
      <c r="H471" s="1874" t="s">
        <v>22</v>
      </c>
      <c r="I471" s="1874" t="s">
        <v>1004</v>
      </c>
    </row>
    <row customHeight="1" ht="11.25">
      <c r="A472" s="1874" t="s">
        <v>2582</v>
      </c>
      <c r="B472" s="1874" t="s">
        <v>16</v>
      </c>
      <c r="C472" s="1874" t="s">
        <v>3096</v>
      </c>
      <c r="D472" s="1874" t="s">
        <v>3097</v>
      </c>
      <c r="E472" s="1874" t="s">
        <v>3098</v>
      </c>
      <c r="F472" s="1874" t="s">
        <v>2939</v>
      </c>
      <c r="G472" s="1874" t="s">
        <v>22</v>
      </c>
      <c r="H472" s="1874" t="s">
        <v>22</v>
      </c>
      <c r="I472" s="1874" t="s">
        <v>1004</v>
      </c>
    </row>
    <row customHeight="1" ht="11.25">
      <c r="A473" s="1874" t="s">
        <v>2582</v>
      </c>
      <c r="B473" s="1874" t="s">
        <v>16</v>
      </c>
      <c r="C473" s="1874" t="s">
        <v>3099</v>
      </c>
      <c r="D473" s="1874" t="s">
        <v>3100</v>
      </c>
      <c r="E473" s="1874" t="s">
        <v>3101</v>
      </c>
      <c r="F473" s="1874" t="s">
        <v>2685</v>
      </c>
      <c r="G473" s="1874" t="s">
        <v>22</v>
      </c>
      <c r="H473" s="1874" t="s">
        <v>22</v>
      </c>
      <c r="I473" s="1874" t="s">
        <v>1004</v>
      </c>
    </row>
    <row customHeight="1" ht="11.25">
      <c r="A474" s="1874" t="s">
        <v>2582</v>
      </c>
      <c r="B474" s="1874" t="s">
        <v>16</v>
      </c>
      <c r="C474" s="1874" t="s">
        <v>3305</v>
      </c>
      <c r="D474" s="1874" t="s">
        <v>3306</v>
      </c>
      <c r="E474" s="1874" t="s">
        <v>3307</v>
      </c>
      <c r="F474" s="1874" t="s">
        <v>2709</v>
      </c>
      <c r="G474" s="1874" t="s">
        <v>3308</v>
      </c>
      <c r="H474" s="1874" t="s">
        <v>22</v>
      </c>
      <c r="I474" s="1874" t="s">
        <v>1004</v>
      </c>
    </row>
    <row customHeight="1" ht="11.25">
      <c r="A475" s="1874" t="s">
        <v>2582</v>
      </c>
      <c r="B475" s="1874" t="s">
        <v>16</v>
      </c>
      <c r="C475" s="1874" t="s">
        <v>3109</v>
      </c>
      <c r="D475" s="1874" t="s">
        <v>3110</v>
      </c>
      <c r="E475" s="1874" t="s">
        <v>3111</v>
      </c>
      <c r="F475" s="1874" t="s">
        <v>2939</v>
      </c>
      <c r="G475" s="1874" t="s">
        <v>22</v>
      </c>
      <c r="H475" s="1874" t="s">
        <v>22</v>
      </c>
      <c r="I475" s="1874" t="s">
        <v>1004</v>
      </c>
    </row>
    <row customHeight="1" ht="11.25">
      <c r="A476" s="1874" t="s">
        <v>2582</v>
      </c>
      <c r="B476" s="1874" t="s">
        <v>16</v>
      </c>
      <c r="C476" s="1874" t="s">
        <v>3313</v>
      </c>
      <c r="D476" s="1874" t="s">
        <v>3314</v>
      </c>
      <c r="E476" s="1874" t="s">
        <v>3315</v>
      </c>
      <c r="F476" s="1874" t="s">
        <v>2869</v>
      </c>
      <c r="G476" s="1874" t="s">
        <v>3316</v>
      </c>
      <c r="H476" s="1874" t="s">
        <v>22</v>
      </c>
      <c r="I476" s="1874" t="s">
        <v>1004</v>
      </c>
    </row>
    <row customHeight="1" ht="11.25">
      <c r="A477" s="1874" t="s">
        <v>2582</v>
      </c>
      <c r="B477" s="1874" t="s">
        <v>16</v>
      </c>
      <c r="C477" s="1874" t="s">
        <v>3123</v>
      </c>
      <c r="D477" s="1874" t="s">
        <v>3124</v>
      </c>
      <c r="E477" s="1874" t="s">
        <v>3125</v>
      </c>
      <c r="F477" s="1874" t="s">
        <v>2727</v>
      </c>
      <c r="G477" s="1874" t="s">
        <v>22</v>
      </c>
      <c r="H477" s="1874" t="s">
        <v>22</v>
      </c>
      <c r="I477" s="1874" t="s">
        <v>1004</v>
      </c>
    </row>
    <row customHeight="1" ht="11.25">
      <c r="A478" s="1874" t="s">
        <v>2582</v>
      </c>
      <c r="B478" s="1874" t="s">
        <v>16</v>
      </c>
      <c r="C478" s="1874" t="s">
        <v>3358</v>
      </c>
      <c r="D478" s="1874" t="s">
        <v>3359</v>
      </c>
      <c r="E478" s="1874" t="s">
        <v>3360</v>
      </c>
      <c r="F478" s="1874" t="s">
        <v>2778</v>
      </c>
      <c r="G478" s="1874" t="s">
        <v>22</v>
      </c>
      <c r="H478" s="1874" t="s">
        <v>22</v>
      </c>
      <c r="I478" s="1874" t="s">
        <v>1004</v>
      </c>
    </row>
    <row customHeight="1" ht="11.25">
      <c r="A479" s="1874" t="s">
        <v>2582</v>
      </c>
      <c r="B479" s="1874" t="s">
        <v>16</v>
      </c>
      <c r="C479" s="1874" t="s">
        <v>3325</v>
      </c>
      <c r="D479" s="1874" t="s">
        <v>3326</v>
      </c>
      <c r="E479" s="1874" t="s">
        <v>3327</v>
      </c>
      <c r="F479" s="1874" t="s">
        <v>2655</v>
      </c>
      <c r="G479" s="1874" t="s">
        <v>22</v>
      </c>
      <c r="H479" s="1874" t="s">
        <v>22</v>
      </c>
      <c r="I479" s="1874" t="s">
        <v>1004</v>
      </c>
    </row>
    <row customHeight="1" ht="11.25">
      <c r="A480" s="1874" t="s">
        <v>2582</v>
      </c>
      <c r="B480" s="1874" t="s">
        <v>16</v>
      </c>
      <c r="C480" s="1874" t="s">
        <v>3361</v>
      </c>
      <c r="D480" s="1874" t="s">
        <v>3362</v>
      </c>
      <c r="E480" s="1874" t="s">
        <v>3363</v>
      </c>
      <c r="F480" s="1874" t="s">
        <v>2911</v>
      </c>
      <c r="G480" s="1874" t="s">
        <v>3364</v>
      </c>
      <c r="H480" s="1874" t="s">
        <v>22</v>
      </c>
      <c r="I480" s="1874" t="s">
        <v>1004</v>
      </c>
    </row>
    <row customHeight="1" ht="11.25">
      <c r="A481" s="1874" t="s">
        <v>2582</v>
      </c>
      <c r="B481" s="1874" t="s">
        <v>16</v>
      </c>
      <c r="C481" s="1874" t="s">
        <v>3131</v>
      </c>
      <c r="D481" s="1874" t="s">
        <v>3132</v>
      </c>
      <c r="E481" s="1874" t="s">
        <v>3133</v>
      </c>
      <c r="F481" s="1874" t="s">
        <v>2778</v>
      </c>
      <c r="G481" s="1874" t="s">
        <v>22</v>
      </c>
      <c r="H481" s="1874" t="s">
        <v>22</v>
      </c>
      <c r="I481" s="1874" t="s">
        <v>1004</v>
      </c>
    </row>
    <row customHeight="1" ht="11.25">
      <c r="A482" s="1874" t="s">
        <v>2582</v>
      </c>
      <c r="B482" s="1874" t="s">
        <v>16</v>
      </c>
      <c r="C482" s="1874" t="s">
        <v>3137</v>
      </c>
      <c r="D482" s="1874" t="s">
        <v>3138</v>
      </c>
      <c r="E482" s="1874" t="s">
        <v>3139</v>
      </c>
      <c r="F482" s="1874" t="s">
        <v>51</v>
      </c>
      <c r="G482" s="1874" t="s">
        <v>22</v>
      </c>
      <c r="H482" s="1874" t="s">
        <v>22</v>
      </c>
      <c r="I482" s="1874" t="s">
        <v>1004</v>
      </c>
    </row>
    <row customHeight="1" ht="11.25">
      <c r="A483" s="1874" t="s">
        <v>2582</v>
      </c>
      <c r="B483" s="1874" t="s">
        <v>16</v>
      </c>
      <c r="C483" s="1874" t="s">
        <v>3140</v>
      </c>
      <c r="D483" s="1874" t="s">
        <v>3141</v>
      </c>
      <c r="E483" s="1874" t="s">
        <v>3142</v>
      </c>
      <c r="F483" s="1874" t="s">
        <v>2641</v>
      </c>
      <c r="G483" s="1874" t="s">
        <v>3143</v>
      </c>
      <c r="H483" s="1874" t="s">
        <v>22</v>
      </c>
      <c r="I483" s="1874" t="s">
        <v>1004</v>
      </c>
    </row>
    <row customHeight="1" ht="11.25">
      <c r="A484" s="1874" t="s">
        <v>2582</v>
      </c>
      <c r="B484" s="1874" t="s">
        <v>16</v>
      </c>
      <c r="C484" s="1874" t="s">
        <v>3147</v>
      </c>
      <c r="D484" s="1874" t="s">
        <v>3148</v>
      </c>
      <c r="E484" s="1874" t="s">
        <v>3149</v>
      </c>
      <c r="F484" s="1874" t="s">
        <v>3150</v>
      </c>
      <c r="G484" s="1874" t="s">
        <v>22</v>
      </c>
      <c r="H484" s="1874" t="s">
        <v>22</v>
      </c>
      <c r="I484" s="1874" t="s">
        <v>1004</v>
      </c>
    </row>
    <row customHeight="1" ht="11.25">
      <c r="A485" s="1874" t="s">
        <v>2582</v>
      </c>
      <c r="B485" s="1874" t="s">
        <v>16</v>
      </c>
      <c r="C485" s="1874" t="s">
        <v>3158</v>
      </c>
      <c r="D485" s="1874" t="s">
        <v>3159</v>
      </c>
      <c r="E485" s="1874" t="s">
        <v>3160</v>
      </c>
      <c r="F485" s="1874" t="s">
        <v>3161</v>
      </c>
      <c r="G485" s="1874" t="s">
        <v>3162</v>
      </c>
      <c r="H485" s="1874" t="s">
        <v>22</v>
      </c>
      <c r="I485" s="1874" t="s">
        <v>1004</v>
      </c>
    </row>
    <row customHeight="1" ht="11.25">
      <c r="A486" s="1874" t="s">
        <v>2582</v>
      </c>
      <c r="B486" s="1874" t="s">
        <v>16</v>
      </c>
      <c r="C486" s="1874" t="s">
        <v>3167</v>
      </c>
      <c r="D486" s="1874" t="s">
        <v>3168</v>
      </c>
      <c r="E486" s="1874" t="s">
        <v>3169</v>
      </c>
      <c r="F486" s="1874" t="s">
        <v>2735</v>
      </c>
      <c r="G486" s="1874" t="s">
        <v>22</v>
      </c>
      <c r="H486" s="1874" t="s">
        <v>22</v>
      </c>
      <c r="I486" s="1874" t="s">
        <v>1004</v>
      </c>
    </row>
    <row customHeight="1" ht="11.25">
      <c r="A487" s="1874" t="s">
        <v>2582</v>
      </c>
      <c r="B487" s="1874" t="s">
        <v>16</v>
      </c>
      <c r="C487" s="1874" t="s">
        <v>2630</v>
      </c>
      <c r="D487" s="1874" t="s">
        <v>2631</v>
      </c>
      <c r="E487" s="1874" t="s">
        <v>2632</v>
      </c>
      <c r="F487" s="1874" t="s">
        <v>2628</v>
      </c>
      <c r="G487" s="1874" t="s">
        <v>2633</v>
      </c>
      <c r="H487" s="1874" t="s">
        <v>22</v>
      </c>
      <c r="I487" s="1874" t="s">
        <v>1955</v>
      </c>
    </row>
    <row customHeight="1" ht="11.25">
      <c r="A488" s="1874" t="s">
        <v>2582</v>
      </c>
      <c r="B488" s="1874" t="s">
        <v>16</v>
      </c>
      <c r="C488" s="1874" t="s">
        <v>22</v>
      </c>
      <c r="D488" s="1874" t="s">
        <v>2675</v>
      </c>
      <c r="E488" s="1874" t="s">
        <v>2676</v>
      </c>
      <c r="F488" s="1874" t="s">
        <v>51</v>
      </c>
      <c r="G488" s="1874" t="s">
        <v>22</v>
      </c>
      <c r="H488" s="1874" t="s">
        <v>22</v>
      </c>
      <c r="I488" s="1874" t="s">
        <v>1955</v>
      </c>
    </row>
    <row customHeight="1" ht="11.25">
      <c r="A489" s="1874" t="s">
        <v>2582</v>
      </c>
      <c r="B489" s="1874" t="s">
        <v>16</v>
      </c>
      <c r="C489" s="1874" t="s">
        <v>3365</v>
      </c>
      <c r="D489" s="1874" t="s">
        <v>3366</v>
      </c>
      <c r="E489" s="1874" t="s">
        <v>3367</v>
      </c>
      <c r="F489" s="1874" t="s">
        <v>2778</v>
      </c>
      <c r="G489" s="1874" t="s">
        <v>22</v>
      </c>
      <c r="H489" s="1874" t="s">
        <v>22</v>
      </c>
      <c r="I489" s="1874" t="s">
        <v>1955</v>
      </c>
    </row>
    <row customHeight="1" ht="11.25">
      <c r="A490" s="1874" t="s">
        <v>2582</v>
      </c>
      <c r="B490" s="1874" t="s">
        <v>16</v>
      </c>
      <c r="C490" s="1874" t="s">
        <v>3368</v>
      </c>
      <c r="D490" s="1874" t="s">
        <v>3369</v>
      </c>
      <c r="E490" s="1874" t="s">
        <v>3370</v>
      </c>
      <c r="F490" s="1874" t="s">
        <v>2911</v>
      </c>
      <c r="G490" s="1874" t="s">
        <v>3371</v>
      </c>
      <c r="H490" s="1874" t="s">
        <v>22</v>
      </c>
      <c r="I490" s="1874" t="s">
        <v>1955</v>
      </c>
    </row>
    <row customHeight="1" ht="11.25">
      <c r="A491" s="1874" t="s">
        <v>2582</v>
      </c>
      <c r="B491" s="1874" t="s">
        <v>16</v>
      </c>
      <c r="C491" s="1874" t="s">
        <v>3372</v>
      </c>
      <c r="D491" s="1874" t="s">
        <v>3373</v>
      </c>
      <c r="E491" s="1874" t="s">
        <v>3374</v>
      </c>
      <c r="F491" s="1874" t="s">
        <v>2628</v>
      </c>
      <c r="G491" s="1874" t="s">
        <v>3375</v>
      </c>
      <c r="H491" s="1874" t="s">
        <v>22</v>
      </c>
      <c r="I491" s="1874" t="s">
        <v>1955</v>
      </c>
    </row>
    <row customHeight="1" ht="11.25">
      <c r="A492" s="1874" t="s">
        <v>2582</v>
      </c>
      <c r="B492" s="1874" t="s">
        <v>16</v>
      </c>
      <c r="C492" s="1874" t="s">
        <v>3376</v>
      </c>
      <c r="D492" s="1874" t="s">
        <v>3377</v>
      </c>
      <c r="E492" s="1874" t="s">
        <v>3378</v>
      </c>
      <c r="F492" s="1874" t="s">
        <v>3379</v>
      </c>
      <c r="G492" s="1874" t="s">
        <v>2759</v>
      </c>
      <c r="H492" s="1874" t="s">
        <v>22</v>
      </c>
      <c r="I492" s="1874" t="s">
        <v>1955</v>
      </c>
    </row>
    <row customHeight="1" ht="11.25">
      <c r="A493" s="1874" t="s">
        <v>2582</v>
      </c>
      <c r="B493" s="1874" t="s">
        <v>16</v>
      </c>
      <c r="C493" s="1874" t="s">
        <v>3380</v>
      </c>
      <c r="D493" s="1874" t="s">
        <v>3381</v>
      </c>
      <c r="E493" s="1874" t="s">
        <v>3382</v>
      </c>
      <c r="F493" s="1874" t="s">
        <v>51</v>
      </c>
      <c r="G493" s="1874" t="s">
        <v>22</v>
      </c>
      <c r="H493" s="1874" t="s">
        <v>22</v>
      </c>
      <c r="I493" s="1874" t="s">
        <v>1955</v>
      </c>
    </row>
    <row customHeight="1" ht="11.25">
      <c r="A494" s="1874" t="s">
        <v>2582</v>
      </c>
      <c r="B494" s="1874" t="s">
        <v>16</v>
      </c>
      <c r="C494" s="1874" t="s">
        <v>3383</v>
      </c>
      <c r="D494" s="1874" t="s">
        <v>3384</v>
      </c>
      <c r="E494" s="1874" t="s">
        <v>3385</v>
      </c>
      <c r="F494" s="1874" t="s">
        <v>2735</v>
      </c>
      <c r="G494" s="1874" t="s">
        <v>22</v>
      </c>
      <c r="H494" s="1874" t="s">
        <v>22</v>
      </c>
      <c r="I494" s="1874" t="s">
        <v>1955</v>
      </c>
    </row>
    <row customHeight="1" ht="11.25">
      <c r="A495" s="1874" t="s">
        <v>2582</v>
      </c>
      <c r="B495" s="1874" t="s">
        <v>16</v>
      </c>
      <c r="C495" s="1874" t="s">
        <v>3386</v>
      </c>
      <c r="D495" s="1874" t="s">
        <v>3387</v>
      </c>
      <c r="E495" s="1874" t="s">
        <v>3388</v>
      </c>
      <c r="F495" s="1874" t="s">
        <v>2628</v>
      </c>
      <c r="G495" s="1874" t="s">
        <v>22</v>
      </c>
      <c r="H495" s="1874" t="s">
        <v>22</v>
      </c>
      <c r="I495" s="1874" t="s">
        <v>1955</v>
      </c>
    </row>
    <row customHeight="1" ht="11.25">
      <c r="A496" s="1874" t="s">
        <v>2582</v>
      </c>
      <c r="B496" s="1874" t="s">
        <v>16</v>
      </c>
      <c r="C496" s="1874" t="s">
        <v>3389</v>
      </c>
      <c r="D496" s="1874" t="s">
        <v>3390</v>
      </c>
      <c r="E496" s="1874" t="s">
        <v>3391</v>
      </c>
      <c r="F496" s="1874" t="s">
        <v>2628</v>
      </c>
      <c r="G496" s="1874" t="s">
        <v>22</v>
      </c>
      <c r="H496" s="1874" t="s">
        <v>22</v>
      </c>
      <c r="I496" s="1874" t="s">
        <v>1955</v>
      </c>
    </row>
    <row customHeight="1" ht="11.25">
      <c r="A497" s="1874" t="s">
        <v>2582</v>
      </c>
      <c r="B497" s="1874" t="s">
        <v>16</v>
      </c>
      <c r="C497" s="1874" t="s">
        <v>3392</v>
      </c>
      <c r="D497" s="1874" t="s">
        <v>3393</v>
      </c>
      <c r="E497" s="1874" t="s">
        <v>3394</v>
      </c>
      <c r="F497" s="1874" t="s">
        <v>2694</v>
      </c>
      <c r="G497" s="1874" t="s">
        <v>3395</v>
      </c>
      <c r="H497" s="1874" t="s">
        <v>22</v>
      </c>
      <c r="I497" s="1874" t="s">
        <v>1955</v>
      </c>
    </row>
    <row customHeight="1" ht="11.25">
      <c r="A498" s="1874" t="s">
        <v>2582</v>
      </c>
      <c r="B498" s="1874" t="s">
        <v>16</v>
      </c>
      <c r="C498" s="1874" t="s">
        <v>3396</v>
      </c>
      <c r="D498" s="1874" t="s">
        <v>3397</v>
      </c>
      <c r="E498" s="1874" t="s">
        <v>3398</v>
      </c>
      <c r="F498" s="1874" t="s">
        <v>2680</v>
      </c>
      <c r="G498" s="1874" t="s">
        <v>22</v>
      </c>
      <c r="H498" s="1874" t="s">
        <v>22</v>
      </c>
      <c r="I498" s="1874" t="s">
        <v>1955</v>
      </c>
    </row>
    <row customHeight="1" ht="11.25">
      <c r="A499" s="1874" t="s">
        <v>2582</v>
      </c>
      <c r="B499" s="1874" t="s">
        <v>16</v>
      </c>
      <c r="C499" s="1874" t="s">
        <v>3399</v>
      </c>
      <c r="D499" s="1874" t="s">
        <v>3400</v>
      </c>
      <c r="E499" s="1874" t="s">
        <v>3401</v>
      </c>
      <c r="F499" s="1874" t="s">
        <v>2869</v>
      </c>
      <c r="G499" s="1874" t="s">
        <v>3402</v>
      </c>
      <c r="H499" s="1874" t="s">
        <v>22</v>
      </c>
      <c r="I499" s="1874" t="s">
        <v>1955</v>
      </c>
    </row>
    <row customHeight="1" ht="11.25">
      <c r="A500" s="1874" t="s">
        <v>2582</v>
      </c>
      <c r="B500" s="1874" t="s">
        <v>16</v>
      </c>
      <c r="C500" s="1874" t="s">
        <v>3050</v>
      </c>
      <c r="D500" s="1874" t="s">
        <v>3051</v>
      </c>
      <c r="E500" s="1874" t="s">
        <v>3052</v>
      </c>
      <c r="F500" s="1874" t="s">
        <v>2628</v>
      </c>
      <c r="G500" s="1874" t="s">
        <v>3053</v>
      </c>
      <c r="H500" s="1874" t="s">
        <v>22</v>
      </c>
      <c r="I500" s="1874" t="s">
        <v>1955</v>
      </c>
    </row>
    <row customHeight="1" ht="11.25">
      <c r="A501" s="1874" t="s">
        <v>2582</v>
      </c>
      <c r="B501" s="1874" t="s">
        <v>16</v>
      </c>
      <c r="C501" s="1874" t="s">
        <v>3403</v>
      </c>
      <c r="D501" s="1874" t="s">
        <v>3404</v>
      </c>
      <c r="E501" s="1874" t="s">
        <v>3405</v>
      </c>
      <c r="F501" s="1874" t="s">
        <v>2637</v>
      </c>
      <c r="G501" s="1874" t="s">
        <v>22</v>
      </c>
      <c r="H501" s="1874" t="s">
        <v>22</v>
      </c>
      <c r="I501" s="1874" t="s">
        <v>1955</v>
      </c>
    </row>
    <row customHeight="1" ht="11.25">
      <c r="A502" s="1874" t="s">
        <v>2582</v>
      </c>
      <c r="B502" s="1874" t="s">
        <v>16</v>
      </c>
      <c r="C502" s="1874" t="s">
        <v>3406</v>
      </c>
      <c r="D502" s="1874" t="s">
        <v>3407</v>
      </c>
      <c r="E502" s="1874" t="s">
        <v>3408</v>
      </c>
      <c r="F502" s="1874" t="s">
        <v>2869</v>
      </c>
      <c r="G502" s="1874" t="s">
        <v>3409</v>
      </c>
      <c r="H502" s="1874" t="s">
        <v>22</v>
      </c>
      <c r="I502" s="1874" t="s">
        <v>1955</v>
      </c>
    </row>
    <row customHeight="1" ht="11.25">
      <c r="A503" s="1874" t="s">
        <v>2582</v>
      </c>
      <c r="B503" s="1874" t="s">
        <v>16</v>
      </c>
      <c r="C503" s="1874" t="s">
        <v>3410</v>
      </c>
      <c r="D503" s="1874" t="s">
        <v>3411</v>
      </c>
      <c r="E503" s="1874" t="s">
        <v>3412</v>
      </c>
      <c r="F503" s="1874" t="s">
        <v>51</v>
      </c>
      <c r="G503" s="1874" t="s">
        <v>3413</v>
      </c>
      <c r="H503" s="1874" t="s">
        <v>22</v>
      </c>
      <c r="I503" s="1874" t="s">
        <v>1955</v>
      </c>
    </row>
    <row customHeight="1" ht="11.25">
      <c r="A504" s="1874" t="s">
        <v>2582</v>
      </c>
      <c r="B504" s="1874" t="s">
        <v>16</v>
      </c>
      <c r="C504" s="1874" t="s">
        <v>3414</v>
      </c>
      <c r="D504" s="1874" t="s">
        <v>3415</v>
      </c>
      <c r="E504" s="1874" t="s">
        <v>3416</v>
      </c>
      <c r="F504" s="1874" t="s">
        <v>2869</v>
      </c>
      <c r="G504" s="1874" t="s">
        <v>3417</v>
      </c>
      <c r="H504" s="1874" t="s">
        <v>22</v>
      </c>
      <c r="I504" s="1874" t="s">
        <v>1955</v>
      </c>
    </row>
    <row customHeight="1" ht="11.25">
      <c r="A505" s="1874" t="s">
        <v>2582</v>
      </c>
      <c r="B505" s="1874" t="s">
        <v>16</v>
      </c>
      <c r="C505" s="1874" t="s">
        <v>3418</v>
      </c>
      <c r="D505" s="1874" t="s">
        <v>3419</v>
      </c>
      <c r="E505" s="1874" t="s">
        <v>3420</v>
      </c>
      <c r="F505" s="1874" t="s">
        <v>2637</v>
      </c>
      <c r="G505" s="1874" t="s">
        <v>22</v>
      </c>
      <c r="H505" s="1874" t="s">
        <v>22</v>
      </c>
      <c r="I505" s="1874" t="s">
        <v>1955</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B44D6F-D4E6-635D-6E65-0.129B703A}" mc:Ignorable="x14ac xr xr2 xr3">
  <sheetPr>
    <tabColor rgb="FFFFCC99"/>
  </sheetPr>
  <dimension ref="A1:G241"/>
  <sheetViews>
    <sheetView topLeftCell="A1" showGridLines="0" workbookViewId="0">
      <selection activeCell="A1" sqref="A1"/>
    </sheetView>
  </sheetViews>
  <sheetFormatPr customHeight="1" defaultRowHeight="11.25"/>
  <cols>
    <col min="1" max="1" style="1874" width="9.140625"/>
  </cols>
  <sheetData>
    <row customHeight="1" ht="11.25">
      <c r="A1" s="397" t="s">
        <v>3421</v>
      </c>
      <c r="B1" s="88" t="s">
        <v>3422</v>
      </c>
      <c r="C1" s="88" t="s">
        <v>3423</v>
      </c>
      <c r="D1" s="88" t="s">
        <v>3424</v>
      </c>
      <c r="E1" s="86" t="s">
        <v>3425</v>
      </c>
      <c r="F1" s="86" t="s">
        <v>3426</v>
      </c>
      <c r="G1" s="86" t="s">
        <v>3427</v>
      </c>
    </row>
    <row customHeight="1" ht="11.25">
      <c r="A2" s="397" t="s">
        <v>16</v>
      </c>
      <c r="B2" s="0" t="s">
        <v>99</v>
      </c>
      <c r="C2" s="0" t="s">
        <v>3428</v>
      </c>
      <c r="D2" s="0" t="s">
        <v>99</v>
      </c>
      <c r="E2" s="0" t="s">
        <v>3428</v>
      </c>
      <c r="F2" s="0" t="s">
        <v>3429</v>
      </c>
      <c r="G2" s="0" t="s">
        <v>170</v>
      </c>
    </row>
    <row customHeight="1" ht="11.25">
      <c r="A3" s="397" t="s">
        <v>16</v>
      </c>
      <c r="B3" s="0" t="s">
        <v>99</v>
      </c>
      <c r="C3" s="0" t="s">
        <v>3428</v>
      </c>
      <c r="D3" s="0" t="s">
        <v>3430</v>
      </c>
      <c r="E3" s="0" t="s">
        <v>3431</v>
      </c>
      <c r="F3" s="0" t="s">
        <v>3432</v>
      </c>
      <c r="G3" s="0" t="s">
        <v>103</v>
      </c>
    </row>
    <row customHeight="1" ht="11.25">
      <c r="A4" s="397" t="s">
        <v>16</v>
      </c>
      <c r="B4" s="0" t="s">
        <v>99</v>
      </c>
      <c r="C4" s="0" t="s">
        <v>3428</v>
      </c>
      <c r="D4" s="0" t="s">
        <v>3433</v>
      </c>
      <c r="E4" s="0" t="s">
        <v>3434</v>
      </c>
      <c r="F4" s="0" t="s">
        <v>3432</v>
      </c>
      <c r="G4" s="0" t="s">
        <v>90</v>
      </c>
    </row>
    <row customHeight="1" ht="11.25">
      <c r="A5" s="397" t="s">
        <v>16</v>
      </c>
      <c r="B5" s="0" t="s">
        <v>99</v>
      </c>
      <c r="C5" s="0" t="s">
        <v>3428</v>
      </c>
      <c r="D5" s="0" t="s">
        <v>100</v>
      </c>
      <c r="E5" s="0" t="s">
        <v>101</v>
      </c>
      <c r="F5" s="0" t="s">
        <v>3435</v>
      </c>
      <c r="G5" s="0" t="s">
        <v>91</v>
      </c>
    </row>
    <row customHeight="1" ht="11.25">
      <c r="A6" s="397" t="s">
        <v>16</v>
      </c>
      <c r="B6" s="0" t="s">
        <v>99</v>
      </c>
      <c r="C6" s="0" t="s">
        <v>3428</v>
      </c>
      <c r="D6" s="0" t="s">
        <v>3436</v>
      </c>
      <c r="E6" s="0" t="s">
        <v>3437</v>
      </c>
      <c r="F6" s="0" t="s">
        <v>3432</v>
      </c>
      <c r="G6" s="0" t="s">
        <v>119</v>
      </c>
    </row>
    <row customHeight="1" ht="11.25">
      <c r="A7" s="397" t="s">
        <v>16</v>
      </c>
      <c r="B7" s="0" t="s">
        <v>99</v>
      </c>
      <c r="C7" s="0" t="s">
        <v>3428</v>
      </c>
      <c r="D7" s="0" t="s">
        <v>3438</v>
      </c>
      <c r="E7" s="0" t="s">
        <v>3439</v>
      </c>
      <c r="F7" s="0" t="s">
        <v>3432</v>
      </c>
      <c r="G7" s="0" t="s">
        <v>92</v>
      </c>
    </row>
    <row customHeight="1" ht="11.25">
      <c r="A8" s="397" t="s">
        <v>16</v>
      </c>
      <c r="B8" s="0" t="s">
        <v>99</v>
      </c>
      <c r="C8" s="0" t="s">
        <v>3428</v>
      </c>
      <c r="D8" s="0" t="s">
        <v>3440</v>
      </c>
      <c r="E8" s="0" t="s">
        <v>3441</v>
      </c>
      <c r="F8" s="0" t="s">
        <v>3432</v>
      </c>
      <c r="G8" s="0" t="s">
        <v>93</v>
      </c>
    </row>
    <row customHeight="1" ht="11.25">
      <c r="A9" s="397" t="s">
        <v>16</v>
      </c>
      <c r="B9" s="0" t="s">
        <v>99</v>
      </c>
      <c r="C9" s="0" t="s">
        <v>3428</v>
      </c>
      <c r="D9" s="0" t="s">
        <v>3442</v>
      </c>
      <c r="E9" s="0" t="s">
        <v>3443</v>
      </c>
      <c r="F9" s="0" t="s">
        <v>3432</v>
      </c>
      <c r="G9" s="0" t="s">
        <v>143</v>
      </c>
    </row>
    <row customHeight="1" ht="11.25">
      <c r="A10" s="397" t="s">
        <v>16</v>
      </c>
      <c r="B10" s="0" t="s">
        <v>99</v>
      </c>
      <c r="C10" s="0" t="s">
        <v>3428</v>
      </c>
      <c r="D10" s="0" t="s">
        <v>3444</v>
      </c>
      <c r="E10" s="0" t="s">
        <v>3445</v>
      </c>
      <c r="F10" s="0" t="s">
        <v>3432</v>
      </c>
      <c r="G10" s="0" t="s">
        <v>145</v>
      </c>
    </row>
    <row customHeight="1" ht="11.25">
      <c r="A11" s="397" t="s">
        <v>16</v>
      </c>
      <c r="B11" s="0" t="s">
        <v>99</v>
      </c>
      <c r="C11" s="0" t="s">
        <v>3428</v>
      </c>
      <c r="D11" s="0" t="s">
        <v>3446</v>
      </c>
      <c r="E11" s="0" t="s">
        <v>3447</v>
      </c>
      <c r="F11" s="0" t="s">
        <v>3448</v>
      </c>
      <c r="G11" s="0" t="s">
        <v>156</v>
      </c>
    </row>
    <row customHeight="1" ht="11.25">
      <c r="A12" s="397" t="s">
        <v>16</v>
      </c>
      <c r="B12" s="0" t="s">
        <v>99</v>
      </c>
      <c r="C12" s="0" t="s">
        <v>3428</v>
      </c>
      <c r="D12" s="0" t="s">
        <v>3449</v>
      </c>
      <c r="E12" s="0" t="s">
        <v>3450</v>
      </c>
      <c r="F12" s="0" t="s">
        <v>3432</v>
      </c>
      <c r="G12" s="0" t="s">
        <v>236</v>
      </c>
    </row>
    <row customHeight="1" ht="11.25">
      <c r="A13" s="397" t="s">
        <v>16</v>
      </c>
      <c r="B13" s="0" t="s">
        <v>3451</v>
      </c>
      <c r="C13" s="0" t="s">
        <v>3452</v>
      </c>
      <c r="D13" s="0" t="s">
        <v>3453</v>
      </c>
      <c r="E13" s="0" t="s">
        <v>3454</v>
      </c>
      <c r="F13" s="0" t="s">
        <v>3432</v>
      </c>
      <c r="G13" s="0" t="s">
        <v>237</v>
      </c>
    </row>
    <row customHeight="1" ht="11.25">
      <c r="A14" s="397" t="s">
        <v>16</v>
      </c>
      <c r="B14" s="0" t="s">
        <v>3451</v>
      </c>
      <c r="C14" s="0" t="s">
        <v>3452</v>
      </c>
      <c r="D14" s="0" t="s">
        <v>3451</v>
      </c>
      <c r="E14" s="0" t="s">
        <v>3452</v>
      </c>
      <c r="F14" s="0" t="s">
        <v>3429</v>
      </c>
      <c r="G14" s="0" t="s">
        <v>238</v>
      </c>
    </row>
    <row customHeight="1" ht="11.25">
      <c r="A15" s="397" t="s">
        <v>16</v>
      </c>
      <c r="B15" s="0" t="s">
        <v>3451</v>
      </c>
      <c r="C15" s="0" t="s">
        <v>3452</v>
      </c>
      <c r="D15" s="0" t="s">
        <v>3455</v>
      </c>
      <c r="E15" s="0" t="s">
        <v>3456</v>
      </c>
      <c r="F15" s="0" t="s">
        <v>3432</v>
      </c>
      <c r="G15" s="0" t="s">
        <v>239</v>
      </c>
    </row>
    <row customHeight="1" ht="11.25">
      <c r="A16" s="397" t="s">
        <v>16</v>
      </c>
      <c r="B16" s="0" t="s">
        <v>3451</v>
      </c>
      <c r="C16" s="0" t="s">
        <v>3452</v>
      </c>
      <c r="D16" s="0" t="s">
        <v>3457</v>
      </c>
      <c r="E16" s="0" t="s">
        <v>3458</v>
      </c>
      <c r="F16" s="0" t="s">
        <v>3459</v>
      </c>
      <c r="G16" s="0" t="s">
        <v>1798</v>
      </c>
    </row>
    <row customHeight="1" ht="11.25">
      <c r="A17" s="397" t="s">
        <v>16</v>
      </c>
      <c r="B17" s="0" t="s">
        <v>3451</v>
      </c>
      <c r="C17" s="0" t="s">
        <v>3452</v>
      </c>
      <c r="D17" s="0" t="s">
        <v>3460</v>
      </c>
      <c r="E17" s="0" t="s">
        <v>3461</v>
      </c>
      <c r="F17" s="0" t="s">
        <v>3432</v>
      </c>
      <c r="G17" s="0" t="s">
        <v>1804</v>
      </c>
    </row>
    <row customHeight="1" ht="11.25">
      <c r="A18" s="397" t="s">
        <v>16</v>
      </c>
      <c r="B18" s="0" t="s">
        <v>3451</v>
      </c>
      <c r="C18" s="0" t="s">
        <v>3452</v>
      </c>
      <c r="D18" s="0" t="s">
        <v>3462</v>
      </c>
      <c r="E18" s="0" t="s">
        <v>3463</v>
      </c>
      <c r="F18" s="0" t="s">
        <v>3432</v>
      </c>
      <c r="G18" s="0" t="s">
        <v>1816</v>
      </c>
    </row>
    <row customHeight="1" ht="11.25">
      <c r="A19" s="397" t="s">
        <v>16</v>
      </c>
      <c r="B19" s="0" t="s">
        <v>3464</v>
      </c>
      <c r="C19" s="0" t="s">
        <v>3465</v>
      </c>
      <c r="D19" s="0" t="s">
        <v>3464</v>
      </c>
      <c r="E19" s="0" t="s">
        <v>3465</v>
      </c>
      <c r="F19" s="0" t="s">
        <v>3466</v>
      </c>
      <c r="G19" s="0" t="s">
        <v>1830</v>
      </c>
    </row>
    <row customHeight="1" ht="11.25">
      <c r="A20" s="397" t="s">
        <v>16</v>
      </c>
      <c r="B20" s="0" t="s">
        <v>3467</v>
      </c>
      <c r="C20" s="0" t="s">
        <v>3468</v>
      </c>
      <c r="D20" s="0" t="s">
        <v>3467</v>
      </c>
      <c r="E20" s="0" t="s">
        <v>3468</v>
      </c>
      <c r="F20" s="0" t="s">
        <v>3429</v>
      </c>
      <c r="G20" s="0" t="s">
        <v>1842</v>
      </c>
    </row>
    <row customHeight="1" ht="11.25">
      <c r="A21" s="397" t="s">
        <v>16</v>
      </c>
      <c r="B21" s="0" t="s">
        <v>3467</v>
      </c>
      <c r="C21" s="0" t="s">
        <v>3468</v>
      </c>
      <c r="D21" s="0" t="s">
        <v>3469</v>
      </c>
      <c r="E21" s="0" t="s">
        <v>3470</v>
      </c>
      <c r="F21" s="0" t="s">
        <v>3432</v>
      </c>
      <c r="G21" s="0" t="s">
        <v>1851</v>
      </c>
    </row>
    <row customHeight="1" ht="11.25">
      <c r="A22" s="397" t="s">
        <v>16</v>
      </c>
      <c r="B22" s="0" t="s">
        <v>3467</v>
      </c>
      <c r="C22" s="0" t="s">
        <v>3468</v>
      </c>
      <c r="D22" s="0" t="s">
        <v>3471</v>
      </c>
      <c r="E22" s="0" t="s">
        <v>3472</v>
      </c>
      <c r="F22" s="0" t="s">
        <v>3435</v>
      </c>
      <c r="G22" s="0" t="s">
        <v>1867</v>
      </c>
    </row>
    <row customHeight="1" ht="11.25">
      <c r="A23" s="397" t="s">
        <v>16</v>
      </c>
      <c r="B23" s="0" t="s">
        <v>3467</v>
      </c>
      <c r="C23" s="0" t="s">
        <v>3468</v>
      </c>
      <c r="D23" s="0" t="s">
        <v>3473</v>
      </c>
      <c r="E23" s="0" t="s">
        <v>3474</v>
      </c>
      <c r="F23" s="0" t="s">
        <v>3432</v>
      </c>
      <c r="G23" s="0" t="s">
        <v>1874</v>
      </c>
    </row>
    <row customHeight="1" ht="11.25">
      <c r="A24" s="397" t="s">
        <v>16</v>
      </c>
      <c r="B24" s="0" t="s">
        <v>3467</v>
      </c>
      <c r="C24" s="0" t="s">
        <v>3468</v>
      </c>
      <c r="D24" s="0" t="s">
        <v>3475</v>
      </c>
      <c r="E24" s="0" t="s">
        <v>3476</v>
      </c>
      <c r="F24" s="0" t="s">
        <v>3432</v>
      </c>
      <c r="G24" s="0" t="s">
        <v>1882</v>
      </c>
    </row>
    <row customHeight="1" ht="11.25">
      <c r="A25" s="397" t="s">
        <v>16</v>
      </c>
      <c r="B25" s="0" t="s">
        <v>3467</v>
      </c>
      <c r="C25" s="0" t="s">
        <v>3468</v>
      </c>
      <c r="D25" s="0" t="s">
        <v>3477</v>
      </c>
      <c r="E25" s="0" t="s">
        <v>3478</v>
      </c>
      <c r="F25" s="0" t="s">
        <v>3432</v>
      </c>
      <c r="G25" s="0" t="s">
        <v>1889</v>
      </c>
    </row>
    <row customHeight="1" ht="11.25">
      <c r="A26" s="397" t="s">
        <v>16</v>
      </c>
      <c r="B26" s="0" t="s">
        <v>3467</v>
      </c>
      <c r="C26" s="0" t="s">
        <v>3468</v>
      </c>
      <c r="D26" s="0" t="s">
        <v>3479</v>
      </c>
      <c r="E26" s="0" t="s">
        <v>3480</v>
      </c>
      <c r="F26" s="0" t="s">
        <v>3432</v>
      </c>
      <c r="G26" s="0" t="s">
        <v>1893</v>
      </c>
    </row>
    <row customHeight="1" ht="11.25">
      <c r="A27" s="397" t="s">
        <v>16</v>
      </c>
      <c r="B27" s="0" t="s">
        <v>3467</v>
      </c>
      <c r="C27" s="0" t="s">
        <v>3468</v>
      </c>
      <c r="D27" s="0" t="s">
        <v>3481</v>
      </c>
      <c r="E27" s="0" t="s">
        <v>3482</v>
      </c>
      <c r="F27" s="0" t="s">
        <v>3432</v>
      </c>
      <c r="G27" s="0" t="s">
        <v>1898</v>
      </c>
    </row>
    <row customHeight="1" ht="11.25">
      <c r="A28" s="397" t="s">
        <v>16</v>
      </c>
      <c r="B28" s="0" t="s">
        <v>3467</v>
      </c>
      <c r="C28" s="0" t="s">
        <v>3468</v>
      </c>
      <c r="D28" s="0" t="s">
        <v>3483</v>
      </c>
      <c r="E28" s="0" t="s">
        <v>3484</v>
      </c>
      <c r="F28" s="0" t="s">
        <v>3432</v>
      </c>
      <c r="G28" s="0" t="s">
        <v>1906</v>
      </c>
    </row>
    <row customHeight="1" ht="11.25">
      <c r="A29" s="397" t="s">
        <v>16</v>
      </c>
      <c r="B29" s="0" t="s">
        <v>3467</v>
      </c>
      <c r="C29" s="0" t="s">
        <v>3468</v>
      </c>
      <c r="D29" s="0" t="s">
        <v>3485</v>
      </c>
      <c r="E29" s="0" t="s">
        <v>3486</v>
      </c>
      <c r="F29" s="0" t="s">
        <v>3432</v>
      </c>
      <c r="G29" s="0" t="s">
        <v>1908</v>
      </c>
    </row>
    <row customHeight="1" ht="11.25">
      <c r="A30" s="397" t="s">
        <v>16</v>
      </c>
      <c r="B30" s="0" t="s">
        <v>3487</v>
      </c>
      <c r="C30" s="0" t="s">
        <v>3488</v>
      </c>
      <c r="D30" s="0" t="s">
        <v>3487</v>
      </c>
      <c r="E30" s="0" t="s">
        <v>3488</v>
      </c>
      <c r="F30" s="0" t="s">
        <v>3429</v>
      </c>
      <c r="G30" s="0" t="s">
        <v>1911</v>
      </c>
    </row>
    <row customHeight="1" ht="11.25">
      <c r="A31" s="397" t="s">
        <v>16</v>
      </c>
      <c r="B31" s="0" t="s">
        <v>3487</v>
      </c>
      <c r="C31" s="0" t="s">
        <v>3488</v>
      </c>
      <c r="D31" s="0" t="s">
        <v>3489</v>
      </c>
      <c r="E31" s="0" t="s">
        <v>3490</v>
      </c>
      <c r="F31" s="0" t="s">
        <v>3432</v>
      </c>
      <c r="G31" s="0" t="s">
        <v>1917</v>
      </c>
    </row>
    <row customHeight="1" ht="11.25">
      <c r="A32" s="397" t="s">
        <v>16</v>
      </c>
      <c r="B32" s="0" t="s">
        <v>3487</v>
      </c>
      <c r="C32" s="0" t="s">
        <v>3488</v>
      </c>
      <c r="D32" s="0" t="s">
        <v>3491</v>
      </c>
      <c r="E32" s="0" t="s">
        <v>3492</v>
      </c>
      <c r="F32" s="0" t="s">
        <v>3432</v>
      </c>
      <c r="G32" s="0" t="s">
        <v>1919</v>
      </c>
    </row>
    <row customHeight="1" ht="11.25">
      <c r="A33" s="397" t="s">
        <v>16</v>
      </c>
      <c r="B33" s="0" t="s">
        <v>3487</v>
      </c>
      <c r="C33" s="0" t="s">
        <v>3488</v>
      </c>
      <c r="D33" s="0" t="s">
        <v>3493</v>
      </c>
      <c r="E33" s="0" t="s">
        <v>3494</v>
      </c>
      <c r="F33" s="0" t="s">
        <v>3432</v>
      </c>
      <c r="G33" s="0" t="s">
        <v>1921</v>
      </c>
    </row>
    <row customHeight="1" ht="11.25">
      <c r="A34" s="397" t="s">
        <v>16</v>
      </c>
      <c r="B34" s="0" t="s">
        <v>3487</v>
      </c>
      <c r="C34" s="0" t="s">
        <v>3488</v>
      </c>
      <c r="D34" s="0" t="s">
        <v>3495</v>
      </c>
      <c r="E34" s="0" t="s">
        <v>3496</v>
      </c>
      <c r="F34" s="0" t="s">
        <v>3448</v>
      </c>
      <c r="G34" s="0" t="s">
        <v>1923</v>
      </c>
    </row>
    <row customHeight="1" ht="11.25">
      <c r="A35" s="397" t="s">
        <v>16</v>
      </c>
      <c r="B35" s="0" t="s">
        <v>3487</v>
      </c>
      <c r="C35" s="0" t="s">
        <v>3488</v>
      </c>
      <c r="D35" s="0" t="s">
        <v>3497</v>
      </c>
      <c r="E35" s="0" t="s">
        <v>3498</v>
      </c>
      <c r="F35" s="0" t="s">
        <v>3448</v>
      </c>
      <c r="G35" s="0" t="s">
        <v>1928</v>
      </c>
    </row>
    <row customHeight="1" ht="11.25">
      <c r="A36" s="397" t="s">
        <v>16</v>
      </c>
      <c r="B36" s="0" t="s">
        <v>3487</v>
      </c>
      <c r="C36" s="0" t="s">
        <v>3488</v>
      </c>
      <c r="D36" s="0" t="s">
        <v>3499</v>
      </c>
      <c r="E36" s="0" t="s">
        <v>3500</v>
      </c>
      <c r="F36" s="0" t="s">
        <v>3448</v>
      </c>
      <c r="G36" s="0" t="s">
        <v>1933</v>
      </c>
    </row>
    <row customHeight="1" ht="11.25">
      <c r="A37" s="397" t="s">
        <v>16</v>
      </c>
      <c r="B37" s="0" t="s">
        <v>3487</v>
      </c>
      <c r="C37" s="0" t="s">
        <v>3488</v>
      </c>
      <c r="D37" s="0" t="s">
        <v>3501</v>
      </c>
      <c r="E37" s="0" t="s">
        <v>3502</v>
      </c>
      <c r="F37" s="0" t="s">
        <v>3432</v>
      </c>
      <c r="G37" s="0" t="s">
        <v>1937</v>
      </c>
    </row>
    <row customHeight="1" ht="11.25">
      <c r="A38" s="397" t="s">
        <v>16</v>
      </c>
      <c r="B38" s="0" t="s">
        <v>3487</v>
      </c>
      <c r="C38" s="0" t="s">
        <v>3488</v>
      </c>
      <c r="D38" s="0" t="s">
        <v>3503</v>
      </c>
      <c r="E38" s="0" t="s">
        <v>3504</v>
      </c>
      <c r="F38" s="0" t="s">
        <v>3432</v>
      </c>
      <c r="G38" s="0" t="s">
        <v>1945</v>
      </c>
    </row>
    <row customHeight="1" ht="11.25">
      <c r="A39" s="397" t="s">
        <v>16</v>
      </c>
      <c r="B39" s="0" t="s">
        <v>3487</v>
      </c>
      <c r="C39" s="0" t="s">
        <v>3488</v>
      </c>
      <c r="D39" s="0" t="s">
        <v>3505</v>
      </c>
      <c r="E39" s="0" t="s">
        <v>3506</v>
      </c>
      <c r="F39" s="0" t="s">
        <v>3432</v>
      </c>
      <c r="G39" s="0" t="s">
        <v>1951</v>
      </c>
    </row>
    <row customHeight="1" ht="11.25">
      <c r="A40" s="397" t="s">
        <v>16</v>
      </c>
      <c r="B40" s="0" t="s">
        <v>3487</v>
      </c>
      <c r="C40" s="0" t="s">
        <v>3488</v>
      </c>
      <c r="D40" s="0" t="s">
        <v>3507</v>
      </c>
      <c r="E40" s="0" t="s">
        <v>3508</v>
      </c>
      <c r="F40" s="0" t="s">
        <v>3432</v>
      </c>
      <c r="G40" s="0" t="s">
        <v>1956</v>
      </c>
    </row>
    <row customHeight="1" ht="11.25">
      <c r="A41" s="397" t="s">
        <v>16</v>
      </c>
      <c r="B41" s="0" t="s">
        <v>126</v>
      </c>
      <c r="C41" s="0" t="s">
        <v>3509</v>
      </c>
      <c r="D41" s="0" t="s">
        <v>3510</v>
      </c>
      <c r="E41" s="0" t="s">
        <v>3511</v>
      </c>
      <c r="F41" s="0" t="s">
        <v>3432</v>
      </c>
      <c r="G41" s="0" t="s">
        <v>1960</v>
      </c>
    </row>
    <row customHeight="1" ht="11.25">
      <c r="A42" s="397" t="s">
        <v>16</v>
      </c>
      <c r="B42" s="0" t="s">
        <v>126</v>
      </c>
      <c r="C42" s="0" t="s">
        <v>3509</v>
      </c>
      <c r="D42" s="0" t="s">
        <v>3512</v>
      </c>
      <c r="E42" s="0" t="s">
        <v>3513</v>
      </c>
      <c r="F42" s="0" t="s">
        <v>3432</v>
      </c>
      <c r="G42" s="0" t="s">
        <v>1963</v>
      </c>
    </row>
    <row customHeight="1" ht="11.25">
      <c r="A43" s="397" t="s">
        <v>16</v>
      </c>
      <c r="B43" s="0" t="s">
        <v>126</v>
      </c>
      <c r="C43" s="0" t="s">
        <v>3509</v>
      </c>
      <c r="D43" s="0" t="s">
        <v>126</v>
      </c>
      <c r="E43" s="0" t="s">
        <v>3509</v>
      </c>
      <c r="F43" s="0" t="s">
        <v>3429</v>
      </c>
      <c r="G43" s="0" t="s">
        <v>1970</v>
      </c>
    </row>
    <row customHeight="1" ht="11.25">
      <c r="A44" s="397" t="s">
        <v>16</v>
      </c>
      <c r="B44" s="0" t="s">
        <v>126</v>
      </c>
      <c r="C44" s="0" t="s">
        <v>3509</v>
      </c>
      <c r="D44" s="0" t="s">
        <v>3514</v>
      </c>
      <c r="E44" s="0" t="s">
        <v>3515</v>
      </c>
      <c r="F44" s="0" t="s">
        <v>3432</v>
      </c>
      <c r="G44" s="0" t="s">
        <v>1979</v>
      </c>
    </row>
    <row customHeight="1" ht="11.25">
      <c r="A45" s="397" t="s">
        <v>16</v>
      </c>
      <c r="B45" s="0" t="s">
        <v>126</v>
      </c>
      <c r="C45" s="0" t="s">
        <v>3509</v>
      </c>
      <c r="D45" s="0" t="s">
        <v>3516</v>
      </c>
      <c r="E45" s="0" t="s">
        <v>3517</v>
      </c>
      <c r="F45" s="0" t="s">
        <v>3459</v>
      </c>
      <c r="G45" s="0" t="s">
        <v>1984</v>
      </c>
    </row>
    <row customHeight="1" ht="11.25">
      <c r="A46" s="397" t="s">
        <v>16</v>
      </c>
      <c r="B46" s="0" t="s">
        <v>126</v>
      </c>
      <c r="C46" s="0" t="s">
        <v>3509</v>
      </c>
      <c r="D46" s="0" t="s">
        <v>3518</v>
      </c>
      <c r="E46" s="0" t="s">
        <v>3519</v>
      </c>
      <c r="F46" s="0" t="s">
        <v>3448</v>
      </c>
      <c r="G46" s="0" t="s">
        <v>1987</v>
      </c>
    </row>
    <row customHeight="1" ht="11.25">
      <c r="A47" s="397" t="s">
        <v>16</v>
      </c>
      <c r="B47" s="0" t="s">
        <v>126</v>
      </c>
      <c r="C47" s="0" t="s">
        <v>3509</v>
      </c>
      <c r="D47" s="0" t="s">
        <v>127</v>
      </c>
      <c r="E47" s="0" t="s">
        <v>128</v>
      </c>
      <c r="F47" s="0" t="s">
        <v>3448</v>
      </c>
      <c r="G47" s="0" t="s">
        <v>125</v>
      </c>
    </row>
    <row customHeight="1" ht="11.25">
      <c r="A48" s="397" t="s">
        <v>16</v>
      </c>
      <c r="B48" s="0" t="s">
        <v>126</v>
      </c>
      <c r="C48" s="0" t="s">
        <v>3509</v>
      </c>
      <c r="D48" s="0" t="s">
        <v>3520</v>
      </c>
      <c r="E48" s="0" t="s">
        <v>3521</v>
      </c>
      <c r="F48" s="0" t="s">
        <v>3432</v>
      </c>
      <c r="G48" s="0" t="s">
        <v>1997</v>
      </c>
    </row>
    <row customHeight="1" ht="11.25">
      <c r="A49" s="397" t="s">
        <v>16</v>
      </c>
      <c r="B49" s="0" t="s">
        <v>126</v>
      </c>
      <c r="C49" s="0" t="s">
        <v>3509</v>
      </c>
      <c r="D49" s="0" t="s">
        <v>3522</v>
      </c>
      <c r="E49" s="0" t="s">
        <v>3523</v>
      </c>
      <c r="F49" s="0" t="s">
        <v>3432</v>
      </c>
      <c r="G49" s="0" t="s">
        <v>2000</v>
      </c>
    </row>
    <row customHeight="1" ht="11.25">
      <c r="A50" s="397" t="s">
        <v>16</v>
      </c>
      <c r="B50" s="0" t="s">
        <v>126</v>
      </c>
      <c r="C50" s="0" t="s">
        <v>3509</v>
      </c>
      <c r="D50" s="0" t="s">
        <v>3524</v>
      </c>
      <c r="E50" s="0" t="s">
        <v>3525</v>
      </c>
      <c r="F50" s="0" t="s">
        <v>3432</v>
      </c>
      <c r="G50" s="0" t="s">
        <v>2004</v>
      </c>
    </row>
    <row customHeight="1" ht="11.25">
      <c r="A51" s="397" t="s">
        <v>16</v>
      </c>
      <c r="B51" s="0" t="s">
        <v>126</v>
      </c>
      <c r="C51" s="0" t="s">
        <v>3509</v>
      </c>
      <c r="D51" s="0" t="s">
        <v>3526</v>
      </c>
      <c r="E51" s="0" t="s">
        <v>3527</v>
      </c>
      <c r="F51" s="0" t="s">
        <v>3432</v>
      </c>
      <c r="G51" s="0" t="s">
        <v>2009</v>
      </c>
    </row>
    <row customHeight="1" ht="11.25">
      <c r="A52" s="397" t="s">
        <v>16</v>
      </c>
      <c r="B52" s="0" t="s">
        <v>126</v>
      </c>
      <c r="C52" s="0" t="s">
        <v>3509</v>
      </c>
      <c r="D52" s="0" t="s">
        <v>3528</v>
      </c>
      <c r="E52" s="0" t="s">
        <v>3529</v>
      </c>
      <c r="F52" s="0" t="s">
        <v>3432</v>
      </c>
      <c r="G52" s="0" t="s">
        <v>2013</v>
      </c>
    </row>
    <row customHeight="1" ht="11.25">
      <c r="A53" s="397" t="s">
        <v>16</v>
      </c>
      <c r="B53" s="0" t="s">
        <v>126</v>
      </c>
      <c r="C53" s="0" t="s">
        <v>3509</v>
      </c>
      <c r="D53" s="0" t="s">
        <v>3530</v>
      </c>
      <c r="E53" s="0" t="s">
        <v>3531</v>
      </c>
      <c r="F53" s="0" t="s">
        <v>3432</v>
      </c>
      <c r="G53" s="0" t="s">
        <v>2015</v>
      </c>
    </row>
    <row customHeight="1" ht="11.25">
      <c r="A54" s="397" t="s">
        <v>16</v>
      </c>
      <c r="B54" s="0" t="s">
        <v>126</v>
      </c>
      <c r="C54" s="0" t="s">
        <v>3509</v>
      </c>
      <c r="D54" s="0" t="s">
        <v>3532</v>
      </c>
      <c r="E54" s="0" t="s">
        <v>3533</v>
      </c>
      <c r="F54" s="0" t="s">
        <v>3432</v>
      </c>
      <c r="G54" s="0" t="s">
        <v>2018</v>
      </c>
    </row>
    <row customHeight="1" ht="11.25">
      <c r="A55" s="397" t="s">
        <v>16</v>
      </c>
      <c r="B55" s="0" t="s">
        <v>126</v>
      </c>
      <c r="C55" s="0" t="s">
        <v>3509</v>
      </c>
      <c r="D55" s="0" t="s">
        <v>3534</v>
      </c>
      <c r="E55" s="0" t="s">
        <v>3535</v>
      </c>
      <c r="F55" s="0" t="s">
        <v>3432</v>
      </c>
      <c r="G55" s="0" t="s">
        <v>2023</v>
      </c>
    </row>
    <row customHeight="1" ht="11.25">
      <c r="A56" s="397" t="s">
        <v>16</v>
      </c>
      <c r="B56" s="0" t="s">
        <v>3536</v>
      </c>
      <c r="C56" s="0" t="s">
        <v>3537</v>
      </c>
      <c r="D56" s="0" t="s">
        <v>3538</v>
      </c>
      <c r="E56" s="0" t="s">
        <v>3539</v>
      </c>
      <c r="F56" s="0" t="s">
        <v>3432</v>
      </c>
      <c r="G56" s="0" t="s">
        <v>2027</v>
      </c>
    </row>
    <row customHeight="1" ht="11.25">
      <c r="A57" s="397" t="s">
        <v>16</v>
      </c>
      <c r="B57" s="0" t="s">
        <v>3536</v>
      </c>
      <c r="C57" s="0" t="s">
        <v>3537</v>
      </c>
      <c r="D57" s="0" t="s">
        <v>3540</v>
      </c>
      <c r="E57" s="0" t="s">
        <v>3541</v>
      </c>
      <c r="F57" s="0" t="s">
        <v>3432</v>
      </c>
      <c r="G57" s="0" t="s">
        <v>2030</v>
      </c>
    </row>
    <row customHeight="1" ht="11.25">
      <c r="A58" s="397" t="s">
        <v>16</v>
      </c>
      <c r="B58" s="0" t="s">
        <v>3536</v>
      </c>
      <c r="C58" s="0" t="s">
        <v>3537</v>
      </c>
      <c r="D58" s="0" t="s">
        <v>3542</v>
      </c>
      <c r="E58" s="0" t="s">
        <v>3543</v>
      </c>
      <c r="F58" s="0" t="s">
        <v>3432</v>
      </c>
      <c r="G58" s="0" t="s">
        <v>2033</v>
      </c>
    </row>
    <row customHeight="1" ht="11.25">
      <c r="A59" s="397" t="s">
        <v>16</v>
      </c>
      <c r="B59" s="0" t="s">
        <v>3536</v>
      </c>
      <c r="C59" s="0" t="s">
        <v>3537</v>
      </c>
      <c r="D59" s="0" t="s">
        <v>3544</v>
      </c>
      <c r="E59" s="0" t="s">
        <v>3545</v>
      </c>
      <c r="F59" s="0" t="s">
        <v>3432</v>
      </c>
      <c r="G59" s="0" t="s">
        <v>2037</v>
      </c>
    </row>
    <row customHeight="1" ht="11.25">
      <c r="A60" s="397" t="s">
        <v>16</v>
      </c>
      <c r="B60" s="0" t="s">
        <v>3536</v>
      </c>
      <c r="C60" s="0" t="s">
        <v>3537</v>
      </c>
      <c r="D60" s="0" t="s">
        <v>3536</v>
      </c>
      <c r="E60" s="0" t="s">
        <v>3537</v>
      </c>
      <c r="F60" s="0" t="s">
        <v>3429</v>
      </c>
      <c r="G60" s="0" t="s">
        <v>2040</v>
      </c>
    </row>
    <row customHeight="1" ht="11.25">
      <c r="A61" s="397" t="s">
        <v>16</v>
      </c>
      <c r="B61" s="0" t="s">
        <v>3536</v>
      </c>
      <c r="C61" s="0" t="s">
        <v>3537</v>
      </c>
      <c r="D61" s="0" t="s">
        <v>3546</v>
      </c>
      <c r="E61" s="0" t="s">
        <v>3547</v>
      </c>
      <c r="F61" s="0" t="s">
        <v>3432</v>
      </c>
      <c r="G61" s="0" t="s">
        <v>3548</v>
      </c>
    </row>
    <row customHeight="1" ht="11.25">
      <c r="A62" s="397" t="s">
        <v>16</v>
      </c>
      <c r="B62" s="0" t="s">
        <v>3536</v>
      </c>
      <c r="C62" s="0" t="s">
        <v>3537</v>
      </c>
      <c r="D62" s="0" t="s">
        <v>3549</v>
      </c>
      <c r="E62" s="0" t="s">
        <v>3550</v>
      </c>
      <c r="F62" s="0" t="s">
        <v>3435</v>
      </c>
      <c r="G62" s="0" t="s">
        <v>3551</v>
      </c>
    </row>
    <row customHeight="1" ht="11.25">
      <c r="A63" s="397" t="s">
        <v>16</v>
      </c>
      <c r="B63" s="0" t="s">
        <v>3536</v>
      </c>
      <c r="C63" s="0" t="s">
        <v>3537</v>
      </c>
      <c r="D63" s="0" t="s">
        <v>3552</v>
      </c>
      <c r="E63" s="0" t="s">
        <v>3553</v>
      </c>
      <c r="F63" s="0" t="s">
        <v>3432</v>
      </c>
      <c r="G63" s="0" t="s">
        <v>3554</v>
      </c>
    </row>
    <row customHeight="1" ht="11.25">
      <c r="A64" s="397" t="s">
        <v>16</v>
      </c>
      <c r="B64" s="0" t="s">
        <v>3536</v>
      </c>
      <c r="C64" s="0" t="s">
        <v>3537</v>
      </c>
      <c r="D64" s="0" t="s">
        <v>3555</v>
      </c>
      <c r="E64" s="0" t="s">
        <v>3556</v>
      </c>
      <c r="F64" s="0" t="s">
        <v>3432</v>
      </c>
      <c r="G64" s="0" t="s">
        <v>3557</v>
      </c>
    </row>
    <row customHeight="1" ht="11.25">
      <c r="A65" s="397" t="s">
        <v>16</v>
      </c>
      <c r="B65" s="0" t="s">
        <v>3536</v>
      </c>
      <c r="C65" s="0" t="s">
        <v>3537</v>
      </c>
      <c r="D65" s="0" t="s">
        <v>3558</v>
      </c>
      <c r="E65" s="0" t="s">
        <v>3559</v>
      </c>
      <c r="F65" s="0" t="s">
        <v>3432</v>
      </c>
      <c r="G65" s="0" t="s">
        <v>3560</v>
      </c>
    </row>
    <row customHeight="1" ht="11.25">
      <c r="A66" s="397" t="s">
        <v>16</v>
      </c>
      <c r="B66" s="0" t="s">
        <v>3536</v>
      </c>
      <c r="C66" s="0" t="s">
        <v>3537</v>
      </c>
      <c r="D66" s="0" t="s">
        <v>3561</v>
      </c>
      <c r="E66" s="0" t="s">
        <v>3562</v>
      </c>
      <c r="F66" s="0" t="s">
        <v>3432</v>
      </c>
      <c r="G66" s="0" t="s">
        <v>3563</v>
      </c>
    </row>
    <row customHeight="1" ht="11.25">
      <c r="A67" s="397" t="s">
        <v>16</v>
      </c>
      <c r="B67" s="0" t="s">
        <v>3536</v>
      </c>
      <c r="C67" s="0" t="s">
        <v>3537</v>
      </c>
      <c r="D67" s="0" t="s">
        <v>3564</v>
      </c>
      <c r="E67" s="0" t="s">
        <v>3565</v>
      </c>
      <c r="F67" s="0" t="s">
        <v>3432</v>
      </c>
      <c r="G67" s="0" t="s">
        <v>2356</v>
      </c>
    </row>
    <row customHeight="1" ht="11.25">
      <c r="A68" s="397" t="s">
        <v>16</v>
      </c>
      <c r="B68" s="0" t="s">
        <v>3536</v>
      </c>
      <c r="C68" s="0" t="s">
        <v>3537</v>
      </c>
      <c r="D68" s="0" t="s">
        <v>3566</v>
      </c>
      <c r="E68" s="0" t="s">
        <v>3567</v>
      </c>
      <c r="F68" s="0" t="s">
        <v>3432</v>
      </c>
      <c r="G68" s="0" t="s">
        <v>3568</v>
      </c>
    </row>
    <row customHeight="1" ht="11.25">
      <c r="A69" s="397" t="s">
        <v>16</v>
      </c>
      <c r="B69" s="0" t="s">
        <v>3536</v>
      </c>
      <c r="C69" s="0" t="s">
        <v>3537</v>
      </c>
      <c r="D69" s="0" t="s">
        <v>3569</v>
      </c>
      <c r="E69" s="0" t="s">
        <v>3570</v>
      </c>
      <c r="F69" s="0" t="s">
        <v>3432</v>
      </c>
      <c r="G69" s="0" t="s">
        <v>2559</v>
      </c>
    </row>
    <row customHeight="1" ht="11.25">
      <c r="A70" s="397" t="s">
        <v>16</v>
      </c>
      <c r="B70" s="0" t="s">
        <v>3536</v>
      </c>
      <c r="C70" s="0" t="s">
        <v>3537</v>
      </c>
      <c r="D70" s="0" t="s">
        <v>3571</v>
      </c>
      <c r="E70" s="0" t="s">
        <v>3572</v>
      </c>
      <c r="F70" s="0" t="s">
        <v>3432</v>
      </c>
      <c r="G70" s="0" t="s">
        <v>3573</v>
      </c>
    </row>
    <row customHeight="1" ht="11.25">
      <c r="A71" s="397" t="s">
        <v>16</v>
      </c>
      <c r="B71" s="0" t="s">
        <v>3536</v>
      </c>
      <c r="C71" s="0" t="s">
        <v>3537</v>
      </c>
      <c r="D71" s="0" t="s">
        <v>3574</v>
      </c>
      <c r="E71" s="0" t="s">
        <v>3575</v>
      </c>
      <c r="F71" s="0" t="s">
        <v>3432</v>
      </c>
      <c r="G71" s="0" t="s">
        <v>3576</v>
      </c>
    </row>
    <row customHeight="1" ht="11.25">
      <c r="A72" s="397" t="s">
        <v>16</v>
      </c>
      <c r="B72" s="0" t="s">
        <v>3536</v>
      </c>
      <c r="C72" s="0" t="s">
        <v>3537</v>
      </c>
      <c r="D72" s="0" t="s">
        <v>3577</v>
      </c>
      <c r="E72" s="0" t="s">
        <v>3578</v>
      </c>
      <c r="F72" s="0" t="s">
        <v>3432</v>
      </c>
      <c r="G72" s="0" t="s">
        <v>3579</v>
      </c>
    </row>
    <row customHeight="1" ht="11.25">
      <c r="A73" s="397" t="s">
        <v>16</v>
      </c>
      <c r="B73" s="0" t="s">
        <v>3536</v>
      </c>
      <c r="C73" s="0" t="s">
        <v>3537</v>
      </c>
      <c r="D73" s="0" t="s">
        <v>3580</v>
      </c>
      <c r="E73" s="0" t="s">
        <v>3581</v>
      </c>
      <c r="F73" s="0" t="s">
        <v>3432</v>
      </c>
      <c r="G73" s="0" t="s">
        <v>3582</v>
      </c>
    </row>
    <row customHeight="1" ht="11.25">
      <c r="A74" s="397" t="s">
        <v>16</v>
      </c>
      <c r="B74" s="0" t="s">
        <v>3536</v>
      </c>
      <c r="C74" s="0" t="s">
        <v>3537</v>
      </c>
      <c r="D74" s="0" t="s">
        <v>3583</v>
      </c>
      <c r="E74" s="0" t="s">
        <v>3584</v>
      </c>
      <c r="F74" s="0" t="s">
        <v>3432</v>
      </c>
      <c r="G74" s="0" t="s">
        <v>3585</v>
      </c>
    </row>
    <row customHeight="1" ht="11.25">
      <c r="A75" s="397" t="s">
        <v>16</v>
      </c>
      <c r="B75" s="0" t="s">
        <v>3536</v>
      </c>
      <c r="C75" s="0" t="s">
        <v>3537</v>
      </c>
      <c r="D75" s="0" t="s">
        <v>3586</v>
      </c>
      <c r="E75" s="0" t="s">
        <v>3587</v>
      </c>
      <c r="F75" s="0" t="s">
        <v>3432</v>
      </c>
      <c r="G75" s="0" t="s">
        <v>3588</v>
      </c>
    </row>
    <row customHeight="1" ht="11.25">
      <c r="A76" s="397" t="s">
        <v>16</v>
      </c>
      <c r="B76" s="0" t="s">
        <v>112</v>
      </c>
      <c r="C76" s="0" t="s">
        <v>113</v>
      </c>
      <c r="D76" s="0" t="s">
        <v>112</v>
      </c>
      <c r="E76" s="0" t="s">
        <v>113</v>
      </c>
      <c r="F76" s="0" t="s">
        <v>3589</v>
      </c>
      <c r="G76" s="0" t="s">
        <v>111</v>
      </c>
    </row>
    <row customHeight="1" ht="11.25">
      <c r="A77" s="397" t="s">
        <v>16</v>
      </c>
      <c r="B77" s="0" t="s">
        <v>131</v>
      </c>
      <c r="C77" s="0" t="s">
        <v>132</v>
      </c>
      <c r="D77" s="0" t="s">
        <v>131</v>
      </c>
      <c r="E77" s="0" t="s">
        <v>132</v>
      </c>
      <c r="F77" s="0" t="s">
        <v>3589</v>
      </c>
      <c r="G77" s="0" t="s">
        <v>130</v>
      </c>
    </row>
    <row customHeight="1" ht="11.25">
      <c r="A78" s="397" t="s">
        <v>16</v>
      </c>
      <c r="B78" s="0" t="s">
        <v>3590</v>
      </c>
      <c r="C78" s="0" t="s">
        <v>3591</v>
      </c>
      <c r="D78" s="0" t="s">
        <v>3592</v>
      </c>
      <c r="E78" s="0" t="s">
        <v>3593</v>
      </c>
      <c r="F78" s="0" t="s">
        <v>3432</v>
      </c>
      <c r="G78" s="0" t="s">
        <v>3594</v>
      </c>
    </row>
    <row customHeight="1" ht="11.25">
      <c r="A79" s="397" t="s">
        <v>16</v>
      </c>
      <c r="B79" s="0" t="s">
        <v>3590</v>
      </c>
      <c r="C79" s="0" t="s">
        <v>3591</v>
      </c>
      <c r="D79" s="0" t="s">
        <v>3595</v>
      </c>
      <c r="E79" s="0" t="s">
        <v>3596</v>
      </c>
      <c r="F79" s="0" t="s">
        <v>3432</v>
      </c>
      <c r="G79" s="0" t="s">
        <v>3597</v>
      </c>
    </row>
    <row customHeight="1" ht="11.25">
      <c r="A80" s="397" t="s">
        <v>16</v>
      </c>
      <c r="B80" s="0" t="s">
        <v>3590</v>
      </c>
      <c r="C80" s="0" t="s">
        <v>3591</v>
      </c>
      <c r="D80" s="0" t="s">
        <v>3598</v>
      </c>
      <c r="E80" s="0" t="s">
        <v>3599</v>
      </c>
      <c r="F80" s="0" t="s">
        <v>3432</v>
      </c>
      <c r="G80" s="0" t="s">
        <v>3600</v>
      </c>
    </row>
    <row customHeight="1" ht="11.25">
      <c r="A81" s="397" t="s">
        <v>16</v>
      </c>
      <c r="B81" s="0" t="s">
        <v>3590</v>
      </c>
      <c r="C81" s="0" t="s">
        <v>3591</v>
      </c>
      <c r="D81" s="0" t="s">
        <v>3601</v>
      </c>
      <c r="E81" s="0" t="s">
        <v>3602</v>
      </c>
      <c r="F81" s="0" t="s">
        <v>3432</v>
      </c>
      <c r="G81" s="0" t="s">
        <v>3603</v>
      </c>
    </row>
    <row customHeight="1" ht="11.25">
      <c r="A82" s="397" t="s">
        <v>16</v>
      </c>
      <c r="B82" s="0" t="s">
        <v>3590</v>
      </c>
      <c r="C82" s="0" t="s">
        <v>3591</v>
      </c>
      <c r="D82" s="0" t="s">
        <v>3604</v>
      </c>
      <c r="E82" s="0" t="s">
        <v>3605</v>
      </c>
      <c r="F82" s="0" t="s">
        <v>3432</v>
      </c>
      <c r="G82" s="0" t="s">
        <v>3606</v>
      </c>
    </row>
    <row customHeight="1" ht="11.25">
      <c r="A83" s="397" t="s">
        <v>16</v>
      </c>
      <c r="B83" s="0" t="s">
        <v>3590</v>
      </c>
      <c r="C83" s="0" t="s">
        <v>3591</v>
      </c>
      <c r="D83" s="0" t="s">
        <v>3607</v>
      </c>
      <c r="E83" s="0" t="s">
        <v>3608</v>
      </c>
      <c r="F83" s="0" t="s">
        <v>3432</v>
      </c>
      <c r="G83" s="0" t="s">
        <v>3609</v>
      </c>
    </row>
    <row customHeight="1" ht="11.25">
      <c r="A84" s="397" t="s">
        <v>16</v>
      </c>
      <c r="B84" s="0" t="s">
        <v>3590</v>
      </c>
      <c r="C84" s="0" t="s">
        <v>3591</v>
      </c>
      <c r="D84" s="0" t="s">
        <v>3610</v>
      </c>
      <c r="E84" s="0" t="s">
        <v>3611</v>
      </c>
      <c r="F84" s="0" t="s">
        <v>3432</v>
      </c>
      <c r="G84" s="0" t="s">
        <v>3612</v>
      </c>
    </row>
    <row customHeight="1" ht="11.25">
      <c r="A85" s="397" t="s">
        <v>16</v>
      </c>
      <c r="B85" s="0" t="s">
        <v>3590</v>
      </c>
      <c r="C85" s="0" t="s">
        <v>3591</v>
      </c>
      <c r="D85" s="0" t="s">
        <v>3613</v>
      </c>
      <c r="E85" s="0" t="s">
        <v>3614</v>
      </c>
      <c r="F85" s="0" t="s">
        <v>3432</v>
      </c>
      <c r="G85" s="0" t="s">
        <v>3615</v>
      </c>
    </row>
    <row customHeight="1" ht="11.25">
      <c r="A86" s="397" t="s">
        <v>16</v>
      </c>
      <c r="B86" s="0" t="s">
        <v>3590</v>
      </c>
      <c r="C86" s="0" t="s">
        <v>3591</v>
      </c>
      <c r="D86" s="0" t="s">
        <v>3616</v>
      </c>
      <c r="E86" s="0" t="s">
        <v>3617</v>
      </c>
      <c r="F86" s="0" t="s">
        <v>3432</v>
      </c>
      <c r="G86" s="0" t="s">
        <v>3618</v>
      </c>
    </row>
    <row customHeight="1" ht="11.25">
      <c r="A87" s="397" t="s">
        <v>16</v>
      </c>
      <c r="B87" s="0" t="s">
        <v>3590</v>
      </c>
      <c r="C87" s="0" t="s">
        <v>3591</v>
      </c>
      <c r="D87" s="0" t="s">
        <v>3590</v>
      </c>
      <c r="E87" s="0" t="s">
        <v>3591</v>
      </c>
      <c r="F87" s="0" t="s">
        <v>3429</v>
      </c>
      <c r="G87" s="0" t="s">
        <v>3619</v>
      </c>
    </row>
    <row customHeight="1" ht="11.25">
      <c r="A88" s="397" t="s">
        <v>16</v>
      </c>
      <c r="B88" s="0" t="s">
        <v>3590</v>
      </c>
      <c r="C88" s="0" t="s">
        <v>3591</v>
      </c>
      <c r="D88" s="0" t="s">
        <v>3620</v>
      </c>
      <c r="E88" s="0" t="s">
        <v>3621</v>
      </c>
      <c r="F88" s="0" t="s">
        <v>3432</v>
      </c>
      <c r="G88" s="0" t="s">
        <v>3622</v>
      </c>
    </row>
    <row customHeight="1" ht="11.25">
      <c r="A89" s="397" t="s">
        <v>16</v>
      </c>
      <c r="B89" s="0" t="s">
        <v>3590</v>
      </c>
      <c r="C89" s="0" t="s">
        <v>3591</v>
      </c>
      <c r="D89" s="0" t="s">
        <v>3623</v>
      </c>
      <c r="E89" s="0" t="s">
        <v>3624</v>
      </c>
      <c r="F89" s="0" t="s">
        <v>3432</v>
      </c>
      <c r="G89" s="0" t="s">
        <v>3625</v>
      </c>
    </row>
    <row customHeight="1" ht="11.25">
      <c r="A90" s="397" t="s">
        <v>16</v>
      </c>
      <c r="B90" s="0" t="s">
        <v>3590</v>
      </c>
      <c r="C90" s="0" t="s">
        <v>3591</v>
      </c>
      <c r="D90" s="0" t="s">
        <v>3626</v>
      </c>
      <c r="E90" s="0" t="s">
        <v>3627</v>
      </c>
      <c r="F90" s="0" t="s">
        <v>3432</v>
      </c>
      <c r="G90" s="0" t="s">
        <v>3628</v>
      </c>
    </row>
    <row customHeight="1" ht="11.25">
      <c r="A91" s="397" t="s">
        <v>16</v>
      </c>
      <c r="B91" s="0" t="s">
        <v>3590</v>
      </c>
      <c r="C91" s="0" t="s">
        <v>3591</v>
      </c>
      <c r="D91" s="0" t="s">
        <v>3629</v>
      </c>
      <c r="E91" s="0" t="s">
        <v>3630</v>
      </c>
      <c r="F91" s="0" t="s">
        <v>3432</v>
      </c>
      <c r="G91" s="0" t="s">
        <v>3631</v>
      </c>
    </row>
    <row customHeight="1" ht="11.25">
      <c r="A92" s="397" t="s">
        <v>16</v>
      </c>
      <c r="B92" s="0" t="s">
        <v>3590</v>
      </c>
      <c r="C92" s="0" t="s">
        <v>3591</v>
      </c>
      <c r="D92" s="0" t="s">
        <v>3632</v>
      </c>
      <c r="E92" s="0" t="s">
        <v>3633</v>
      </c>
      <c r="F92" s="0" t="s">
        <v>3432</v>
      </c>
      <c r="G92" s="0" t="s">
        <v>3634</v>
      </c>
    </row>
    <row customHeight="1" ht="11.25">
      <c r="A93" s="397" t="s">
        <v>16</v>
      </c>
      <c r="B93" s="0" t="s">
        <v>3590</v>
      </c>
      <c r="C93" s="0" t="s">
        <v>3591</v>
      </c>
      <c r="D93" s="0" t="s">
        <v>3635</v>
      </c>
      <c r="E93" s="0" t="s">
        <v>3636</v>
      </c>
      <c r="F93" s="0" t="s">
        <v>3432</v>
      </c>
      <c r="G93" s="0" t="s">
        <v>3637</v>
      </c>
    </row>
    <row customHeight="1" ht="11.25">
      <c r="A94" s="397" t="s">
        <v>16</v>
      </c>
      <c r="B94" s="0" t="s">
        <v>3590</v>
      </c>
      <c r="C94" s="0" t="s">
        <v>3591</v>
      </c>
      <c r="D94" s="0" t="s">
        <v>3638</v>
      </c>
      <c r="E94" s="0" t="s">
        <v>3639</v>
      </c>
      <c r="F94" s="0" t="s">
        <v>3432</v>
      </c>
      <c r="G94" s="0" t="s">
        <v>3640</v>
      </c>
    </row>
    <row customHeight="1" ht="11.25">
      <c r="A95" s="397" t="s">
        <v>16</v>
      </c>
      <c r="B95" s="0" t="s">
        <v>3590</v>
      </c>
      <c r="C95" s="0" t="s">
        <v>3591</v>
      </c>
      <c r="D95" s="0" t="s">
        <v>3641</v>
      </c>
      <c r="E95" s="0" t="s">
        <v>3642</v>
      </c>
      <c r="F95" s="0" t="s">
        <v>3432</v>
      </c>
      <c r="G95" s="0" t="s">
        <v>3643</v>
      </c>
    </row>
    <row customHeight="1" ht="11.25">
      <c r="A96" s="397" t="s">
        <v>16</v>
      </c>
      <c r="B96" s="0" t="s">
        <v>3590</v>
      </c>
      <c r="C96" s="0" t="s">
        <v>3591</v>
      </c>
      <c r="D96" s="0" t="s">
        <v>3644</v>
      </c>
      <c r="E96" s="0" t="s">
        <v>3645</v>
      </c>
      <c r="F96" s="0" t="s">
        <v>3432</v>
      </c>
      <c r="G96" s="0" t="s">
        <v>3646</v>
      </c>
    </row>
    <row customHeight="1" ht="11.25">
      <c r="A97" s="397" t="s">
        <v>16</v>
      </c>
      <c r="B97" s="0" t="s">
        <v>3590</v>
      </c>
      <c r="C97" s="0" t="s">
        <v>3591</v>
      </c>
      <c r="D97" s="0" t="s">
        <v>3647</v>
      </c>
      <c r="E97" s="0" t="s">
        <v>3648</v>
      </c>
      <c r="F97" s="0" t="s">
        <v>3432</v>
      </c>
      <c r="G97" s="0" t="s">
        <v>3649</v>
      </c>
    </row>
    <row customHeight="1" ht="11.25">
      <c r="A98" s="397" t="s">
        <v>16</v>
      </c>
      <c r="B98" s="0" t="s">
        <v>3590</v>
      </c>
      <c r="C98" s="0" t="s">
        <v>3591</v>
      </c>
      <c r="D98" s="0" t="s">
        <v>3650</v>
      </c>
      <c r="E98" s="0" t="s">
        <v>3651</v>
      </c>
      <c r="F98" s="0" t="s">
        <v>3432</v>
      </c>
      <c r="G98" s="0" t="s">
        <v>3652</v>
      </c>
    </row>
    <row customHeight="1" ht="11.25">
      <c r="A99" s="397" t="s">
        <v>16</v>
      </c>
      <c r="B99" s="0" t="s">
        <v>3590</v>
      </c>
      <c r="C99" s="0" t="s">
        <v>3591</v>
      </c>
      <c r="D99" s="0" t="s">
        <v>3653</v>
      </c>
      <c r="E99" s="0" t="s">
        <v>3654</v>
      </c>
      <c r="F99" s="0" t="s">
        <v>3432</v>
      </c>
      <c r="G99" s="0" t="s">
        <v>3655</v>
      </c>
    </row>
    <row customHeight="1" ht="11.25">
      <c r="A100" s="397" t="s">
        <v>16</v>
      </c>
      <c r="B100" s="0" t="s">
        <v>3656</v>
      </c>
      <c r="C100" s="0" t="s">
        <v>3657</v>
      </c>
      <c r="D100" s="0" t="s">
        <v>3658</v>
      </c>
      <c r="E100" s="0" t="s">
        <v>3659</v>
      </c>
      <c r="F100" s="0" t="s">
        <v>3432</v>
      </c>
      <c r="G100" s="0" t="s">
        <v>3660</v>
      </c>
    </row>
    <row customHeight="1" ht="11.25">
      <c r="A101" s="397" t="s">
        <v>16</v>
      </c>
      <c r="B101" s="0" t="s">
        <v>3656</v>
      </c>
      <c r="C101" s="0" t="s">
        <v>3657</v>
      </c>
      <c r="D101" s="0" t="s">
        <v>3661</v>
      </c>
      <c r="E101" s="0" t="s">
        <v>3662</v>
      </c>
      <c r="F101" s="0" t="s">
        <v>3432</v>
      </c>
      <c r="G101" s="0" t="s">
        <v>3663</v>
      </c>
    </row>
    <row customHeight="1" ht="11.25">
      <c r="A102" s="397" t="s">
        <v>16</v>
      </c>
      <c r="B102" s="0" t="s">
        <v>3656</v>
      </c>
      <c r="C102" s="0" t="s">
        <v>3657</v>
      </c>
      <c r="D102" s="0" t="s">
        <v>3664</v>
      </c>
      <c r="E102" s="0" t="s">
        <v>3665</v>
      </c>
      <c r="F102" s="0" t="s">
        <v>3432</v>
      </c>
      <c r="G102" s="0" t="s">
        <v>3666</v>
      </c>
    </row>
    <row customHeight="1" ht="11.25">
      <c r="A103" s="397" t="s">
        <v>16</v>
      </c>
      <c r="B103" s="0" t="s">
        <v>3656</v>
      </c>
      <c r="C103" s="0" t="s">
        <v>3657</v>
      </c>
      <c r="D103" s="0" t="s">
        <v>3667</v>
      </c>
      <c r="E103" s="0" t="s">
        <v>3668</v>
      </c>
      <c r="F103" s="0" t="s">
        <v>3432</v>
      </c>
      <c r="G103" s="0" t="s">
        <v>3669</v>
      </c>
    </row>
    <row customHeight="1" ht="11.25">
      <c r="A104" s="397" t="s">
        <v>16</v>
      </c>
      <c r="B104" s="0" t="s">
        <v>3656</v>
      </c>
      <c r="C104" s="0" t="s">
        <v>3657</v>
      </c>
      <c r="D104" s="0" t="s">
        <v>3670</v>
      </c>
      <c r="E104" s="0" t="s">
        <v>3671</v>
      </c>
      <c r="F104" s="0" t="s">
        <v>3432</v>
      </c>
      <c r="G104" s="0" t="s">
        <v>3672</v>
      </c>
    </row>
    <row customHeight="1" ht="11.25">
      <c r="A105" s="397" t="s">
        <v>16</v>
      </c>
      <c r="B105" s="0" t="s">
        <v>3656</v>
      </c>
      <c r="C105" s="0" t="s">
        <v>3657</v>
      </c>
      <c r="D105" s="0" t="s">
        <v>3673</v>
      </c>
      <c r="E105" s="0" t="s">
        <v>3674</v>
      </c>
      <c r="F105" s="0" t="s">
        <v>3432</v>
      </c>
      <c r="G105" s="0" t="s">
        <v>3675</v>
      </c>
    </row>
    <row customHeight="1" ht="11.25">
      <c r="A106" s="397" t="s">
        <v>16</v>
      </c>
      <c r="B106" s="0" t="s">
        <v>3656</v>
      </c>
      <c r="C106" s="0" t="s">
        <v>3657</v>
      </c>
      <c r="D106" s="0" t="s">
        <v>3676</v>
      </c>
      <c r="E106" s="0" t="s">
        <v>3677</v>
      </c>
      <c r="F106" s="0" t="s">
        <v>3432</v>
      </c>
      <c r="G106" s="0" t="s">
        <v>3678</v>
      </c>
    </row>
    <row customHeight="1" ht="11.25">
      <c r="A107" s="397" t="s">
        <v>16</v>
      </c>
      <c r="B107" s="0" t="s">
        <v>3656</v>
      </c>
      <c r="C107" s="0" t="s">
        <v>3657</v>
      </c>
      <c r="D107" s="0" t="s">
        <v>3679</v>
      </c>
      <c r="E107" s="0" t="s">
        <v>3680</v>
      </c>
      <c r="F107" s="0" t="s">
        <v>3432</v>
      </c>
      <c r="G107" s="0" t="s">
        <v>3681</v>
      </c>
    </row>
    <row customHeight="1" ht="11.25">
      <c r="A108" s="397" t="s">
        <v>16</v>
      </c>
      <c r="B108" s="0" t="s">
        <v>3656</v>
      </c>
      <c r="C108" s="0" t="s">
        <v>3657</v>
      </c>
      <c r="D108" s="0" t="s">
        <v>3682</v>
      </c>
      <c r="E108" s="0" t="s">
        <v>3683</v>
      </c>
      <c r="F108" s="0" t="s">
        <v>3432</v>
      </c>
      <c r="G108" s="0" t="s">
        <v>3684</v>
      </c>
    </row>
    <row customHeight="1" ht="11.25">
      <c r="A109" s="397" t="s">
        <v>16</v>
      </c>
      <c r="B109" s="0" t="s">
        <v>3656</v>
      </c>
      <c r="C109" s="0" t="s">
        <v>3657</v>
      </c>
      <c r="D109" s="0" t="s">
        <v>3685</v>
      </c>
      <c r="E109" s="0" t="s">
        <v>3686</v>
      </c>
      <c r="F109" s="0" t="s">
        <v>3432</v>
      </c>
      <c r="G109" s="0" t="s">
        <v>3687</v>
      </c>
    </row>
    <row customHeight="1" ht="11.25">
      <c r="A110" s="397" t="s">
        <v>16</v>
      </c>
      <c r="B110" s="0" t="s">
        <v>3656</v>
      </c>
      <c r="C110" s="0" t="s">
        <v>3657</v>
      </c>
      <c r="D110" s="0" t="s">
        <v>3688</v>
      </c>
      <c r="E110" s="0" t="s">
        <v>3689</v>
      </c>
      <c r="F110" s="0" t="s">
        <v>3432</v>
      </c>
      <c r="G110" s="0" t="s">
        <v>3690</v>
      </c>
    </row>
    <row customHeight="1" ht="11.25">
      <c r="A111" s="397" t="s">
        <v>16</v>
      </c>
      <c r="B111" s="0" t="s">
        <v>3656</v>
      </c>
      <c r="C111" s="0" t="s">
        <v>3657</v>
      </c>
      <c r="D111" s="0" t="s">
        <v>3656</v>
      </c>
      <c r="E111" s="0" t="s">
        <v>3657</v>
      </c>
      <c r="F111" s="0" t="s">
        <v>3429</v>
      </c>
      <c r="G111" s="0" t="s">
        <v>3691</v>
      </c>
    </row>
    <row customHeight="1" ht="11.25">
      <c r="A112" s="397" t="s">
        <v>16</v>
      </c>
      <c r="B112" s="0" t="s">
        <v>3656</v>
      </c>
      <c r="C112" s="0" t="s">
        <v>3657</v>
      </c>
      <c r="D112" s="0" t="s">
        <v>3692</v>
      </c>
      <c r="E112" s="0" t="s">
        <v>3693</v>
      </c>
      <c r="F112" s="0" t="s">
        <v>3432</v>
      </c>
      <c r="G112" s="0" t="s">
        <v>700</v>
      </c>
    </row>
    <row customHeight="1" ht="11.25">
      <c r="A113" s="397" t="s">
        <v>16</v>
      </c>
      <c r="B113" s="0" t="s">
        <v>3656</v>
      </c>
      <c r="C113" s="0" t="s">
        <v>3657</v>
      </c>
      <c r="D113" s="0" t="s">
        <v>3694</v>
      </c>
      <c r="E113" s="0" t="s">
        <v>3695</v>
      </c>
      <c r="F113" s="0" t="s">
        <v>3432</v>
      </c>
      <c r="G113" s="0" t="s">
        <v>3696</v>
      </c>
    </row>
    <row customHeight="1" ht="11.25">
      <c r="A114" s="397" t="s">
        <v>16</v>
      </c>
      <c r="B114" s="0" t="s">
        <v>3656</v>
      </c>
      <c r="C114" s="0" t="s">
        <v>3657</v>
      </c>
      <c r="D114" s="0" t="s">
        <v>3697</v>
      </c>
      <c r="E114" s="0" t="s">
        <v>3698</v>
      </c>
      <c r="F114" s="0" t="s">
        <v>3432</v>
      </c>
      <c r="G114" s="0" t="s">
        <v>3699</v>
      </c>
    </row>
    <row customHeight="1" ht="11.25">
      <c r="A115" s="397" t="s">
        <v>16</v>
      </c>
      <c r="B115" s="0" t="s">
        <v>107</v>
      </c>
      <c r="C115" s="0" t="s">
        <v>3700</v>
      </c>
      <c r="D115" s="0" t="s">
        <v>108</v>
      </c>
      <c r="E115" s="0" t="s">
        <v>109</v>
      </c>
      <c r="F115" s="0" t="s">
        <v>3435</v>
      </c>
      <c r="G115" s="0" t="s">
        <v>106</v>
      </c>
    </row>
    <row customHeight="1" ht="11.25">
      <c r="A116" s="397" t="s">
        <v>16</v>
      </c>
      <c r="B116" s="0" t="s">
        <v>107</v>
      </c>
      <c r="C116" s="0" t="s">
        <v>3700</v>
      </c>
      <c r="D116" s="0" t="s">
        <v>3679</v>
      </c>
      <c r="E116" s="0" t="s">
        <v>3701</v>
      </c>
      <c r="F116" s="0" t="s">
        <v>3432</v>
      </c>
      <c r="G116" s="0" t="s">
        <v>3702</v>
      </c>
    </row>
    <row customHeight="1" ht="11.25">
      <c r="A117" s="397" t="s">
        <v>16</v>
      </c>
      <c r="B117" s="0" t="s">
        <v>107</v>
      </c>
      <c r="C117" s="0" t="s">
        <v>3700</v>
      </c>
      <c r="D117" s="0" t="s">
        <v>3703</v>
      </c>
      <c r="E117" s="0" t="s">
        <v>3704</v>
      </c>
      <c r="F117" s="0" t="s">
        <v>3432</v>
      </c>
      <c r="G117" s="0" t="s">
        <v>3705</v>
      </c>
    </row>
    <row customHeight="1" ht="11.25">
      <c r="A118" s="397" t="s">
        <v>16</v>
      </c>
      <c r="B118" s="0" t="s">
        <v>107</v>
      </c>
      <c r="C118" s="0" t="s">
        <v>3700</v>
      </c>
      <c r="D118" s="0" t="s">
        <v>3706</v>
      </c>
      <c r="E118" s="0" t="s">
        <v>3707</v>
      </c>
      <c r="F118" s="0" t="s">
        <v>3432</v>
      </c>
      <c r="G118" s="0" t="s">
        <v>3708</v>
      </c>
    </row>
    <row customHeight="1" ht="11.25">
      <c r="A119" s="397" t="s">
        <v>16</v>
      </c>
      <c r="B119" s="0" t="s">
        <v>107</v>
      </c>
      <c r="C119" s="0" t="s">
        <v>3700</v>
      </c>
      <c r="D119" s="0" t="s">
        <v>3709</v>
      </c>
      <c r="E119" s="0" t="s">
        <v>3710</v>
      </c>
      <c r="F119" s="0" t="s">
        <v>3432</v>
      </c>
      <c r="G119" s="0" t="s">
        <v>3711</v>
      </c>
    </row>
    <row customHeight="1" ht="11.25">
      <c r="A120" s="397" t="s">
        <v>16</v>
      </c>
      <c r="B120" s="0" t="s">
        <v>107</v>
      </c>
      <c r="C120" s="0" t="s">
        <v>3700</v>
      </c>
      <c r="D120" s="0" t="s">
        <v>3712</v>
      </c>
      <c r="E120" s="0" t="s">
        <v>3713</v>
      </c>
      <c r="F120" s="0" t="s">
        <v>3459</v>
      </c>
      <c r="G120" s="0" t="s">
        <v>3714</v>
      </c>
    </row>
    <row customHeight="1" ht="11.25">
      <c r="A121" s="397" t="s">
        <v>16</v>
      </c>
      <c r="B121" s="0" t="s">
        <v>107</v>
      </c>
      <c r="C121" s="0" t="s">
        <v>3700</v>
      </c>
      <c r="D121" s="0" t="s">
        <v>3715</v>
      </c>
      <c r="E121" s="0" t="s">
        <v>3716</v>
      </c>
      <c r="F121" s="0" t="s">
        <v>3432</v>
      </c>
      <c r="G121" s="0" t="s">
        <v>3717</v>
      </c>
    </row>
    <row customHeight="1" ht="11.25">
      <c r="A122" s="397" t="s">
        <v>16</v>
      </c>
      <c r="B122" s="0" t="s">
        <v>107</v>
      </c>
      <c r="C122" s="0" t="s">
        <v>3700</v>
      </c>
      <c r="D122" s="0" t="s">
        <v>3718</v>
      </c>
      <c r="E122" s="0" t="s">
        <v>3719</v>
      </c>
      <c r="F122" s="0" t="s">
        <v>3432</v>
      </c>
      <c r="G122" s="0" t="s">
        <v>3720</v>
      </c>
    </row>
    <row customHeight="1" ht="11.25">
      <c r="A123" s="397" t="s">
        <v>16</v>
      </c>
      <c r="B123" s="0" t="s">
        <v>107</v>
      </c>
      <c r="C123" s="0" t="s">
        <v>3700</v>
      </c>
      <c r="D123" s="0" t="s">
        <v>107</v>
      </c>
      <c r="E123" s="0" t="s">
        <v>3700</v>
      </c>
      <c r="F123" s="0" t="s">
        <v>3429</v>
      </c>
      <c r="G123" s="0" t="s">
        <v>3721</v>
      </c>
    </row>
    <row customHeight="1" ht="11.25">
      <c r="A124" s="397" t="s">
        <v>16</v>
      </c>
      <c r="B124" s="0" t="s">
        <v>107</v>
      </c>
      <c r="C124" s="0" t="s">
        <v>3700</v>
      </c>
      <c r="D124" s="0" t="s">
        <v>3722</v>
      </c>
      <c r="E124" s="0" t="s">
        <v>3723</v>
      </c>
      <c r="F124" s="0" t="s">
        <v>3432</v>
      </c>
      <c r="G124" s="0" t="s">
        <v>3724</v>
      </c>
    </row>
    <row customHeight="1" ht="11.25">
      <c r="A125" s="397" t="s">
        <v>16</v>
      </c>
      <c r="B125" s="0" t="s">
        <v>107</v>
      </c>
      <c r="C125" s="0" t="s">
        <v>3700</v>
      </c>
      <c r="D125" s="0" t="s">
        <v>3725</v>
      </c>
      <c r="E125" s="0" t="s">
        <v>3726</v>
      </c>
      <c r="F125" s="0" t="s">
        <v>3432</v>
      </c>
      <c r="G125" s="0" t="s">
        <v>3727</v>
      </c>
    </row>
    <row customHeight="1" ht="11.25">
      <c r="A126" s="397" t="s">
        <v>16</v>
      </c>
      <c r="B126" s="0" t="s">
        <v>107</v>
      </c>
      <c r="C126" s="0" t="s">
        <v>3700</v>
      </c>
      <c r="D126" s="0" t="s">
        <v>3728</v>
      </c>
      <c r="E126" s="0" t="s">
        <v>3729</v>
      </c>
      <c r="F126" s="0" t="s">
        <v>3432</v>
      </c>
      <c r="G126" s="0" t="s">
        <v>3730</v>
      </c>
    </row>
    <row customHeight="1" ht="11.25">
      <c r="A127" s="397" t="s">
        <v>16</v>
      </c>
      <c r="B127" s="0" t="s">
        <v>107</v>
      </c>
      <c r="C127" s="0" t="s">
        <v>3700</v>
      </c>
      <c r="D127" s="0" t="s">
        <v>3731</v>
      </c>
      <c r="E127" s="0" t="s">
        <v>3732</v>
      </c>
      <c r="F127" s="0" t="s">
        <v>3448</v>
      </c>
      <c r="G127" s="0" t="s">
        <v>3733</v>
      </c>
    </row>
    <row customHeight="1" ht="11.25">
      <c r="A128" s="397" t="s">
        <v>16</v>
      </c>
      <c r="B128" s="0" t="s">
        <v>107</v>
      </c>
      <c r="C128" s="0" t="s">
        <v>3700</v>
      </c>
      <c r="D128" s="0" t="s">
        <v>3734</v>
      </c>
      <c r="E128" s="0" t="s">
        <v>3735</v>
      </c>
      <c r="F128" s="0" t="s">
        <v>3448</v>
      </c>
      <c r="G128" s="0" t="s">
        <v>3736</v>
      </c>
    </row>
    <row customHeight="1" ht="11.25">
      <c r="A129" s="397" t="s">
        <v>16</v>
      </c>
      <c r="B129" s="0" t="s">
        <v>107</v>
      </c>
      <c r="C129" s="0" t="s">
        <v>3700</v>
      </c>
      <c r="D129" s="0" t="s">
        <v>3737</v>
      </c>
      <c r="E129" s="0" t="s">
        <v>3738</v>
      </c>
      <c r="F129" s="0" t="s">
        <v>3432</v>
      </c>
      <c r="G129" s="0" t="s">
        <v>3739</v>
      </c>
    </row>
    <row customHeight="1" ht="11.25">
      <c r="A130" s="397" t="s">
        <v>16</v>
      </c>
      <c r="B130" s="0" t="s">
        <v>107</v>
      </c>
      <c r="C130" s="0" t="s">
        <v>3700</v>
      </c>
      <c r="D130" s="0" t="s">
        <v>3740</v>
      </c>
      <c r="E130" s="0" t="s">
        <v>3741</v>
      </c>
      <c r="F130" s="0" t="s">
        <v>3432</v>
      </c>
      <c r="G130" s="0" t="s">
        <v>3742</v>
      </c>
    </row>
    <row customHeight="1" ht="11.25">
      <c r="A131" s="397" t="s">
        <v>16</v>
      </c>
      <c r="B131" s="0" t="s">
        <v>3743</v>
      </c>
      <c r="C131" s="0" t="s">
        <v>3744</v>
      </c>
      <c r="D131" s="0" t="s">
        <v>3743</v>
      </c>
      <c r="E131" s="0" t="s">
        <v>3744</v>
      </c>
      <c r="F131" s="0" t="s">
        <v>3466</v>
      </c>
      <c r="G131" s="0" t="s">
        <v>3745</v>
      </c>
    </row>
    <row customHeight="1" ht="11.25">
      <c r="A132" s="397" t="s">
        <v>16</v>
      </c>
      <c r="B132" s="0" t="s">
        <v>3746</v>
      </c>
      <c r="C132" s="0" t="s">
        <v>3747</v>
      </c>
      <c r="D132" s="0" t="s">
        <v>3748</v>
      </c>
      <c r="E132" s="0" t="s">
        <v>3749</v>
      </c>
      <c r="F132" s="0" t="s">
        <v>3432</v>
      </c>
      <c r="G132" s="0" t="s">
        <v>3750</v>
      </c>
    </row>
    <row customHeight="1" ht="11.25">
      <c r="A133" s="397" t="s">
        <v>16</v>
      </c>
      <c r="B133" s="0" t="s">
        <v>3746</v>
      </c>
      <c r="C133" s="0" t="s">
        <v>3747</v>
      </c>
      <c r="D133" s="0" t="s">
        <v>3751</v>
      </c>
      <c r="E133" s="0" t="s">
        <v>3752</v>
      </c>
      <c r="F133" s="0" t="s">
        <v>3432</v>
      </c>
      <c r="G133" s="0" t="s">
        <v>3753</v>
      </c>
    </row>
    <row customHeight="1" ht="11.25">
      <c r="A134" s="397" t="s">
        <v>16</v>
      </c>
      <c r="B134" s="0" t="s">
        <v>3746</v>
      </c>
      <c r="C134" s="0" t="s">
        <v>3747</v>
      </c>
      <c r="D134" s="0" t="s">
        <v>3754</v>
      </c>
      <c r="E134" s="0" t="s">
        <v>3755</v>
      </c>
      <c r="F134" s="0" t="s">
        <v>3432</v>
      </c>
      <c r="G134" s="0" t="s">
        <v>3756</v>
      </c>
    </row>
    <row customHeight="1" ht="11.25">
      <c r="A135" s="397" t="s">
        <v>16</v>
      </c>
      <c r="B135" s="0" t="s">
        <v>3746</v>
      </c>
      <c r="C135" s="0" t="s">
        <v>3747</v>
      </c>
      <c r="D135" s="0" t="s">
        <v>3757</v>
      </c>
      <c r="E135" s="0" t="s">
        <v>3758</v>
      </c>
      <c r="F135" s="0" t="s">
        <v>3432</v>
      </c>
      <c r="G135" s="0" t="s">
        <v>3759</v>
      </c>
    </row>
    <row customHeight="1" ht="11.25">
      <c r="A136" s="397" t="s">
        <v>16</v>
      </c>
      <c r="B136" s="0" t="s">
        <v>3746</v>
      </c>
      <c r="C136" s="0" t="s">
        <v>3747</v>
      </c>
      <c r="D136" s="0" t="s">
        <v>3760</v>
      </c>
      <c r="E136" s="0" t="s">
        <v>3761</v>
      </c>
      <c r="F136" s="0" t="s">
        <v>3432</v>
      </c>
      <c r="G136" s="0" t="s">
        <v>3762</v>
      </c>
    </row>
    <row customHeight="1" ht="11.25">
      <c r="A137" s="397" t="s">
        <v>16</v>
      </c>
      <c r="B137" s="0" t="s">
        <v>3746</v>
      </c>
      <c r="C137" s="0" t="s">
        <v>3747</v>
      </c>
      <c r="D137" s="0" t="s">
        <v>3763</v>
      </c>
      <c r="E137" s="0" t="s">
        <v>3764</v>
      </c>
      <c r="F137" s="0" t="s">
        <v>3432</v>
      </c>
      <c r="G137" s="0" t="s">
        <v>3765</v>
      </c>
    </row>
    <row customHeight="1" ht="11.25">
      <c r="A138" s="397" t="s">
        <v>16</v>
      </c>
      <c r="B138" s="0" t="s">
        <v>3746</v>
      </c>
      <c r="C138" s="0" t="s">
        <v>3747</v>
      </c>
      <c r="D138" s="0" t="s">
        <v>3746</v>
      </c>
      <c r="E138" s="0" t="s">
        <v>3747</v>
      </c>
      <c r="F138" s="0" t="s">
        <v>3429</v>
      </c>
      <c r="G138" s="0" t="s">
        <v>3766</v>
      </c>
    </row>
    <row customHeight="1" ht="11.25">
      <c r="A139" s="397" t="s">
        <v>16</v>
      </c>
      <c r="B139" s="0" t="s">
        <v>3746</v>
      </c>
      <c r="C139" s="0" t="s">
        <v>3747</v>
      </c>
      <c r="D139" s="0" t="s">
        <v>3767</v>
      </c>
      <c r="E139" s="0" t="s">
        <v>3768</v>
      </c>
      <c r="F139" s="0" t="s">
        <v>3448</v>
      </c>
      <c r="G139" s="0" t="s">
        <v>3769</v>
      </c>
    </row>
    <row customHeight="1" ht="11.25">
      <c r="A140" s="397" t="s">
        <v>16</v>
      </c>
      <c r="B140" s="0" t="s">
        <v>3746</v>
      </c>
      <c r="C140" s="0" t="s">
        <v>3747</v>
      </c>
      <c r="D140" s="0" t="s">
        <v>3770</v>
      </c>
      <c r="E140" s="0" t="s">
        <v>3771</v>
      </c>
      <c r="F140" s="0" t="s">
        <v>3432</v>
      </c>
      <c r="G140" s="0" t="s">
        <v>3772</v>
      </c>
    </row>
    <row customHeight="1" ht="11.25">
      <c r="A141" s="397" t="s">
        <v>16</v>
      </c>
      <c r="B141" s="0" t="s">
        <v>116</v>
      </c>
      <c r="C141" s="0" t="s">
        <v>3773</v>
      </c>
      <c r="D141" s="0" t="s">
        <v>3774</v>
      </c>
      <c r="E141" s="0" t="s">
        <v>3775</v>
      </c>
      <c r="F141" s="0" t="s">
        <v>3432</v>
      </c>
      <c r="G141" s="0" t="s">
        <v>3776</v>
      </c>
    </row>
    <row customHeight="1" ht="11.25">
      <c r="A142" s="397" t="s">
        <v>16</v>
      </c>
      <c r="B142" s="0" t="s">
        <v>116</v>
      </c>
      <c r="C142" s="0" t="s">
        <v>3773</v>
      </c>
      <c r="D142" s="0" t="s">
        <v>117</v>
      </c>
      <c r="E142" s="0" t="s">
        <v>118</v>
      </c>
      <c r="F142" s="0" t="s">
        <v>3435</v>
      </c>
      <c r="G142" s="0" t="s">
        <v>115</v>
      </c>
    </row>
    <row customHeight="1" ht="11.25">
      <c r="A143" s="397" t="s">
        <v>16</v>
      </c>
      <c r="B143" s="0" t="s">
        <v>116</v>
      </c>
      <c r="C143" s="0" t="s">
        <v>3773</v>
      </c>
      <c r="D143" s="0" t="s">
        <v>3777</v>
      </c>
      <c r="E143" s="0" t="s">
        <v>3778</v>
      </c>
      <c r="F143" s="0" t="s">
        <v>3459</v>
      </c>
      <c r="G143" s="0" t="s">
        <v>3779</v>
      </c>
    </row>
    <row customHeight="1" ht="11.25">
      <c r="A144" s="397" t="s">
        <v>16</v>
      </c>
      <c r="B144" s="0" t="s">
        <v>116</v>
      </c>
      <c r="C144" s="0" t="s">
        <v>3773</v>
      </c>
      <c r="D144" s="0" t="s">
        <v>3780</v>
      </c>
      <c r="E144" s="0" t="s">
        <v>3781</v>
      </c>
      <c r="F144" s="0" t="s">
        <v>3448</v>
      </c>
      <c r="G144" s="0" t="s">
        <v>3782</v>
      </c>
    </row>
    <row customHeight="1" ht="11.25">
      <c r="A145" s="397" t="s">
        <v>16</v>
      </c>
      <c r="B145" s="0" t="s">
        <v>116</v>
      </c>
      <c r="C145" s="0" t="s">
        <v>3773</v>
      </c>
      <c r="D145" s="0" t="s">
        <v>3783</v>
      </c>
      <c r="E145" s="0" t="s">
        <v>3784</v>
      </c>
      <c r="F145" s="0" t="s">
        <v>3448</v>
      </c>
      <c r="G145" s="0" t="s">
        <v>3785</v>
      </c>
    </row>
    <row customHeight="1" ht="11.25">
      <c r="A146" s="397" t="s">
        <v>16</v>
      </c>
      <c r="B146" s="0" t="s">
        <v>116</v>
      </c>
      <c r="C146" s="0" t="s">
        <v>3773</v>
      </c>
      <c r="D146" s="0" t="s">
        <v>122</v>
      </c>
      <c r="E146" s="0" t="s">
        <v>123</v>
      </c>
      <c r="F146" s="0" t="s">
        <v>3448</v>
      </c>
      <c r="G146" s="0" t="s">
        <v>121</v>
      </c>
    </row>
    <row customHeight="1" ht="11.25">
      <c r="A147" s="397" t="s">
        <v>16</v>
      </c>
      <c r="B147" s="0" t="s">
        <v>116</v>
      </c>
      <c r="C147" s="0" t="s">
        <v>3773</v>
      </c>
      <c r="D147" s="0" t="s">
        <v>116</v>
      </c>
      <c r="E147" s="0" t="s">
        <v>3773</v>
      </c>
      <c r="F147" s="0" t="s">
        <v>3429</v>
      </c>
      <c r="G147" s="0" t="s">
        <v>3786</v>
      </c>
    </row>
    <row customHeight="1" ht="11.25">
      <c r="A148" s="397" t="s">
        <v>16</v>
      </c>
      <c r="B148" s="0" t="s">
        <v>3787</v>
      </c>
      <c r="C148" s="0" t="s">
        <v>3788</v>
      </c>
      <c r="D148" s="0" t="s">
        <v>3789</v>
      </c>
      <c r="E148" s="0" t="s">
        <v>3790</v>
      </c>
      <c r="F148" s="0" t="s">
        <v>3432</v>
      </c>
      <c r="G148" s="0" t="s">
        <v>3791</v>
      </c>
    </row>
    <row customHeight="1" ht="11.25">
      <c r="A149" s="397" t="s">
        <v>16</v>
      </c>
      <c r="B149" s="0" t="s">
        <v>3787</v>
      </c>
      <c r="C149" s="0" t="s">
        <v>3788</v>
      </c>
      <c r="D149" s="0" t="s">
        <v>3792</v>
      </c>
      <c r="E149" s="0" t="s">
        <v>3793</v>
      </c>
      <c r="F149" s="0" t="s">
        <v>3432</v>
      </c>
      <c r="G149" s="0" t="s">
        <v>3794</v>
      </c>
    </row>
    <row customHeight="1" ht="11.25">
      <c r="A150" s="397" t="s">
        <v>16</v>
      </c>
      <c r="B150" s="0" t="s">
        <v>3787</v>
      </c>
      <c r="C150" s="0" t="s">
        <v>3788</v>
      </c>
      <c r="D150" s="0" t="s">
        <v>3795</v>
      </c>
      <c r="E150" s="0" t="s">
        <v>3796</v>
      </c>
      <c r="F150" s="0" t="s">
        <v>3432</v>
      </c>
      <c r="G150" s="0" t="s">
        <v>3797</v>
      </c>
    </row>
    <row customHeight="1" ht="11.25">
      <c r="A151" s="397" t="s">
        <v>16</v>
      </c>
      <c r="B151" s="0" t="s">
        <v>3787</v>
      </c>
      <c r="C151" s="0" t="s">
        <v>3788</v>
      </c>
      <c r="D151" s="0" t="s">
        <v>3798</v>
      </c>
      <c r="E151" s="0" t="s">
        <v>3799</v>
      </c>
      <c r="F151" s="0" t="s">
        <v>3432</v>
      </c>
      <c r="G151" s="0" t="s">
        <v>3800</v>
      </c>
    </row>
    <row customHeight="1" ht="11.25">
      <c r="A152" s="397" t="s">
        <v>16</v>
      </c>
      <c r="B152" s="0" t="s">
        <v>3787</v>
      </c>
      <c r="C152" s="0" t="s">
        <v>3788</v>
      </c>
      <c r="D152" s="0" t="s">
        <v>3801</v>
      </c>
      <c r="E152" s="0" t="s">
        <v>3802</v>
      </c>
      <c r="F152" s="0" t="s">
        <v>3432</v>
      </c>
      <c r="G152" s="0" t="s">
        <v>3803</v>
      </c>
    </row>
    <row customHeight="1" ht="11.25">
      <c r="A153" s="397" t="s">
        <v>16</v>
      </c>
      <c r="B153" s="0" t="s">
        <v>3787</v>
      </c>
      <c r="C153" s="0" t="s">
        <v>3788</v>
      </c>
      <c r="D153" s="0" t="s">
        <v>3804</v>
      </c>
      <c r="E153" s="0" t="s">
        <v>3805</v>
      </c>
      <c r="F153" s="0" t="s">
        <v>3432</v>
      </c>
      <c r="G153" s="0" t="s">
        <v>3806</v>
      </c>
    </row>
    <row customHeight="1" ht="11.25">
      <c r="A154" s="397" t="s">
        <v>16</v>
      </c>
      <c r="B154" s="0" t="s">
        <v>3787</v>
      </c>
      <c r="C154" s="0" t="s">
        <v>3788</v>
      </c>
      <c r="D154" s="0" t="s">
        <v>3807</v>
      </c>
      <c r="E154" s="0" t="s">
        <v>3808</v>
      </c>
      <c r="F154" s="0" t="s">
        <v>3432</v>
      </c>
      <c r="G154" s="0" t="s">
        <v>3809</v>
      </c>
    </row>
    <row customHeight="1" ht="11.25">
      <c r="A155" s="397" t="s">
        <v>16</v>
      </c>
      <c r="B155" s="0" t="s">
        <v>3787</v>
      </c>
      <c r="C155" s="0" t="s">
        <v>3788</v>
      </c>
      <c r="D155" s="0" t="s">
        <v>3810</v>
      </c>
      <c r="E155" s="0" t="s">
        <v>3811</v>
      </c>
      <c r="F155" s="0" t="s">
        <v>3448</v>
      </c>
      <c r="G155" s="0" t="s">
        <v>3812</v>
      </c>
    </row>
    <row customHeight="1" ht="11.25">
      <c r="A156" s="397" t="s">
        <v>16</v>
      </c>
      <c r="B156" s="0" t="s">
        <v>3787</v>
      </c>
      <c r="C156" s="0" t="s">
        <v>3788</v>
      </c>
      <c r="D156" s="0" t="s">
        <v>3787</v>
      </c>
      <c r="E156" s="0" t="s">
        <v>3788</v>
      </c>
      <c r="F156" s="0" t="s">
        <v>3429</v>
      </c>
      <c r="G156" s="0" t="s">
        <v>3813</v>
      </c>
    </row>
    <row customHeight="1" ht="11.25">
      <c r="A157" s="397" t="s">
        <v>16</v>
      </c>
      <c r="B157" s="0" t="s">
        <v>3787</v>
      </c>
      <c r="C157" s="0" t="s">
        <v>3788</v>
      </c>
      <c r="D157" s="0" t="s">
        <v>3814</v>
      </c>
      <c r="E157" s="0" t="s">
        <v>3815</v>
      </c>
      <c r="F157" s="0" t="s">
        <v>3432</v>
      </c>
      <c r="G157" s="0" t="s">
        <v>3816</v>
      </c>
    </row>
    <row customHeight="1" ht="11.25">
      <c r="A158" s="397" t="s">
        <v>16</v>
      </c>
      <c r="B158" s="0" t="s">
        <v>3787</v>
      </c>
      <c r="C158" s="0" t="s">
        <v>3788</v>
      </c>
      <c r="D158" s="0" t="s">
        <v>3817</v>
      </c>
      <c r="E158" s="0" t="s">
        <v>3818</v>
      </c>
      <c r="F158" s="0" t="s">
        <v>3432</v>
      </c>
      <c r="G158" s="0" t="s">
        <v>3819</v>
      </c>
    </row>
    <row customHeight="1" ht="11.25">
      <c r="A159" s="397" t="s">
        <v>16</v>
      </c>
      <c r="B159" s="0" t="s">
        <v>3787</v>
      </c>
      <c r="C159" s="0" t="s">
        <v>3788</v>
      </c>
      <c r="D159" s="0" t="s">
        <v>3820</v>
      </c>
      <c r="E159" s="0" t="s">
        <v>3821</v>
      </c>
      <c r="F159" s="0" t="s">
        <v>3432</v>
      </c>
      <c r="G159" s="0" t="s">
        <v>3822</v>
      </c>
    </row>
    <row customHeight="1" ht="11.25">
      <c r="A160" s="397" t="s">
        <v>16</v>
      </c>
      <c r="B160" s="0" t="s">
        <v>3823</v>
      </c>
      <c r="C160" s="0" t="s">
        <v>3824</v>
      </c>
      <c r="D160" s="0" t="s">
        <v>3825</v>
      </c>
      <c r="E160" s="0" t="s">
        <v>3826</v>
      </c>
      <c r="F160" s="0" t="s">
        <v>3432</v>
      </c>
      <c r="G160" s="0" t="s">
        <v>3827</v>
      </c>
    </row>
    <row customHeight="1" ht="11.25">
      <c r="A161" s="397" t="s">
        <v>16</v>
      </c>
      <c r="B161" s="0" t="s">
        <v>3823</v>
      </c>
      <c r="C161" s="0" t="s">
        <v>3824</v>
      </c>
      <c r="D161" s="0" t="s">
        <v>3828</v>
      </c>
      <c r="E161" s="0" t="s">
        <v>3829</v>
      </c>
      <c r="F161" s="0" t="s">
        <v>3459</v>
      </c>
      <c r="G161" s="0" t="s">
        <v>3830</v>
      </c>
    </row>
    <row customHeight="1" ht="11.25">
      <c r="A162" s="397" t="s">
        <v>16</v>
      </c>
      <c r="B162" s="0" t="s">
        <v>3823</v>
      </c>
      <c r="C162" s="0" t="s">
        <v>3824</v>
      </c>
      <c r="D162" s="0" t="s">
        <v>3831</v>
      </c>
      <c r="E162" s="0" t="s">
        <v>3832</v>
      </c>
      <c r="F162" s="0" t="s">
        <v>3432</v>
      </c>
      <c r="G162" s="0" t="s">
        <v>3833</v>
      </c>
    </row>
    <row customHeight="1" ht="11.25">
      <c r="A163" s="397" t="s">
        <v>16</v>
      </c>
      <c r="B163" s="0" t="s">
        <v>3823</v>
      </c>
      <c r="C163" s="0" t="s">
        <v>3824</v>
      </c>
      <c r="D163" s="0" t="s">
        <v>3823</v>
      </c>
      <c r="E163" s="0" t="s">
        <v>3824</v>
      </c>
      <c r="F163" s="0" t="s">
        <v>3429</v>
      </c>
      <c r="G163" s="0" t="s">
        <v>3834</v>
      </c>
    </row>
    <row customHeight="1" ht="11.25">
      <c r="A164" s="397" t="s">
        <v>16</v>
      </c>
      <c r="B164" s="0" t="s">
        <v>3823</v>
      </c>
      <c r="C164" s="0" t="s">
        <v>3824</v>
      </c>
      <c r="D164" s="0" t="s">
        <v>3835</v>
      </c>
      <c r="E164" s="0" t="s">
        <v>3836</v>
      </c>
      <c r="F164" s="0" t="s">
        <v>3432</v>
      </c>
      <c r="G164" s="0" t="s">
        <v>3837</v>
      </c>
    </row>
    <row customHeight="1" ht="11.25">
      <c r="A165" s="397" t="s">
        <v>16</v>
      </c>
      <c r="B165" s="0" t="s">
        <v>3823</v>
      </c>
      <c r="C165" s="0" t="s">
        <v>3824</v>
      </c>
      <c r="D165" s="0" t="s">
        <v>3838</v>
      </c>
      <c r="E165" s="0" t="s">
        <v>3839</v>
      </c>
      <c r="F165" s="0" t="s">
        <v>3432</v>
      </c>
      <c r="G165" s="0" t="s">
        <v>3840</v>
      </c>
    </row>
    <row customHeight="1" ht="11.25">
      <c r="A166" s="397" t="s">
        <v>16</v>
      </c>
      <c r="B166" s="0" t="s">
        <v>3823</v>
      </c>
      <c r="C166" s="0" t="s">
        <v>3824</v>
      </c>
      <c r="D166" s="0" t="s">
        <v>3841</v>
      </c>
      <c r="E166" s="0" t="s">
        <v>3842</v>
      </c>
      <c r="F166" s="0" t="s">
        <v>3432</v>
      </c>
      <c r="G166" s="0" t="s">
        <v>3843</v>
      </c>
    </row>
    <row customHeight="1" ht="11.25">
      <c r="A167" s="397" t="s">
        <v>16</v>
      </c>
      <c r="B167" s="0" t="s">
        <v>3844</v>
      </c>
      <c r="C167" s="0" t="s">
        <v>3845</v>
      </c>
      <c r="D167" s="0" t="s">
        <v>3846</v>
      </c>
      <c r="E167" s="0" t="s">
        <v>3847</v>
      </c>
      <c r="F167" s="0" t="s">
        <v>3432</v>
      </c>
      <c r="G167" s="0" t="s">
        <v>3848</v>
      </c>
    </row>
    <row customHeight="1" ht="11.25">
      <c r="A168" s="397" t="s">
        <v>16</v>
      </c>
      <c r="B168" s="0" t="s">
        <v>3844</v>
      </c>
      <c r="C168" s="0" t="s">
        <v>3845</v>
      </c>
      <c r="D168" s="0" t="s">
        <v>3849</v>
      </c>
      <c r="E168" s="0" t="s">
        <v>3850</v>
      </c>
      <c r="F168" s="0" t="s">
        <v>3432</v>
      </c>
      <c r="G168" s="0" t="s">
        <v>3851</v>
      </c>
    </row>
    <row customHeight="1" ht="11.25">
      <c r="A169" s="397" t="s">
        <v>16</v>
      </c>
      <c r="B169" s="0" t="s">
        <v>3844</v>
      </c>
      <c r="C169" s="0" t="s">
        <v>3845</v>
      </c>
      <c r="D169" s="0" t="s">
        <v>3852</v>
      </c>
      <c r="E169" s="0" t="s">
        <v>3853</v>
      </c>
      <c r="F169" s="0" t="s">
        <v>3432</v>
      </c>
      <c r="G169" s="0" t="s">
        <v>3854</v>
      </c>
    </row>
    <row customHeight="1" ht="11.25">
      <c r="A170" s="397" t="s">
        <v>16</v>
      </c>
      <c r="B170" s="0" t="s">
        <v>3844</v>
      </c>
      <c r="C170" s="0" t="s">
        <v>3845</v>
      </c>
      <c r="D170" s="0" t="s">
        <v>3855</v>
      </c>
      <c r="E170" s="0" t="s">
        <v>3856</v>
      </c>
      <c r="F170" s="0" t="s">
        <v>3432</v>
      </c>
      <c r="G170" s="0" t="s">
        <v>3857</v>
      </c>
    </row>
    <row customHeight="1" ht="11.25">
      <c r="A171" s="397" t="s">
        <v>16</v>
      </c>
      <c r="B171" s="0" t="s">
        <v>3844</v>
      </c>
      <c r="C171" s="0" t="s">
        <v>3845</v>
      </c>
      <c r="D171" s="0" t="s">
        <v>3858</v>
      </c>
      <c r="E171" s="0" t="s">
        <v>3859</v>
      </c>
      <c r="F171" s="0" t="s">
        <v>3432</v>
      </c>
      <c r="G171" s="0" t="s">
        <v>3860</v>
      </c>
    </row>
    <row customHeight="1" ht="11.25">
      <c r="A172" s="397" t="s">
        <v>16</v>
      </c>
      <c r="B172" s="0" t="s">
        <v>3844</v>
      </c>
      <c r="C172" s="0" t="s">
        <v>3845</v>
      </c>
      <c r="D172" s="0" t="s">
        <v>3861</v>
      </c>
      <c r="E172" s="0" t="s">
        <v>3862</v>
      </c>
      <c r="F172" s="0" t="s">
        <v>3432</v>
      </c>
      <c r="G172" s="0" t="s">
        <v>3863</v>
      </c>
    </row>
    <row customHeight="1" ht="11.25">
      <c r="A173" s="397" t="s">
        <v>16</v>
      </c>
      <c r="B173" s="0" t="s">
        <v>3844</v>
      </c>
      <c r="C173" s="0" t="s">
        <v>3845</v>
      </c>
      <c r="D173" s="0" t="s">
        <v>3864</v>
      </c>
      <c r="E173" s="0" t="s">
        <v>3865</v>
      </c>
      <c r="F173" s="0" t="s">
        <v>3432</v>
      </c>
      <c r="G173" s="0" t="s">
        <v>3866</v>
      </c>
    </row>
    <row customHeight="1" ht="11.25">
      <c r="A174" s="397" t="s">
        <v>16</v>
      </c>
      <c r="B174" s="0" t="s">
        <v>3844</v>
      </c>
      <c r="C174" s="0" t="s">
        <v>3845</v>
      </c>
      <c r="D174" s="0" t="s">
        <v>3867</v>
      </c>
      <c r="E174" s="0" t="s">
        <v>3868</v>
      </c>
      <c r="F174" s="0" t="s">
        <v>3432</v>
      </c>
      <c r="G174" s="0" t="s">
        <v>3869</v>
      </c>
    </row>
    <row customHeight="1" ht="11.25">
      <c r="A175" s="397" t="s">
        <v>16</v>
      </c>
      <c r="B175" s="0" t="s">
        <v>3844</v>
      </c>
      <c r="C175" s="0" t="s">
        <v>3845</v>
      </c>
      <c r="D175" s="0" t="s">
        <v>3870</v>
      </c>
      <c r="E175" s="0" t="s">
        <v>3871</v>
      </c>
      <c r="F175" s="0" t="s">
        <v>3432</v>
      </c>
      <c r="G175" s="0" t="s">
        <v>3872</v>
      </c>
    </row>
    <row customHeight="1" ht="11.25">
      <c r="A176" s="397" t="s">
        <v>16</v>
      </c>
      <c r="B176" s="0" t="s">
        <v>3844</v>
      </c>
      <c r="C176" s="0" t="s">
        <v>3845</v>
      </c>
      <c r="D176" s="0" t="s">
        <v>3873</v>
      </c>
      <c r="E176" s="0" t="s">
        <v>3874</v>
      </c>
      <c r="F176" s="0" t="s">
        <v>3432</v>
      </c>
      <c r="G176" s="0" t="s">
        <v>3875</v>
      </c>
    </row>
    <row customHeight="1" ht="11.25">
      <c r="A177" s="397" t="s">
        <v>16</v>
      </c>
      <c r="B177" s="0" t="s">
        <v>3844</v>
      </c>
      <c r="C177" s="0" t="s">
        <v>3845</v>
      </c>
      <c r="D177" s="0" t="s">
        <v>3876</v>
      </c>
      <c r="E177" s="0" t="s">
        <v>3877</v>
      </c>
      <c r="F177" s="0" t="s">
        <v>3432</v>
      </c>
      <c r="G177" s="0" t="s">
        <v>3878</v>
      </c>
    </row>
    <row customHeight="1" ht="11.25">
      <c r="A178" s="397" t="s">
        <v>16</v>
      </c>
      <c r="B178" s="0" t="s">
        <v>3844</v>
      </c>
      <c r="C178" s="0" t="s">
        <v>3845</v>
      </c>
      <c r="D178" s="0" t="s">
        <v>3879</v>
      </c>
      <c r="E178" s="0" t="s">
        <v>3880</v>
      </c>
      <c r="F178" s="0" t="s">
        <v>3432</v>
      </c>
      <c r="G178" s="0" t="s">
        <v>3881</v>
      </c>
    </row>
    <row customHeight="1" ht="11.25">
      <c r="A179" s="397" t="s">
        <v>16</v>
      </c>
      <c r="B179" s="0" t="s">
        <v>3844</v>
      </c>
      <c r="C179" s="0" t="s">
        <v>3845</v>
      </c>
      <c r="D179" s="0" t="s">
        <v>3882</v>
      </c>
      <c r="E179" s="0" t="s">
        <v>3883</v>
      </c>
      <c r="F179" s="0" t="s">
        <v>3432</v>
      </c>
      <c r="G179" s="0" t="s">
        <v>3884</v>
      </c>
    </row>
    <row customHeight="1" ht="11.25">
      <c r="A180" s="397" t="s">
        <v>16</v>
      </c>
      <c r="B180" s="0" t="s">
        <v>3844</v>
      </c>
      <c r="C180" s="0" t="s">
        <v>3845</v>
      </c>
      <c r="D180" s="0" t="s">
        <v>3885</v>
      </c>
      <c r="E180" s="0" t="s">
        <v>3886</v>
      </c>
      <c r="F180" s="0" t="s">
        <v>3432</v>
      </c>
      <c r="G180" s="0" t="s">
        <v>3887</v>
      </c>
    </row>
    <row customHeight="1" ht="11.25">
      <c r="A181" s="397" t="s">
        <v>16</v>
      </c>
      <c r="B181" s="0" t="s">
        <v>3844</v>
      </c>
      <c r="C181" s="0" t="s">
        <v>3845</v>
      </c>
      <c r="D181" s="0" t="s">
        <v>3888</v>
      </c>
      <c r="E181" s="0" t="s">
        <v>3889</v>
      </c>
      <c r="F181" s="0" t="s">
        <v>3432</v>
      </c>
      <c r="G181" s="0" t="s">
        <v>3890</v>
      </c>
    </row>
    <row customHeight="1" ht="11.25">
      <c r="A182" s="397" t="s">
        <v>16</v>
      </c>
      <c r="B182" s="0" t="s">
        <v>3844</v>
      </c>
      <c r="C182" s="0" t="s">
        <v>3845</v>
      </c>
      <c r="D182" s="0" t="s">
        <v>3891</v>
      </c>
      <c r="E182" s="0" t="s">
        <v>3892</v>
      </c>
      <c r="F182" s="0" t="s">
        <v>3432</v>
      </c>
      <c r="G182" s="0" t="s">
        <v>3893</v>
      </c>
    </row>
    <row customHeight="1" ht="11.25">
      <c r="A183" s="397" t="s">
        <v>16</v>
      </c>
      <c r="B183" s="0" t="s">
        <v>3844</v>
      </c>
      <c r="C183" s="0" t="s">
        <v>3845</v>
      </c>
      <c r="D183" s="0" t="s">
        <v>3844</v>
      </c>
      <c r="E183" s="0" t="s">
        <v>3845</v>
      </c>
      <c r="F183" s="0" t="s">
        <v>3429</v>
      </c>
      <c r="G183" s="0" t="s">
        <v>3894</v>
      </c>
    </row>
    <row customHeight="1" ht="11.25">
      <c r="A184" s="397" t="s">
        <v>16</v>
      </c>
      <c r="B184" s="0" t="s">
        <v>3844</v>
      </c>
      <c r="C184" s="0" t="s">
        <v>3845</v>
      </c>
      <c r="D184" s="0" t="s">
        <v>3895</v>
      </c>
      <c r="E184" s="0" t="s">
        <v>3896</v>
      </c>
      <c r="F184" s="0" t="s">
        <v>3432</v>
      </c>
      <c r="G184" s="0" t="s">
        <v>3897</v>
      </c>
    </row>
    <row customHeight="1" ht="11.25">
      <c r="A185" s="397" t="s">
        <v>16</v>
      </c>
      <c r="B185" s="0" t="s">
        <v>3844</v>
      </c>
      <c r="C185" s="0" t="s">
        <v>3845</v>
      </c>
      <c r="D185" s="0" t="s">
        <v>3898</v>
      </c>
      <c r="E185" s="0" t="s">
        <v>3899</v>
      </c>
      <c r="F185" s="0" t="s">
        <v>3432</v>
      </c>
      <c r="G185" s="0" t="s">
        <v>3900</v>
      </c>
    </row>
    <row customHeight="1" ht="11.25">
      <c r="A186" s="397" t="s">
        <v>16</v>
      </c>
      <c r="B186" s="0" t="s">
        <v>134</v>
      </c>
      <c r="C186" s="0" t="s">
        <v>3901</v>
      </c>
      <c r="D186" s="0" t="s">
        <v>3902</v>
      </c>
      <c r="E186" s="0" t="s">
        <v>3903</v>
      </c>
      <c r="F186" s="0" t="s">
        <v>3432</v>
      </c>
      <c r="G186" s="0" t="s">
        <v>3904</v>
      </c>
    </row>
    <row customHeight="1" ht="11.25">
      <c r="A187" s="397" t="s">
        <v>16</v>
      </c>
      <c r="B187" s="0" t="s">
        <v>134</v>
      </c>
      <c r="C187" s="0" t="s">
        <v>3901</v>
      </c>
      <c r="D187" s="0" t="s">
        <v>3905</v>
      </c>
      <c r="E187" s="0" t="s">
        <v>3906</v>
      </c>
      <c r="F187" s="0" t="s">
        <v>3432</v>
      </c>
      <c r="G187" s="0" t="s">
        <v>3907</v>
      </c>
    </row>
    <row customHeight="1" ht="11.25">
      <c r="A188" s="397" t="s">
        <v>16</v>
      </c>
      <c r="B188" s="0" t="s">
        <v>134</v>
      </c>
      <c r="C188" s="0" t="s">
        <v>3901</v>
      </c>
      <c r="D188" s="0" t="s">
        <v>148</v>
      </c>
      <c r="E188" s="0" t="s">
        <v>149</v>
      </c>
      <c r="F188" s="0" t="s">
        <v>3432</v>
      </c>
      <c r="G188" s="0" t="s">
        <v>147</v>
      </c>
    </row>
    <row customHeight="1" ht="11.25">
      <c r="A189" s="397" t="s">
        <v>16</v>
      </c>
      <c r="B189" s="0" t="s">
        <v>134</v>
      </c>
      <c r="C189" s="0" t="s">
        <v>3901</v>
      </c>
      <c r="D189" s="0" t="s">
        <v>3908</v>
      </c>
      <c r="E189" s="0" t="s">
        <v>3909</v>
      </c>
      <c r="F189" s="0" t="s">
        <v>3432</v>
      </c>
      <c r="G189" s="0" t="s">
        <v>3910</v>
      </c>
    </row>
    <row customHeight="1" ht="11.25">
      <c r="A190" s="397" t="s">
        <v>16</v>
      </c>
      <c r="B190" s="0" t="s">
        <v>134</v>
      </c>
      <c r="C190" s="0" t="s">
        <v>3901</v>
      </c>
      <c r="D190" s="0" t="s">
        <v>159</v>
      </c>
      <c r="E190" s="0" t="s">
        <v>160</v>
      </c>
      <c r="F190" s="0" t="s">
        <v>3432</v>
      </c>
      <c r="G190" s="0" t="s">
        <v>158</v>
      </c>
    </row>
    <row customHeight="1" ht="11.25">
      <c r="A191" s="397" t="s">
        <v>16</v>
      </c>
      <c r="B191" s="0" t="s">
        <v>134</v>
      </c>
      <c r="C191" s="0" t="s">
        <v>3901</v>
      </c>
      <c r="D191" s="0" t="s">
        <v>3911</v>
      </c>
      <c r="E191" s="0" t="s">
        <v>3912</v>
      </c>
      <c r="F191" s="0" t="s">
        <v>3432</v>
      </c>
      <c r="G191" s="0" t="s">
        <v>3913</v>
      </c>
    </row>
    <row customHeight="1" ht="11.25">
      <c r="A192" s="397" t="s">
        <v>16</v>
      </c>
      <c r="B192" s="0" t="s">
        <v>134</v>
      </c>
      <c r="C192" s="0" t="s">
        <v>3901</v>
      </c>
      <c r="D192" s="0" t="s">
        <v>135</v>
      </c>
      <c r="E192" s="0" t="s">
        <v>136</v>
      </c>
      <c r="F192" s="0" t="s">
        <v>3432</v>
      </c>
      <c r="G192" s="0" t="s">
        <v>133</v>
      </c>
    </row>
    <row customHeight="1" ht="11.25">
      <c r="A193" s="397" t="s">
        <v>16</v>
      </c>
      <c r="B193" s="0" t="s">
        <v>134</v>
      </c>
      <c r="C193" s="0" t="s">
        <v>3901</v>
      </c>
      <c r="D193" s="0" t="s">
        <v>3914</v>
      </c>
      <c r="E193" s="0" t="s">
        <v>3915</v>
      </c>
      <c r="F193" s="0" t="s">
        <v>3432</v>
      </c>
      <c r="G193" s="0" t="s">
        <v>3916</v>
      </c>
    </row>
    <row customHeight="1" ht="11.25">
      <c r="A194" s="397" t="s">
        <v>16</v>
      </c>
      <c r="B194" s="0" t="s">
        <v>134</v>
      </c>
      <c r="C194" s="0" t="s">
        <v>3901</v>
      </c>
      <c r="D194" s="0" t="s">
        <v>3917</v>
      </c>
      <c r="E194" s="0" t="s">
        <v>3918</v>
      </c>
      <c r="F194" s="0" t="s">
        <v>3432</v>
      </c>
      <c r="G194" s="0" t="s">
        <v>3919</v>
      </c>
    </row>
    <row customHeight="1" ht="11.25">
      <c r="A195" s="397" t="s">
        <v>16</v>
      </c>
      <c r="B195" s="0" t="s">
        <v>134</v>
      </c>
      <c r="C195" s="0" t="s">
        <v>3901</v>
      </c>
      <c r="D195" s="0" t="s">
        <v>3920</v>
      </c>
      <c r="E195" s="0" t="s">
        <v>3921</v>
      </c>
      <c r="F195" s="0" t="s">
        <v>3432</v>
      </c>
      <c r="G195" s="0" t="s">
        <v>3922</v>
      </c>
    </row>
    <row customHeight="1" ht="11.25">
      <c r="A196" s="397" t="s">
        <v>16</v>
      </c>
      <c r="B196" s="0" t="s">
        <v>134</v>
      </c>
      <c r="C196" s="0" t="s">
        <v>3901</v>
      </c>
      <c r="D196" s="0" t="s">
        <v>3923</v>
      </c>
      <c r="E196" s="0" t="s">
        <v>3924</v>
      </c>
      <c r="F196" s="0" t="s">
        <v>3432</v>
      </c>
      <c r="G196" s="0" t="s">
        <v>3925</v>
      </c>
    </row>
    <row customHeight="1" ht="11.25">
      <c r="A197" s="397" t="s">
        <v>16</v>
      </c>
      <c r="B197" s="0" t="s">
        <v>134</v>
      </c>
      <c r="C197" s="0" t="s">
        <v>3901</v>
      </c>
      <c r="D197" s="0" t="s">
        <v>3926</v>
      </c>
      <c r="E197" s="0" t="s">
        <v>3927</v>
      </c>
      <c r="F197" s="0" t="s">
        <v>3432</v>
      </c>
      <c r="G197" s="0" t="s">
        <v>3928</v>
      </c>
    </row>
    <row customHeight="1" ht="11.25">
      <c r="A198" s="397" t="s">
        <v>16</v>
      </c>
      <c r="B198" s="0" t="s">
        <v>134</v>
      </c>
      <c r="C198" s="0" t="s">
        <v>3901</v>
      </c>
      <c r="D198" s="0" t="s">
        <v>151</v>
      </c>
      <c r="E198" s="0" t="s">
        <v>152</v>
      </c>
      <c r="F198" s="0" t="s">
        <v>3432</v>
      </c>
      <c r="G198" s="0" t="s">
        <v>150</v>
      </c>
    </row>
    <row customHeight="1" ht="11.25">
      <c r="A199" s="397" t="s">
        <v>16</v>
      </c>
      <c r="B199" s="0" t="s">
        <v>134</v>
      </c>
      <c r="C199" s="0" t="s">
        <v>3901</v>
      </c>
      <c r="D199" s="0" t="s">
        <v>3929</v>
      </c>
      <c r="E199" s="0" t="s">
        <v>3930</v>
      </c>
      <c r="F199" s="0" t="s">
        <v>3432</v>
      </c>
      <c r="G199" s="0" t="s">
        <v>3931</v>
      </c>
    </row>
    <row customHeight="1" ht="11.25">
      <c r="A200" s="397" t="s">
        <v>16</v>
      </c>
      <c r="B200" s="0" t="s">
        <v>134</v>
      </c>
      <c r="C200" s="0" t="s">
        <v>3901</v>
      </c>
      <c r="D200" s="0" t="s">
        <v>3932</v>
      </c>
      <c r="E200" s="0" t="s">
        <v>3933</v>
      </c>
      <c r="F200" s="0" t="s">
        <v>3432</v>
      </c>
      <c r="G200" s="0" t="s">
        <v>3934</v>
      </c>
    </row>
    <row customHeight="1" ht="11.25">
      <c r="A201" s="397" t="s">
        <v>16</v>
      </c>
      <c r="B201" s="0" t="s">
        <v>134</v>
      </c>
      <c r="C201" s="0" t="s">
        <v>3901</v>
      </c>
      <c r="D201" s="0" t="s">
        <v>162</v>
      </c>
      <c r="E201" s="0" t="s">
        <v>163</v>
      </c>
      <c r="F201" s="0" t="s">
        <v>3432</v>
      </c>
      <c r="G201" s="0" t="s">
        <v>161</v>
      </c>
    </row>
    <row customHeight="1" ht="11.25">
      <c r="A202" s="397" t="s">
        <v>16</v>
      </c>
      <c r="B202" s="0" t="s">
        <v>134</v>
      </c>
      <c r="C202" s="0" t="s">
        <v>3901</v>
      </c>
      <c r="D202" s="0" t="s">
        <v>3935</v>
      </c>
      <c r="E202" s="0" t="s">
        <v>3936</v>
      </c>
      <c r="F202" s="0" t="s">
        <v>3432</v>
      </c>
      <c r="G202" s="0" t="s">
        <v>3937</v>
      </c>
    </row>
    <row customHeight="1" ht="11.25">
      <c r="A203" s="397" t="s">
        <v>16</v>
      </c>
      <c r="B203" s="0" t="s">
        <v>134</v>
      </c>
      <c r="C203" s="0" t="s">
        <v>3901</v>
      </c>
      <c r="D203" s="0" t="s">
        <v>3938</v>
      </c>
      <c r="E203" s="0" t="s">
        <v>3939</v>
      </c>
      <c r="F203" s="0" t="s">
        <v>3432</v>
      </c>
      <c r="G203" s="0" t="s">
        <v>3940</v>
      </c>
    </row>
    <row customHeight="1" ht="11.25">
      <c r="A204" s="397" t="s">
        <v>16</v>
      </c>
      <c r="B204" s="0" t="s">
        <v>134</v>
      </c>
      <c r="C204" s="0" t="s">
        <v>3901</v>
      </c>
      <c r="D204" s="0" t="s">
        <v>3941</v>
      </c>
      <c r="E204" s="0" t="s">
        <v>3942</v>
      </c>
      <c r="F204" s="0" t="s">
        <v>3432</v>
      </c>
      <c r="G204" s="0" t="s">
        <v>3943</v>
      </c>
    </row>
    <row customHeight="1" ht="11.25">
      <c r="A205" s="397" t="s">
        <v>16</v>
      </c>
      <c r="B205" s="0" t="s">
        <v>134</v>
      </c>
      <c r="C205" s="0" t="s">
        <v>3901</v>
      </c>
      <c r="D205" s="0" t="s">
        <v>3944</v>
      </c>
      <c r="E205" s="0" t="s">
        <v>3945</v>
      </c>
      <c r="F205" s="0" t="s">
        <v>3432</v>
      </c>
      <c r="G205" s="0" t="s">
        <v>3946</v>
      </c>
    </row>
    <row customHeight="1" ht="11.25">
      <c r="A206" s="397" t="s">
        <v>16</v>
      </c>
      <c r="B206" s="0" t="s">
        <v>134</v>
      </c>
      <c r="C206" s="0" t="s">
        <v>3901</v>
      </c>
      <c r="D206" s="0" t="s">
        <v>138</v>
      </c>
      <c r="E206" s="0" t="s">
        <v>139</v>
      </c>
      <c r="F206" s="0" t="s">
        <v>3448</v>
      </c>
      <c r="G206" s="0" t="s">
        <v>137</v>
      </c>
    </row>
    <row customHeight="1" ht="11.25">
      <c r="A207" s="397" t="s">
        <v>16</v>
      </c>
      <c r="B207" s="0" t="s">
        <v>134</v>
      </c>
      <c r="C207" s="0" t="s">
        <v>3901</v>
      </c>
      <c r="D207" s="0" t="s">
        <v>141</v>
      </c>
      <c r="E207" s="0" t="s">
        <v>142</v>
      </c>
      <c r="F207" s="0" t="s">
        <v>3432</v>
      </c>
      <c r="G207" s="0" t="s">
        <v>140</v>
      </c>
    </row>
    <row customHeight="1" ht="11.25">
      <c r="A208" s="397" t="s">
        <v>16</v>
      </c>
      <c r="B208" s="0" t="s">
        <v>134</v>
      </c>
      <c r="C208" s="0" t="s">
        <v>3901</v>
      </c>
      <c r="D208" s="0" t="s">
        <v>3947</v>
      </c>
      <c r="E208" s="0" t="s">
        <v>3948</v>
      </c>
      <c r="F208" s="0" t="s">
        <v>3432</v>
      </c>
      <c r="G208" s="0" t="s">
        <v>3949</v>
      </c>
    </row>
    <row customHeight="1" ht="11.25">
      <c r="A209" s="397" t="s">
        <v>16</v>
      </c>
      <c r="B209" s="0" t="s">
        <v>134</v>
      </c>
      <c r="C209" s="0" t="s">
        <v>3901</v>
      </c>
      <c r="D209" s="0" t="s">
        <v>3950</v>
      </c>
      <c r="E209" s="0" t="s">
        <v>3951</v>
      </c>
      <c r="F209" s="0" t="s">
        <v>3432</v>
      </c>
      <c r="G209" s="0" t="s">
        <v>3952</v>
      </c>
    </row>
    <row customHeight="1" ht="11.25">
      <c r="A210" s="397" t="s">
        <v>16</v>
      </c>
      <c r="B210" s="0" t="s">
        <v>134</v>
      </c>
      <c r="C210" s="0" t="s">
        <v>3901</v>
      </c>
      <c r="D210" s="0" t="s">
        <v>154</v>
      </c>
      <c r="E210" s="0" t="s">
        <v>155</v>
      </c>
      <c r="F210" s="0" t="s">
        <v>3432</v>
      </c>
      <c r="G210" s="0" t="s">
        <v>153</v>
      </c>
    </row>
    <row customHeight="1" ht="11.25">
      <c r="A211" s="397" t="s">
        <v>16</v>
      </c>
      <c r="B211" s="0" t="s">
        <v>134</v>
      </c>
      <c r="C211" s="0" t="s">
        <v>3901</v>
      </c>
      <c r="D211" s="0" t="s">
        <v>3953</v>
      </c>
      <c r="E211" s="0" t="s">
        <v>3954</v>
      </c>
      <c r="F211" s="0" t="s">
        <v>3432</v>
      </c>
      <c r="G211" s="0" t="s">
        <v>3955</v>
      </c>
    </row>
    <row customHeight="1" ht="11.25">
      <c r="A212" s="397" t="s">
        <v>16</v>
      </c>
      <c r="B212" s="0" t="s">
        <v>134</v>
      </c>
      <c r="C212" s="0" t="s">
        <v>3901</v>
      </c>
      <c r="D212" s="0" t="s">
        <v>134</v>
      </c>
      <c r="E212" s="0" t="s">
        <v>3901</v>
      </c>
      <c r="F212" s="0" t="s">
        <v>3429</v>
      </c>
      <c r="G212" s="0" t="s">
        <v>3956</v>
      </c>
    </row>
    <row customHeight="1" ht="11.25">
      <c r="A213" s="397" t="s">
        <v>16</v>
      </c>
      <c r="B213" s="0" t="s">
        <v>134</v>
      </c>
      <c r="C213" s="0" t="s">
        <v>3901</v>
      </c>
      <c r="D213" s="0" t="s">
        <v>3957</v>
      </c>
      <c r="E213" s="0" t="s">
        <v>3958</v>
      </c>
      <c r="F213" s="0" t="s">
        <v>3432</v>
      </c>
      <c r="G213" s="0" t="s">
        <v>3959</v>
      </c>
    </row>
    <row customHeight="1" ht="11.25">
      <c r="A214" s="397" t="s">
        <v>16</v>
      </c>
      <c r="B214" s="0" t="s">
        <v>3960</v>
      </c>
      <c r="C214" s="0" t="s">
        <v>3961</v>
      </c>
      <c r="D214" s="0" t="s">
        <v>3962</v>
      </c>
      <c r="E214" s="0" t="s">
        <v>3963</v>
      </c>
      <c r="F214" s="0" t="s">
        <v>3432</v>
      </c>
      <c r="G214" s="0" t="s">
        <v>3964</v>
      </c>
    </row>
    <row customHeight="1" ht="11.25">
      <c r="A215" s="397" t="s">
        <v>16</v>
      </c>
      <c r="B215" s="0" t="s">
        <v>3960</v>
      </c>
      <c r="C215" s="0" t="s">
        <v>3961</v>
      </c>
      <c r="D215" s="0" t="s">
        <v>3965</v>
      </c>
      <c r="E215" s="0" t="s">
        <v>3966</v>
      </c>
      <c r="F215" s="0" t="s">
        <v>3432</v>
      </c>
      <c r="G215" s="0" t="s">
        <v>3967</v>
      </c>
    </row>
    <row customHeight="1" ht="11.25">
      <c r="A216" s="397" t="s">
        <v>16</v>
      </c>
      <c r="B216" s="0" t="s">
        <v>3960</v>
      </c>
      <c r="C216" s="0" t="s">
        <v>3961</v>
      </c>
      <c r="D216" s="0" t="s">
        <v>3968</v>
      </c>
      <c r="E216" s="0" t="s">
        <v>3969</v>
      </c>
      <c r="F216" s="0" t="s">
        <v>3432</v>
      </c>
      <c r="G216" s="0" t="s">
        <v>3970</v>
      </c>
    </row>
    <row customHeight="1" ht="11.25">
      <c r="A217" s="397" t="s">
        <v>16</v>
      </c>
      <c r="B217" s="0" t="s">
        <v>3960</v>
      </c>
      <c r="C217" s="0" t="s">
        <v>3961</v>
      </c>
      <c r="D217" s="0" t="s">
        <v>3971</v>
      </c>
      <c r="E217" s="0" t="s">
        <v>3972</v>
      </c>
      <c r="F217" s="0" t="s">
        <v>3432</v>
      </c>
      <c r="G217" s="0" t="s">
        <v>3973</v>
      </c>
    </row>
    <row customHeight="1" ht="11.25">
      <c r="A218" s="397" t="s">
        <v>16</v>
      </c>
      <c r="B218" s="0" t="s">
        <v>3960</v>
      </c>
      <c r="C218" s="0" t="s">
        <v>3961</v>
      </c>
      <c r="D218" s="0" t="s">
        <v>3974</v>
      </c>
      <c r="E218" s="0" t="s">
        <v>3975</v>
      </c>
      <c r="F218" s="0" t="s">
        <v>3432</v>
      </c>
      <c r="G218" s="0" t="s">
        <v>3976</v>
      </c>
    </row>
    <row customHeight="1" ht="11.25">
      <c r="A219" s="397" t="s">
        <v>16</v>
      </c>
      <c r="B219" s="0" t="s">
        <v>3960</v>
      </c>
      <c r="C219" s="0" t="s">
        <v>3961</v>
      </c>
      <c r="D219" s="0" t="s">
        <v>3977</v>
      </c>
      <c r="E219" s="0" t="s">
        <v>3978</v>
      </c>
      <c r="F219" s="0" t="s">
        <v>3432</v>
      </c>
      <c r="G219" s="0" t="s">
        <v>3979</v>
      </c>
    </row>
    <row customHeight="1" ht="11.25">
      <c r="A220" s="397" t="s">
        <v>16</v>
      </c>
      <c r="B220" s="0" t="s">
        <v>3960</v>
      </c>
      <c r="C220" s="0" t="s">
        <v>3961</v>
      </c>
      <c r="D220" s="0" t="s">
        <v>3980</v>
      </c>
      <c r="E220" s="0" t="s">
        <v>3981</v>
      </c>
      <c r="F220" s="0" t="s">
        <v>3432</v>
      </c>
      <c r="G220" s="0" t="s">
        <v>3982</v>
      </c>
    </row>
    <row customHeight="1" ht="11.25">
      <c r="A221" s="397" t="s">
        <v>16</v>
      </c>
      <c r="B221" s="0" t="s">
        <v>3960</v>
      </c>
      <c r="C221" s="0" t="s">
        <v>3961</v>
      </c>
      <c r="D221" s="0" t="s">
        <v>3983</v>
      </c>
      <c r="E221" s="0" t="s">
        <v>3984</v>
      </c>
      <c r="F221" s="0" t="s">
        <v>3432</v>
      </c>
      <c r="G221" s="0" t="s">
        <v>3985</v>
      </c>
    </row>
    <row customHeight="1" ht="11.25">
      <c r="A222" s="397" t="s">
        <v>16</v>
      </c>
      <c r="B222" s="0" t="s">
        <v>3960</v>
      </c>
      <c r="C222" s="0" t="s">
        <v>3961</v>
      </c>
      <c r="D222" s="0" t="s">
        <v>3986</v>
      </c>
      <c r="E222" s="0" t="s">
        <v>3987</v>
      </c>
      <c r="F222" s="0" t="s">
        <v>3432</v>
      </c>
      <c r="G222" s="0" t="s">
        <v>3988</v>
      </c>
    </row>
    <row customHeight="1" ht="11.25">
      <c r="A223" s="397" t="s">
        <v>16</v>
      </c>
      <c r="B223" s="0" t="s">
        <v>3960</v>
      </c>
      <c r="C223" s="0" t="s">
        <v>3961</v>
      </c>
      <c r="D223" s="0" t="s">
        <v>3989</v>
      </c>
      <c r="E223" s="0" t="s">
        <v>3990</v>
      </c>
      <c r="F223" s="0" t="s">
        <v>3432</v>
      </c>
      <c r="G223" s="0" t="s">
        <v>3991</v>
      </c>
    </row>
    <row customHeight="1" ht="11.25">
      <c r="A224" s="397" t="s">
        <v>16</v>
      </c>
      <c r="B224" s="0" t="s">
        <v>3960</v>
      </c>
      <c r="C224" s="0" t="s">
        <v>3961</v>
      </c>
      <c r="D224" s="0" t="s">
        <v>3992</v>
      </c>
      <c r="E224" s="0" t="s">
        <v>3993</v>
      </c>
      <c r="F224" s="0" t="s">
        <v>3432</v>
      </c>
      <c r="G224" s="0" t="s">
        <v>3994</v>
      </c>
    </row>
    <row customHeight="1" ht="11.25">
      <c r="A225" s="397" t="s">
        <v>16</v>
      </c>
      <c r="B225" s="0" t="s">
        <v>3960</v>
      </c>
      <c r="C225" s="0" t="s">
        <v>3961</v>
      </c>
      <c r="D225" s="0" t="s">
        <v>3995</v>
      </c>
      <c r="E225" s="0" t="s">
        <v>3996</v>
      </c>
      <c r="F225" s="0" t="s">
        <v>3432</v>
      </c>
      <c r="G225" s="0" t="s">
        <v>3997</v>
      </c>
    </row>
    <row customHeight="1" ht="11.25">
      <c r="A226" s="397" t="s">
        <v>16</v>
      </c>
      <c r="B226" s="0" t="s">
        <v>3960</v>
      </c>
      <c r="C226" s="0" t="s">
        <v>3961</v>
      </c>
      <c r="D226" s="0" t="s">
        <v>3998</v>
      </c>
      <c r="E226" s="0" t="s">
        <v>3999</v>
      </c>
      <c r="F226" s="0" t="s">
        <v>3448</v>
      </c>
      <c r="G226" s="0" t="s">
        <v>4000</v>
      </c>
    </row>
    <row customHeight="1" ht="11.25">
      <c r="A227" s="397" t="s">
        <v>16</v>
      </c>
      <c r="B227" s="0" t="s">
        <v>3960</v>
      </c>
      <c r="C227" s="0" t="s">
        <v>3961</v>
      </c>
      <c r="D227" s="0" t="s">
        <v>4001</v>
      </c>
      <c r="E227" s="0" t="s">
        <v>4002</v>
      </c>
      <c r="F227" s="0" t="s">
        <v>3448</v>
      </c>
      <c r="G227" s="0" t="s">
        <v>4003</v>
      </c>
    </row>
    <row customHeight="1" ht="11.25">
      <c r="A228" s="397" t="s">
        <v>16</v>
      </c>
      <c r="B228" s="0" t="s">
        <v>3960</v>
      </c>
      <c r="C228" s="0" t="s">
        <v>3961</v>
      </c>
      <c r="D228" s="0" t="s">
        <v>4004</v>
      </c>
      <c r="E228" s="0" t="s">
        <v>4005</v>
      </c>
      <c r="F228" s="0" t="s">
        <v>3448</v>
      </c>
      <c r="G228" s="0" t="s">
        <v>4006</v>
      </c>
    </row>
    <row customHeight="1" ht="11.25">
      <c r="A229" s="397" t="s">
        <v>16</v>
      </c>
      <c r="B229" s="0" t="s">
        <v>3960</v>
      </c>
      <c r="C229" s="0" t="s">
        <v>3961</v>
      </c>
      <c r="D229" s="0" t="s">
        <v>4007</v>
      </c>
      <c r="E229" s="0" t="s">
        <v>4008</v>
      </c>
      <c r="F229" s="0" t="s">
        <v>3432</v>
      </c>
      <c r="G229" s="0" t="s">
        <v>4009</v>
      </c>
    </row>
    <row customHeight="1" ht="11.25">
      <c r="A230" s="397" t="s">
        <v>16</v>
      </c>
      <c r="B230" s="0" t="s">
        <v>3960</v>
      </c>
      <c r="C230" s="0" t="s">
        <v>3961</v>
      </c>
      <c r="D230" s="0" t="s">
        <v>4010</v>
      </c>
      <c r="E230" s="0" t="s">
        <v>4011</v>
      </c>
      <c r="F230" s="0" t="s">
        <v>3432</v>
      </c>
      <c r="G230" s="0" t="s">
        <v>4012</v>
      </c>
    </row>
    <row customHeight="1" ht="11.25">
      <c r="A231" s="397" t="s">
        <v>16</v>
      </c>
      <c r="B231" s="0" t="s">
        <v>3960</v>
      </c>
      <c r="C231" s="0" t="s">
        <v>3961</v>
      </c>
      <c r="D231" s="0" t="s">
        <v>4013</v>
      </c>
      <c r="E231" s="0" t="s">
        <v>4014</v>
      </c>
      <c r="F231" s="0" t="s">
        <v>3432</v>
      </c>
      <c r="G231" s="0" t="s">
        <v>4015</v>
      </c>
    </row>
    <row customHeight="1" ht="11.25">
      <c r="A232" s="397" t="s">
        <v>16</v>
      </c>
      <c r="B232" s="0" t="s">
        <v>3960</v>
      </c>
      <c r="C232" s="0" t="s">
        <v>3961</v>
      </c>
      <c r="D232" s="0" t="s">
        <v>4016</v>
      </c>
      <c r="E232" s="0" t="s">
        <v>4017</v>
      </c>
      <c r="F232" s="0" t="s">
        <v>3432</v>
      </c>
      <c r="G232" s="0" t="s">
        <v>4018</v>
      </c>
    </row>
    <row customHeight="1" ht="11.25">
      <c r="A233" s="397" t="s">
        <v>16</v>
      </c>
      <c r="B233" s="0" t="s">
        <v>3960</v>
      </c>
      <c r="C233" s="0" t="s">
        <v>3961</v>
      </c>
      <c r="D233" s="0" t="s">
        <v>4019</v>
      </c>
      <c r="E233" s="0" t="s">
        <v>4020</v>
      </c>
      <c r="F233" s="0" t="s">
        <v>3432</v>
      </c>
      <c r="G233" s="0" t="s">
        <v>4021</v>
      </c>
    </row>
    <row customHeight="1" ht="11.25">
      <c r="A234" s="397" t="s">
        <v>16</v>
      </c>
      <c r="B234" s="0" t="s">
        <v>3960</v>
      </c>
      <c r="C234" s="0" t="s">
        <v>3961</v>
      </c>
      <c r="D234" s="0" t="s">
        <v>3960</v>
      </c>
      <c r="E234" s="0" t="s">
        <v>3961</v>
      </c>
      <c r="F234" s="0" t="s">
        <v>3429</v>
      </c>
      <c r="G234" s="0" t="s">
        <v>4022</v>
      </c>
    </row>
    <row customHeight="1" ht="11.25">
      <c r="A235" s="397" t="s">
        <v>16</v>
      </c>
      <c r="B235" s="0" t="s">
        <v>4023</v>
      </c>
      <c r="C235" s="0" t="s">
        <v>4024</v>
      </c>
      <c r="D235" s="0" t="s">
        <v>4025</v>
      </c>
      <c r="E235" s="0" t="s">
        <v>4026</v>
      </c>
      <c r="F235" s="0" t="s">
        <v>3432</v>
      </c>
      <c r="G235" s="0" t="s">
        <v>4027</v>
      </c>
    </row>
    <row customHeight="1" ht="11.25">
      <c r="A236" s="397" t="s">
        <v>16</v>
      </c>
      <c r="B236" s="0" t="s">
        <v>4023</v>
      </c>
      <c r="C236" s="0" t="s">
        <v>4024</v>
      </c>
      <c r="D236" s="0" t="s">
        <v>4028</v>
      </c>
      <c r="E236" s="0" t="s">
        <v>4029</v>
      </c>
      <c r="F236" s="0" t="s">
        <v>3432</v>
      </c>
      <c r="G236" s="0" t="s">
        <v>4030</v>
      </c>
    </row>
    <row customHeight="1" ht="11.25">
      <c r="A237" s="397" t="s">
        <v>16</v>
      </c>
      <c r="B237" s="0" t="s">
        <v>4023</v>
      </c>
      <c r="C237" s="0" t="s">
        <v>4024</v>
      </c>
      <c r="D237" s="0" t="s">
        <v>4031</v>
      </c>
      <c r="E237" s="0" t="s">
        <v>4032</v>
      </c>
      <c r="F237" s="0" t="s">
        <v>3459</v>
      </c>
      <c r="G237" s="0" t="s">
        <v>4033</v>
      </c>
    </row>
    <row customHeight="1" ht="11.25">
      <c r="A238" s="397" t="s">
        <v>16</v>
      </c>
      <c r="B238" s="0" t="s">
        <v>4023</v>
      </c>
      <c r="C238" s="0" t="s">
        <v>4024</v>
      </c>
      <c r="D238" s="0" t="s">
        <v>4034</v>
      </c>
      <c r="E238" s="0" t="s">
        <v>4035</v>
      </c>
      <c r="F238" s="0" t="s">
        <v>3432</v>
      </c>
      <c r="G238" s="0" t="s">
        <v>4036</v>
      </c>
    </row>
    <row customHeight="1" ht="11.25">
      <c r="A239" s="397" t="s">
        <v>16</v>
      </c>
      <c r="B239" s="0" t="s">
        <v>4023</v>
      </c>
      <c r="C239" s="0" t="s">
        <v>4024</v>
      </c>
      <c r="D239" s="0" t="s">
        <v>4037</v>
      </c>
      <c r="E239" s="0" t="s">
        <v>4038</v>
      </c>
      <c r="F239" s="0" t="s">
        <v>3432</v>
      </c>
      <c r="G239" s="0" t="s">
        <v>4039</v>
      </c>
    </row>
    <row customHeight="1" ht="11.25">
      <c r="A240" s="397" t="s">
        <v>16</v>
      </c>
      <c r="B240" s="0" t="s">
        <v>4023</v>
      </c>
      <c r="C240" s="0" t="s">
        <v>4024</v>
      </c>
      <c r="D240" s="0" t="s">
        <v>4040</v>
      </c>
      <c r="E240" s="0" t="s">
        <v>4041</v>
      </c>
      <c r="F240" s="0" t="s">
        <v>3432</v>
      </c>
      <c r="G240" s="0" t="s">
        <v>4042</v>
      </c>
    </row>
    <row customHeight="1" ht="11.25">
      <c r="A241" s="397" t="s">
        <v>16</v>
      </c>
      <c r="B241" s="0" t="s">
        <v>4023</v>
      </c>
      <c r="C241" s="0" t="s">
        <v>4024</v>
      </c>
      <c r="D241" s="0" t="s">
        <v>4023</v>
      </c>
      <c r="E241" s="0" t="s">
        <v>4024</v>
      </c>
      <c r="F241" s="0" t="s">
        <v>3429</v>
      </c>
      <c r="G241" s="0" t="s">
        <v>4043</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F9EF0F-4CC9-2F22-748B-0.A90C4183}" mc:Ignorable="x14ac xr xr2 xr3">
  <sheetPr>
    <tabColor rgb="FFFFCC99"/>
  </sheetPr>
  <dimension ref="A1:I69"/>
  <sheetViews>
    <sheetView topLeftCell="A1" showGridLines="0" workbookViewId="0">
      <selection activeCell="A1" sqref="A1"/>
    </sheetView>
  </sheetViews>
  <sheetFormatPr defaultColWidth="9.140625" customHeight="1" defaultRowHeight="11.25"/>
  <cols>
    <col min="1" max="1" style="1715" width="13.8515625" customWidth="1"/>
    <col min="2" max="2" style="1715" width="10.421875" customWidth="1"/>
    <col min="3" max="3" style="1715" width="7.57421875" customWidth="1"/>
    <col min="4" max="4" style="1715" width="13.8515625" customWidth="1"/>
    <col min="5" max="5" style="1715" width="11.57421875" customWidth="1"/>
    <col min="6" max="6" style="1715" width="16.28125" customWidth="1"/>
    <col min="7" max="7" style="1715" width="16.00390625" customWidth="1"/>
    <col min="8" max="9" style="1715" width="16.140625" customWidth="1"/>
  </cols>
  <sheetData>
    <row customHeight="1" ht="11.25">
      <c r="A1" s="859" t="s">
        <v>4044</v>
      </c>
      <c r="B1" s="859" t="s">
        <v>4045</v>
      </c>
      <c r="C1" s="1183" t="s">
        <v>4046</v>
      </c>
      <c r="D1" s="859" t="s">
        <v>4047</v>
      </c>
      <c r="E1" s="859" t="s">
        <v>4048</v>
      </c>
      <c r="F1" s="1183" t="s">
        <v>4049</v>
      </c>
      <c r="G1" s="1183" t="s">
        <v>4050</v>
      </c>
      <c r="H1" s="1183" t="s">
        <v>4051</v>
      </c>
      <c r="I1" s="1183" t="s">
        <v>4052</v>
      </c>
    </row>
    <row customHeight="1" ht="11.25">
      <c r="A2" s="1715" t="s">
        <v>170</v>
      </c>
      <c r="B2" s="1715" t="s">
        <v>4053</v>
      </c>
      <c r="C2" s="1715" t="s">
        <v>22</v>
      </c>
      <c r="D2" s="1715" t="s">
        <v>4054</v>
      </c>
      <c r="E2" s="1715" t="s">
        <v>4055</v>
      </c>
      <c r="F2" s="1715" t="s">
        <v>22</v>
      </c>
      <c r="G2" s="1715" t="s">
        <v>22</v>
      </c>
      <c r="H2" s="1715" t="s">
        <v>22</v>
      </c>
      <c r="I2" s="1715" t="s">
        <v>22</v>
      </c>
    </row>
    <row customHeight="1" ht="11.25">
      <c r="A3" s="1715" t="s">
        <v>103</v>
      </c>
      <c r="B3" s="1715" t="s">
        <v>4056</v>
      </c>
      <c r="C3" s="1715" t="s">
        <v>22</v>
      </c>
      <c r="D3" s="1715" t="s">
        <v>4057</v>
      </c>
      <c r="E3" s="1715" t="s">
        <v>4058</v>
      </c>
      <c r="F3" s="1715" t="s">
        <v>22</v>
      </c>
      <c r="G3" s="1715" t="s">
        <v>22</v>
      </c>
      <c r="H3" s="1715" t="s">
        <v>22</v>
      </c>
      <c r="I3" s="1715" t="s">
        <v>22</v>
      </c>
    </row>
    <row customHeight="1" ht="11.25">
      <c r="A4" s="1715" t="s">
        <v>90</v>
      </c>
      <c r="B4" s="1715" t="s">
        <v>4059</v>
      </c>
      <c r="C4" s="1715" t="s">
        <v>22</v>
      </c>
      <c r="D4" s="1715" t="s">
        <v>4057</v>
      </c>
      <c r="E4" s="1715" t="s">
        <v>4058</v>
      </c>
      <c r="F4" s="1715" t="s">
        <v>22</v>
      </c>
      <c r="G4" s="1715" t="s">
        <v>22</v>
      </c>
      <c r="H4" s="1715" t="s">
        <v>22</v>
      </c>
      <c r="I4" s="1715" t="s">
        <v>22</v>
      </c>
    </row>
    <row customHeight="1" ht="11.25">
      <c r="A5" s="1715" t="s">
        <v>91</v>
      </c>
      <c r="B5" s="1715" t="s">
        <v>4060</v>
      </c>
      <c r="C5" s="1715" t="s">
        <v>22</v>
      </c>
      <c r="D5" s="1715" t="s">
        <v>4061</v>
      </c>
      <c r="E5" s="1715" t="s">
        <v>4058</v>
      </c>
      <c r="F5" s="1715" t="s">
        <v>22</v>
      </c>
      <c r="G5" s="1715" t="s">
        <v>22</v>
      </c>
      <c r="H5" s="1715" t="s">
        <v>22</v>
      </c>
      <c r="I5" s="1715" t="s">
        <v>22</v>
      </c>
    </row>
    <row customHeight="1" ht="11.25">
      <c r="A6" s="1715" t="s">
        <v>119</v>
      </c>
      <c r="B6" s="1715" t="s">
        <v>4062</v>
      </c>
      <c r="C6" s="1715" t="s">
        <v>22</v>
      </c>
      <c r="D6" s="1715" t="s">
        <v>4061</v>
      </c>
      <c r="E6" s="1715" t="s">
        <v>4063</v>
      </c>
      <c r="F6" s="1715" t="s">
        <v>22</v>
      </c>
      <c r="G6" s="1715" t="s">
        <v>22</v>
      </c>
      <c r="H6" s="1715" t="s">
        <v>22</v>
      </c>
      <c r="I6" s="1715" t="s">
        <v>22</v>
      </c>
    </row>
    <row customHeight="1" ht="11.25">
      <c r="A7" s="1715" t="s">
        <v>92</v>
      </c>
      <c r="B7" s="1715" t="s">
        <v>4064</v>
      </c>
      <c r="C7" s="1715" t="s">
        <v>22</v>
      </c>
      <c r="D7" s="1715" t="s">
        <v>4061</v>
      </c>
      <c r="E7" s="1715" t="s">
        <v>4058</v>
      </c>
      <c r="F7" s="1715" t="s">
        <v>22</v>
      </c>
      <c r="G7" s="1715" t="s">
        <v>22</v>
      </c>
      <c r="H7" s="1715" t="s">
        <v>22</v>
      </c>
      <c r="I7" s="1715" t="s">
        <v>22</v>
      </c>
    </row>
    <row customHeight="1" ht="11.25">
      <c r="A8" s="1715" t="s">
        <v>93</v>
      </c>
      <c r="B8" s="1715" t="s">
        <v>4065</v>
      </c>
      <c r="C8" s="1715" t="s">
        <v>22</v>
      </c>
      <c r="D8" s="1715" t="s">
        <v>4061</v>
      </c>
      <c r="E8" s="1715" t="s">
        <v>4063</v>
      </c>
      <c r="F8" s="1715" t="s">
        <v>22</v>
      </c>
      <c r="G8" s="1715" t="s">
        <v>22</v>
      </c>
      <c r="H8" s="1715" t="s">
        <v>22</v>
      </c>
      <c r="I8" s="1715" t="s">
        <v>22</v>
      </c>
    </row>
    <row customHeight="1" ht="11.25">
      <c r="A9" s="1715" t="s">
        <v>143</v>
      </c>
      <c r="B9" s="1715" t="s">
        <v>4066</v>
      </c>
      <c r="C9" s="1715" t="s">
        <v>22</v>
      </c>
      <c r="D9" s="1715" t="s">
        <v>4061</v>
      </c>
      <c r="E9" s="1715" t="s">
        <v>4063</v>
      </c>
      <c r="F9" s="1715" t="s">
        <v>22</v>
      </c>
      <c r="G9" s="1715" t="s">
        <v>22</v>
      </c>
      <c r="H9" s="1715" t="s">
        <v>22</v>
      </c>
      <c r="I9" s="1715" t="s">
        <v>22</v>
      </c>
    </row>
    <row customHeight="1" ht="11.25">
      <c r="A10" s="1715" t="s">
        <v>145</v>
      </c>
      <c r="B10" s="1715" t="s">
        <v>4067</v>
      </c>
      <c r="C10" s="1715" t="s">
        <v>22</v>
      </c>
      <c r="D10" s="1715" t="s">
        <v>4061</v>
      </c>
      <c r="E10" s="1715" t="s">
        <v>4063</v>
      </c>
      <c r="F10" s="1715" t="s">
        <v>22</v>
      </c>
      <c r="G10" s="1715" t="s">
        <v>22</v>
      </c>
      <c r="H10" s="1715" t="s">
        <v>22</v>
      </c>
      <c r="I10" s="1715" t="s">
        <v>22</v>
      </c>
    </row>
    <row customHeight="1" ht="11.25">
      <c r="A11" s="1715" t="s">
        <v>156</v>
      </c>
      <c r="B11" s="1715" t="s">
        <v>4068</v>
      </c>
      <c r="C11" s="1715" t="s">
        <v>22</v>
      </c>
      <c r="D11" s="1715" t="s">
        <v>4057</v>
      </c>
      <c r="E11" s="1715" t="s">
        <v>4063</v>
      </c>
      <c r="F11" s="1715" t="s">
        <v>22</v>
      </c>
      <c r="G11" s="1715" t="s">
        <v>22</v>
      </c>
      <c r="H11" s="1715" t="s">
        <v>22</v>
      </c>
      <c r="I11" s="1715" t="s">
        <v>22</v>
      </c>
    </row>
    <row customHeight="1" ht="11.25">
      <c r="A12" s="1715" t="s">
        <v>236</v>
      </c>
      <c r="B12" s="1715" t="s">
        <v>4069</v>
      </c>
      <c r="C12" s="1715" t="s">
        <v>22</v>
      </c>
      <c r="D12" s="1715" t="s">
        <v>4061</v>
      </c>
      <c r="E12" s="1715" t="s">
        <v>4070</v>
      </c>
      <c r="F12" s="1715" t="s">
        <v>22</v>
      </c>
      <c r="G12" s="1715" t="s">
        <v>22</v>
      </c>
      <c r="H12" s="1715" t="s">
        <v>22</v>
      </c>
      <c r="I12" s="1715" t="s">
        <v>22</v>
      </c>
    </row>
    <row customHeight="1" ht="11.25">
      <c r="A13" s="1715" t="s">
        <v>237</v>
      </c>
      <c r="B13" s="1715" t="s">
        <v>4071</v>
      </c>
      <c r="C13" s="1715" t="s">
        <v>22</v>
      </c>
      <c r="D13" s="1715" t="s">
        <v>4057</v>
      </c>
      <c r="E13" s="1715" t="s">
        <v>4072</v>
      </c>
      <c r="F13" s="1715" t="s">
        <v>22</v>
      </c>
      <c r="G13" s="1715" t="s">
        <v>22</v>
      </c>
      <c r="H13" s="1715" t="s">
        <v>22</v>
      </c>
      <c r="I13" s="1715" t="s">
        <v>22</v>
      </c>
    </row>
    <row customHeight="1" ht="11.25">
      <c r="A14" s="1715" t="s">
        <v>238</v>
      </c>
      <c r="B14" s="1715" t="s">
        <v>4073</v>
      </c>
      <c r="C14" s="1715" t="s">
        <v>22</v>
      </c>
      <c r="D14" s="1715" t="s">
        <v>4061</v>
      </c>
      <c r="E14" s="1715" t="s">
        <v>4074</v>
      </c>
      <c r="F14" s="1715" t="s">
        <v>22</v>
      </c>
      <c r="G14" s="1715" t="s">
        <v>22</v>
      </c>
      <c r="H14" s="1715" t="s">
        <v>22</v>
      </c>
      <c r="I14" s="1715" t="s">
        <v>22</v>
      </c>
    </row>
    <row customHeight="1" ht="11.25">
      <c r="A15" s="1715" t="s">
        <v>239</v>
      </c>
      <c r="B15" s="1715" t="s">
        <v>4075</v>
      </c>
      <c r="C15" s="1715" t="s">
        <v>22</v>
      </c>
      <c r="D15" s="1715" t="s">
        <v>4061</v>
      </c>
      <c r="E15" s="1715" t="s">
        <v>4074</v>
      </c>
      <c r="F15" s="1715" t="s">
        <v>22</v>
      </c>
      <c r="G15" s="1715" t="s">
        <v>22</v>
      </c>
      <c r="H15" s="1715" t="s">
        <v>22</v>
      </c>
      <c r="I15" s="1715" t="s">
        <v>22</v>
      </c>
    </row>
    <row customHeight="1" ht="11.25">
      <c r="A16" s="1715" t="s">
        <v>1798</v>
      </c>
      <c r="B16" s="1715" t="s">
        <v>4076</v>
      </c>
      <c r="C16" s="1715" t="s">
        <v>22</v>
      </c>
      <c r="D16" s="1715" t="s">
        <v>4054</v>
      </c>
      <c r="E16" s="1715" t="s">
        <v>4077</v>
      </c>
      <c r="F16" s="1715" t="s">
        <v>22</v>
      </c>
      <c r="G16" s="1715" t="s">
        <v>22</v>
      </c>
      <c r="H16" s="1715" t="s">
        <v>22</v>
      </c>
      <c r="I16" s="1715" t="s">
        <v>22</v>
      </c>
    </row>
    <row customHeight="1" ht="11.25">
      <c r="A17" s="1715" t="s">
        <v>1804</v>
      </c>
      <c r="B17" s="1715" t="s">
        <v>4078</v>
      </c>
      <c r="C17" s="1715" t="s">
        <v>22</v>
      </c>
      <c r="D17" s="1715" t="s">
        <v>4057</v>
      </c>
      <c r="E17" s="1715" t="s">
        <v>4058</v>
      </c>
      <c r="F17" s="1715" t="s">
        <v>22</v>
      </c>
      <c r="G17" s="1715" t="s">
        <v>22</v>
      </c>
      <c r="H17" s="1715" t="s">
        <v>22</v>
      </c>
      <c r="I17" s="1715" t="s">
        <v>22</v>
      </c>
    </row>
    <row customHeight="1" ht="11.25">
      <c r="A18" s="1715" t="s">
        <v>1816</v>
      </c>
      <c r="B18" s="1715" t="s">
        <v>4079</v>
      </c>
      <c r="C18" s="1715" t="s">
        <v>22</v>
      </c>
      <c r="D18" s="1715" t="s">
        <v>4080</v>
      </c>
      <c r="E18" s="1715" t="s">
        <v>4072</v>
      </c>
      <c r="F18" s="1715" t="s">
        <v>22</v>
      </c>
      <c r="G18" s="1715" t="s">
        <v>22</v>
      </c>
      <c r="H18" s="1715" t="s">
        <v>22</v>
      </c>
      <c r="I18" s="1715" t="s">
        <v>22</v>
      </c>
    </row>
    <row customHeight="1" ht="11.25">
      <c r="A19" s="1715" t="s">
        <v>1830</v>
      </c>
      <c r="B19" s="1715" t="s">
        <v>4081</v>
      </c>
      <c r="C19" s="1715" t="s">
        <v>22</v>
      </c>
      <c r="D19" s="1715" t="s">
        <v>4082</v>
      </c>
      <c r="E19" s="1715" t="s">
        <v>4083</v>
      </c>
      <c r="F19" s="1715" t="s">
        <v>22</v>
      </c>
      <c r="G19" s="1715" t="s">
        <v>22</v>
      </c>
      <c r="H19" s="1715" t="s">
        <v>22</v>
      </c>
      <c r="I19" s="1715" t="s">
        <v>22</v>
      </c>
    </row>
    <row customHeight="1" ht="11.25">
      <c r="A20" s="1715" t="s">
        <v>1842</v>
      </c>
      <c r="B20" s="1715" t="s">
        <v>4084</v>
      </c>
      <c r="C20" s="1715" t="s">
        <v>22</v>
      </c>
      <c r="D20" s="1715" t="s">
        <v>4085</v>
      </c>
      <c r="E20" s="1715" t="s">
        <v>4058</v>
      </c>
      <c r="F20" s="1715" t="s">
        <v>22</v>
      </c>
      <c r="G20" s="1715" t="s">
        <v>22</v>
      </c>
      <c r="H20" s="1715" t="s">
        <v>22</v>
      </c>
      <c r="I20" s="1715" t="s">
        <v>22</v>
      </c>
    </row>
    <row customHeight="1" ht="11.25">
      <c r="A21" s="1715" t="s">
        <v>1851</v>
      </c>
      <c r="B21" s="1715" t="s">
        <v>4086</v>
      </c>
      <c r="C21" s="1715" t="s">
        <v>22</v>
      </c>
      <c r="D21" s="1715" t="s">
        <v>4087</v>
      </c>
      <c r="E21" s="1715" t="s">
        <v>4088</v>
      </c>
      <c r="F21" s="1715" t="s">
        <v>22</v>
      </c>
      <c r="G21" s="1715" t="s">
        <v>22</v>
      </c>
      <c r="H21" s="1715" t="s">
        <v>22</v>
      </c>
      <c r="I21" s="1715" t="s">
        <v>22</v>
      </c>
    </row>
    <row customHeight="1" ht="11.25">
      <c r="A22" s="1715" t="s">
        <v>1867</v>
      </c>
      <c r="B22" s="1715" t="s">
        <v>4089</v>
      </c>
      <c r="C22" s="1715" t="s">
        <v>22</v>
      </c>
      <c r="D22" s="1715" t="s">
        <v>4090</v>
      </c>
      <c r="E22" s="1715" t="s">
        <v>4091</v>
      </c>
      <c r="F22" s="1715" t="s">
        <v>22</v>
      </c>
      <c r="G22" s="1715" t="s">
        <v>22</v>
      </c>
      <c r="H22" s="1715" t="s">
        <v>22</v>
      </c>
      <c r="I22" s="1715" t="s">
        <v>22</v>
      </c>
    </row>
    <row customHeight="1" ht="11.25">
      <c r="A23" s="1715" t="s">
        <v>1874</v>
      </c>
      <c r="B23" s="1715" t="s">
        <v>4092</v>
      </c>
      <c r="C23" s="1715" t="s">
        <v>22</v>
      </c>
      <c r="D23" s="1715" t="s">
        <v>4061</v>
      </c>
      <c r="E23" s="1715" t="s">
        <v>4093</v>
      </c>
      <c r="F23" s="1715" t="s">
        <v>22</v>
      </c>
      <c r="G23" s="1715" t="s">
        <v>22</v>
      </c>
      <c r="H23" s="1715" t="s">
        <v>22</v>
      </c>
      <c r="I23" s="1715" t="s">
        <v>22</v>
      </c>
    </row>
    <row customHeight="1" ht="11.25">
      <c r="A24" s="1715" t="s">
        <v>1882</v>
      </c>
      <c r="B24" s="1715" t="s">
        <v>4094</v>
      </c>
      <c r="C24" s="1715" t="s">
        <v>22</v>
      </c>
      <c r="D24" s="1715" t="s">
        <v>4054</v>
      </c>
      <c r="E24" s="1715" t="s">
        <v>4095</v>
      </c>
      <c r="F24" s="1715" t="s">
        <v>22</v>
      </c>
      <c r="G24" s="1715" t="s">
        <v>22</v>
      </c>
      <c r="H24" s="1715" t="s">
        <v>22</v>
      </c>
      <c r="I24" s="1715" t="s">
        <v>22</v>
      </c>
    </row>
    <row customHeight="1" ht="11.25">
      <c r="A25" s="1715" t="s">
        <v>1889</v>
      </c>
      <c r="B25" s="1715" t="s">
        <v>4096</v>
      </c>
      <c r="C25" s="1715" t="s">
        <v>22</v>
      </c>
      <c r="D25" s="1715" t="s">
        <v>4057</v>
      </c>
      <c r="E25" s="1715" t="s">
        <v>4095</v>
      </c>
      <c r="F25" s="1715" t="s">
        <v>22</v>
      </c>
      <c r="G25" s="1715" t="s">
        <v>22</v>
      </c>
      <c r="H25" s="1715" t="s">
        <v>22</v>
      </c>
      <c r="I25" s="1715" t="s">
        <v>22</v>
      </c>
    </row>
    <row customHeight="1" ht="11.25">
      <c r="A26" s="1715" t="s">
        <v>1893</v>
      </c>
      <c r="B26" s="1715" t="s">
        <v>4097</v>
      </c>
      <c r="C26" s="1715" t="s">
        <v>22</v>
      </c>
      <c r="D26" s="1715" t="s">
        <v>4061</v>
      </c>
      <c r="E26" s="1715" t="s">
        <v>4098</v>
      </c>
      <c r="F26" s="1715" t="s">
        <v>22</v>
      </c>
      <c r="G26" s="1715" t="s">
        <v>22</v>
      </c>
      <c r="H26" s="1715" t="s">
        <v>22</v>
      </c>
      <c r="I26" s="1715" t="s">
        <v>22</v>
      </c>
    </row>
    <row customHeight="1" ht="11.25">
      <c r="A27" s="1715" t="s">
        <v>1898</v>
      </c>
      <c r="B27" s="1715" t="s">
        <v>4099</v>
      </c>
      <c r="C27" s="1715" t="s">
        <v>22</v>
      </c>
      <c r="D27" s="1715" t="s">
        <v>4100</v>
      </c>
      <c r="E27" s="1715" t="s">
        <v>4101</v>
      </c>
      <c r="F27" s="1715" t="s">
        <v>22</v>
      </c>
      <c r="G27" s="1715" t="s">
        <v>22</v>
      </c>
      <c r="H27" s="1715" t="s">
        <v>22</v>
      </c>
      <c r="I27" s="1715" t="s">
        <v>22</v>
      </c>
    </row>
    <row customHeight="1" ht="11.25">
      <c r="A28" s="1715" t="s">
        <v>1906</v>
      </c>
      <c r="B28" s="1715" t="s">
        <v>4102</v>
      </c>
      <c r="C28" s="1715" t="s">
        <v>22</v>
      </c>
      <c r="D28" s="1715" t="s">
        <v>4103</v>
      </c>
      <c r="E28" s="1715" t="s">
        <v>4104</v>
      </c>
      <c r="F28" s="1715" t="s">
        <v>22</v>
      </c>
      <c r="G28" s="1715" t="s">
        <v>22</v>
      </c>
      <c r="H28" s="1715" t="s">
        <v>22</v>
      </c>
      <c r="I28" s="1715" t="s">
        <v>22</v>
      </c>
    </row>
    <row customHeight="1" ht="11.25">
      <c r="A29" s="1715" t="s">
        <v>1908</v>
      </c>
      <c r="B29" s="1715" t="s">
        <v>4105</v>
      </c>
      <c r="C29" s="1715" t="s">
        <v>22</v>
      </c>
      <c r="D29" s="1715" t="s">
        <v>4103</v>
      </c>
      <c r="E29" s="1715" t="s">
        <v>4055</v>
      </c>
      <c r="F29" s="1715" t="s">
        <v>22</v>
      </c>
      <c r="G29" s="1715" t="s">
        <v>22</v>
      </c>
      <c r="H29" s="1715" t="s">
        <v>22</v>
      </c>
      <c r="I29" s="1715" t="s">
        <v>22</v>
      </c>
    </row>
    <row customHeight="1" ht="11.25">
      <c r="A30" s="1715" t="s">
        <v>1911</v>
      </c>
      <c r="B30" s="1715" t="s">
        <v>4106</v>
      </c>
      <c r="C30" s="1715" t="s">
        <v>22</v>
      </c>
      <c r="D30" s="1715" t="s">
        <v>4057</v>
      </c>
      <c r="E30" s="1715" t="s">
        <v>4072</v>
      </c>
      <c r="F30" s="1715" t="s">
        <v>22</v>
      </c>
      <c r="G30" s="1715" t="s">
        <v>22</v>
      </c>
      <c r="H30" s="1715" t="s">
        <v>22</v>
      </c>
      <c r="I30" s="1715" t="s">
        <v>22</v>
      </c>
    </row>
    <row customHeight="1" ht="11.25">
      <c r="A31" s="1715" t="s">
        <v>1917</v>
      </c>
      <c r="B31" s="1715" t="s">
        <v>4107</v>
      </c>
      <c r="C31" s="1715" t="s">
        <v>22</v>
      </c>
      <c r="D31" s="1715" t="s">
        <v>4057</v>
      </c>
      <c r="E31" s="1715" t="s">
        <v>4108</v>
      </c>
      <c r="F31" s="1715" t="s">
        <v>22</v>
      </c>
      <c r="G31" s="1715" t="s">
        <v>22</v>
      </c>
      <c r="H31" s="1715" t="s">
        <v>22</v>
      </c>
      <c r="I31" s="1715" t="s">
        <v>22</v>
      </c>
    </row>
    <row customHeight="1" ht="11.25">
      <c r="A32" s="1715" t="s">
        <v>1919</v>
      </c>
      <c r="B32" s="1715" t="s">
        <v>4109</v>
      </c>
      <c r="C32" s="1715" t="s">
        <v>22</v>
      </c>
      <c r="D32" s="1715" t="s">
        <v>4087</v>
      </c>
      <c r="E32" s="1715" t="s">
        <v>4110</v>
      </c>
      <c r="F32" s="1715" t="s">
        <v>22</v>
      </c>
      <c r="G32" s="1715" t="s">
        <v>22</v>
      </c>
      <c r="H32" s="1715" t="s">
        <v>22</v>
      </c>
      <c r="I32" s="1715" t="s">
        <v>22</v>
      </c>
    </row>
    <row customHeight="1" ht="11.25">
      <c r="A33" s="1715" t="s">
        <v>1921</v>
      </c>
      <c r="B33" s="1715" t="s">
        <v>4111</v>
      </c>
      <c r="C33" s="1715" t="s">
        <v>22</v>
      </c>
      <c r="D33" s="1715" t="s">
        <v>4103</v>
      </c>
      <c r="E33" s="1715" t="s">
        <v>4083</v>
      </c>
      <c r="F33" s="1715" t="s">
        <v>22</v>
      </c>
      <c r="G33" s="1715" t="s">
        <v>22</v>
      </c>
      <c r="H33" s="1715" t="s">
        <v>22</v>
      </c>
      <c r="I33" s="1715" t="s">
        <v>22</v>
      </c>
    </row>
    <row customHeight="1" ht="11.25">
      <c r="A34" s="1715" t="s">
        <v>1923</v>
      </c>
      <c r="B34" s="1715" t="s">
        <v>4112</v>
      </c>
      <c r="C34" s="1715" t="s">
        <v>22</v>
      </c>
      <c r="D34" s="1715" t="s">
        <v>4103</v>
      </c>
      <c r="E34" s="1715" t="s">
        <v>4063</v>
      </c>
      <c r="F34" s="1715" t="s">
        <v>22</v>
      </c>
      <c r="G34" s="1715" t="s">
        <v>22</v>
      </c>
      <c r="H34" s="1715" t="s">
        <v>22</v>
      </c>
      <c r="I34" s="1715" t="s">
        <v>22</v>
      </c>
    </row>
    <row customHeight="1" ht="11.25">
      <c r="A35" s="1715" t="s">
        <v>1928</v>
      </c>
      <c r="B35" s="1715" t="s">
        <v>4113</v>
      </c>
      <c r="C35" s="1715" t="s">
        <v>22</v>
      </c>
      <c r="D35" s="1715" t="s">
        <v>4103</v>
      </c>
      <c r="E35" s="1715" t="s">
        <v>4095</v>
      </c>
      <c r="F35" s="1715" t="s">
        <v>22</v>
      </c>
      <c r="G35" s="1715" t="s">
        <v>22</v>
      </c>
      <c r="H35" s="1715" t="s">
        <v>22</v>
      </c>
      <c r="I35" s="1715" t="s">
        <v>22</v>
      </c>
    </row>
    <row customHeight="1" ht="11.25">
      <c r="A36" s="1715" t="s">
        <v>1933</v>
      </c>
      <c r="B36" s="1715" t="s">
        <v>4114</v>
      </c>
      <c r="C36" s="1715" t="s">
        <v>22</v>
      </c>
      <c r="D36" s="1715" t="s">
        <v>4115</v>
      </c>
      <c r="E36" s="1715" t="s">
        <v>4110</v>
      </c>
      <c r="F36" s="1715" t="s">
        <v>22</v>
      </c>
      <c r="G36" s="1715" t="s">
        <v>22</v>
      </c>
      <c r="H36" s="1715" t="s">
        <v>22</v>
      </c>
      <c r="I36" s="1715" t="s">
        <v>22</v>
      </c>
    </row>
    <row customHeight="1" ht="11.25">
      <c r="A37" s="1715" t="s">
        <v>1937</v>
      </c>
      <c r="B37" s="1715" t="s">
        <v>4116</v>
      </c>
      <c r="C37" s="1715" t="s">
        <v>22</v>
      </c>
      <c r="D37" s="1715" t="s">
        <v>4117</v>
      </c>
      <c r="E37" s="1715" t="s">
        <v>4118</v>
      </c>
      <c r="F37" s="1715" t="s">
        <v>22</v>
      </c>
      <c r="G37" s="1715" t="s">
        <v>22</v>
      </c>
      <c r="H37" s="1715" t="s">
        <v>22</v>
      </c>
      <c r="I37" s="1715" t="s">
        <v>22</v>
      </c>
    </row>
    <row customHeight="1" ht="11.25">
      <c r="A38" s="1715" t="s">
        <v>1945</v>
      </c>
      <c r="B38" s="1715" t="s">
        <v>4119</v>
      </c>
      <c r="C38" s="1715" t="s">
        <v>22</v>
      </c>
      <c r="D38" s="1715" t="s">
        <v>4087</v>
      </c>
      <c r="E38" s="1715" t="s">
        <v>4088</v>
      </c>
      <c r="F38" s="1715" t="s">
        <v>22</v>
      </c>
      <c r="G38" s="1715" t="s">
        <v>22</v>
      </c>
      <c r="H38" s="1715" t="s">
        <v>22</v>
      </c>
      <c r="I38" s="1715" t="s">
        <v>22</v>
      </c>
    </row>
    <row customHeight="1" ht="11.25">
      <c r="A39" s="1715" t="s">
        <v>1951</v>
      </c>
      <c r="B39" s="1715" t="s">
        <v>4120</v>
      </c>
      <c r="C39" s="1715" t="s">
        <v>22</v>
      </c>
      <c r="D39" s="1715" t="s">
        <v>4054</v>
      </c>
      <c r="E39" s="1715" t="s">
        <v>4121</v>
      </c>
      <c r="F39" s="1715" t="s">
        <v>22</v>
      </c>
      <c r="G39" s="1715" t="s">
        <v>22</v>
      </c>
      <c r="H39" s="1715" t="s">
        <v>22</v>
      </c>
      <c r="I39" s="1715" t="s">
        <v>22</v>
      </c>
    </row>
    <row customHeight="1" ht="11.25">
      <c r="A40" s="1715" t="s">
        <v>1956</v>
      </c>
      <c r="B40" s="1715" t="s">
        <v>4122</v>
      </c>
      <c r="C40" s="1715" t="s">
        <v>22</v>
      </c>
      <c r="D40" s="1715" t="s">
        <v>4123</v>
      </c>
      <c r="E40" s="1715" t="s">
        <v>4124</v>
      </c>
      <c r="F40" s="1715" t="s">
        <v>22</v>
      </c>
      <c r="G40" s="1715" t="s">
        <v>22</v>
      </c>
      <c r="H40" s="1715" t="s">
        <v>22</v>
      </c>
      <c r="I40" s="1715" t="s">
        <v>22</v>
      </c>
    </row>
    <row customHeight="1" ht="11.25">
      <c r="A41" s="1715" t="s">
        <v>1960</v>
      </c>
      <c r="B41" s="1715" t="s">
        <v>4125</v>
      </c>
      <c r="C41" s="1715" t="s">
        <v>22</v>
      </c>
      <c r="D41" s="1715" t="s">
        <v>4126</v>
      </c>
      <c r="E41" s="1715" t="s">
        <v>4110</v>
      </c>
      <c r="F41" s="1715" t="s">
        <v>22</v>
      </c>
      <c r="G41" s="1715" t="s">
        <v>22</v>
      </c>
      <c r="H41" s="1715" t="s">
        <v>22</v>
      </c>
      <c r="I41" s="1715" t="s">
        <v>22</v>
      </c>
    </row>
    <row customHeight="1" ht="11.25">
      <c r="A42" s="1715" t="s">
        <v>1963</v>
      </c>
      <c r="B42" s="1715" t="s">
        <v>4127</v>
      </c>
      <c r="C42" s="1715" t="s">
        <v>22</v>
      </c>
      <c r="D42" s="1715" t="s">
        <v>4128</v>
      </c>
      <c r="E42" s="1715" t="s">
        <v>4077</v>
      </c>
      <c r="F42" s="1715" t="s">
        <v>22</v>
      </c>
      <c r="G42" s="1715" t="s">
        <v>22</v>
      </c>
      <c r="H42" s="1715" t="s">
        <v>22</v>
      </c>
      <c r="I42" s="1715" t="s">
        <v>22</v>
      </c>
    </row>
    <row customHeight="1" ht="11.25">
      <c r="A43" s="1715" t="s">
        <v>1970</v>
      </c>
      <c r="B43" s="1715" t="s">
        <v>4129</v>
      </c>
      <c r="C43" s="1715" t="s">
        <v>22</v>
      </c>
      <c r="D43" s="1715" t="s">
        <v>4087</v>
      </c>
      <c r="E43" s="1715" t="s">
        <v>4074</v>
      </c>
      <c r="F43" s="1715" t="s">
        <v>22</v>
      </c>
      <c r="G43" s="1715" t="s">
        <v>22</v>
      </c>
      <c r="H43" s="1715" t="s">
        <v>22</v>
      </c>
      <c r="I43" s="1715" t="s">
        <v>22</v>
      </c>
    </row>
    <row customHeight="1" ht="11.25">
      <c r="A44" s="1715" t="s">
        <v>1979</v>
      </c>
      <c r="B44" s="1715" t="s">
        <v>4130</v>
      </c>
      <c r="C44" s="1715" t="s">
        <v>22</v>
      </c>
      <c r="D44" s="1715" t="s">
        <v>4131</v>
      </c>
      <c r="E44" s="1715" t="s">
        <v>4108</v>
      </c>
      <c r="F44" s="1715" t="s">
        <v>22</v>
      </c>
      <c r="G44" s="1715" t="s">
        <v>22</v>
      </c>
      <c r="H44" s="1715" t="s">
        <v>22</v>
      </c>
      <c r="I44" s="1715" t="s">
        <v>22</v>
      </c>
    </row>
    <row customHeight="1" ht="11.25">
      <c r="A45" s="1715" t="s">
        <v>1984</v>
      </c>
      <c r="B45" s="1715" t="s">
        <v>4132</v>
      </c>
      <c r="C45" s="1715" t="s">
        <v>22</v>
      </c>
      <c r="D45" s="1715" t="s">
        <v>4103</v>
      </c>
      <c r="E45" s="1715" t="s">
        <v>4055</v>
      </c>
      <c r="F45" s="1715" t="s">
        <v>22</v>
      </c>
      <c r="G45" s="1715" t="s">
        <v>22</v>
      </c>
      <c r="H45" s="1715" t="s">
        <v>22</v>
      </c>
      <c r="I45" s="1715" t="s">
        <v>22</v>
      </c>
    </row>
    <row customHeight="1" ht="11.25">
      <c r="A46" s="1715" t="s">
        <v>1987</v>
      </c>
      <c r="B46" s="1715" t="s">
        <v>4133</v>
      </c>
      <c r="C46" s="1715" t="s">
        <v>22</v>
      </c>
      <c r="D46" s="1715" t="s">
        <v>4134</v>
      </c>
      <c r="E46" s="1715" t="s">
        <v>4104</v>
      </c>
      <c r="F46" s="1715" t="s">
        <v>22</v>
      </c>
      <c r="G46" s="1715" t="s">
        <v>22</v>
      </c>
      <c r="H46" s="1715" t="s">
        <v>22</v>
      </c>
      <c r="I46" s="1715" t="s">
        <v>22</v>
      </c>
    </row>
    <row customHeight="1" ht="11.25">
      <c r="A47" s="1715" t="s">
        <v>125</v>
      </c>
      <c r="B47" s="1715" t="s">
        <v>4135</v>
      </c>
      <c r="C47" s="1715" t="s">
        <v>22</v>
      </c>
      <c r="D47" s="1715" t="s">
        <v>4136</v>
      </c>
      <c r="E47" s="1715" t="s">
        <v>4063</v>
      </c>
      <c r="F47" s="1715" t="s">
        <v>22</v>
      </c>
      <c r="G47" s="1715" t="s">
        <v>22</v>
      </c>
      <c r="H47" s="1715" t="s">
        <v>22</v>
      </c>
      <c r="I47" s="1715" t="s">
        <v>22</v>
      </c>
    </row>
    <row customHeight="1" ht="11.25">
      <c r="A48" s="1715" t="s">
        <v>1997</v>
      </c>
      <c r="B48" s="1715" t="s">
        <v>4137</v>
      </c>
      <c r="C48" s="1715" t="s">
        <v>22</v>
      </c>
      <c r="D48" s="1715" t="s">
        <v>4057</v>
      </c>
      <c r="E48" s="1715" t="s">
        <v>4063</v>
      </c>
      <c r="F48" s="1715" t="s">
        <v>22</v>
      </c>
      <c r="G48" s="1715" t="s">
        <v>22</v>
      </c>
      <c r="H48" s="1715" t="s">
        <v>22</v>
      </c>
      <c r="I48" s="1715" t="s">
        <v>22</v>
      </c>
    </row>
    <row customHeight="1" ht="11.25">
      <c r="A49" s="1715" t="s">
        <v>2000</v>
      </c>
      <c r="B49" s="1715" t="s">
        <v>4138</v>
      </c>
      <c r="C49" s="1715" t="s">
        <v>22</v>
      </c>
      <c r="D49" s="1715" t="s">
        <v>4057</v>
      </c>
      <c r="E49" s="1715" t="s">
        <v>4063</v>
      </c>
      <c r="F49" s="1715" t="s">
        <v>22</v>
      </c>
      <c r="G49" s="1715" t="s">
        <v>22</v>
      </c>
      <c r="H49" s="1715" t="s">
        <v>22</v>
      </c>
      <c r="I49" s="1715" t="s">
        <v>22</v>
      </c>
    </row>
    <row customHeight="1" ht="11.25">
      <c r="A50" s="1715" t="s">
        <v>2004</v>
      </c>
      <c r="B50" s="1715" t="s">
        <v>4139</v>
      </c>
      <c r="C50" s="1715" t="s">
        <v>22</v>
      </c>
      <c r="D50" s="1715" t="s">
        <v>4057</v>
      </c>
      <c r="E50" s="1715" t="s">
        <v>4140</v>
      </c>
      <c r="F50" s="1715" t="s">
        <v>22</v>
      </c>
      <c r="G50" s="1715" t="s">
        <v>22</v>
      </c>
      <c r="H50" s="1715" t="s">
        <v>22</v>
      </c>
      <c r="I50" s="1715" t="s">
        <v>22</v>
      </c>
    </row>
    <row customHeight="1" ht="11.25">
      <c r="A51" s="1715" t="s">
        <v>2009</v>
      </c>
      <c r="B51" s="1715" t="s">
        <v>4141</v>
      </c>
      <c r="C51" s="1715" t="s">
        <v>22</v>
      </c>
      <c r="D51" s="1715" t="s">
        <v>4054</v>
      </c>
      <c r="E51" s="1715" t="s">
        <v>4055</v>
      </c>
      <c r="F51" s="1715" t="s">
        <v>22</v>
      </c>
      <c r="G51" s="1715" t="s">
        <v>22</v>
      </c>
      <c r="H51" s="1715" t="s">
        <v>22</v>
      </c>
      <c r="I51" s="1715" t="s">
        <v>22</v>
      </c>
    </row>
    <row customHeight="1" ht="11.25">
      <c r="A52" s="1715" t="s">
        <v>2013</v>
      </c>
      <c r="B52" s="1715" t="s">
        <v>4142</v>
      </c>
      <c r="C52" s="1715" t="s">
        <v>22</v>
      </c>
      <c r="D52" s="1715" t="s">
        <v>4143</v>
      </c>
      <c r="E52" s="1715" t="s">
        <v>4144</v>
      </c>
      <c r="F52" s="1715" t="s">
        <v>22</v>
      </c>
      <c r="G52" s="1715" t="s">
        <v>22</v>
      </c>
      <c r="H52" s="1715" t="s">
        <v>22</v>
      </c>
      <c r="I52" s="1715" t="s">
        <v>22</v>
      </c>
    </row>
    <row customHeight="1" ht="11.25">
      <c r="A53" s="1715" t="s">
        <v>2015</v>
      </c>
      <c r="B53" s="1715" t="s">
        <v>4145</v>
      </c>
      <c r="C53" s="1715" t="s">
        <v>22</v>
      </c>
      <c r="D53" s="1715" t="s">
        <v>4061</v>
      </c>
      <c r="E53" s="1715" t="s">
        <v>4093</v>
      </c>
      <c r="F53" s="1715" t="s">
        <v>22</v>
      </c>
      <c r="G53" s="1715" t="s">
        <v>22</v>
      </c>
      <c r="H53" s="1715" t="s">
        <v>22</v>
      </c>
      <c r="I53" s="1715" t="s">
        <v>22</v>
      </c>
    </row>
    <row customHeight="1" ht="11.25">
      <c r="A54" s="1715" t="s">
        <v>2018</v>
      </c>
      <c r="B54" s="1715" t="s">
        <v>4146</v>
      </c>
      <c r="C54" s="1715" t="s">
        <v>22</v>
      </c>
      <c r="D54" s="1715" t="s">
        <v>4061</v>
      </c>
      <c r="E54" s="1715" t="s">
        <v>4058</v>
      </c>
      <c r="F54" s="1715" t="s">
        <v>22</v>
      </c>
      <c r="G54" s="1715" t="s">
        <v>22</v>
      </c>
      <c r="H54" s="1715" t="s">
        <v>22</v>
      </c>
      <c r="I54" s="1715" t="s">
        <v>22</v>
      </c>
    </row>
    <row customHeight="1" ht="11.25">
      <c r="A55" s="1715" t="s">
        <v>2023</v>
      </c>
      <c r="B55" s="1715" t="s">
        <v>4147</v>
      </c>
      <c r="C55" s="1715" t="s">
        <v>22</v>
      </c>
      <c r="D55" s="1715" t="s">
        <v>4061</v>
      </c>
      <c r="E55" s="1715" t="s">
        <v>4093</v>
      </c>
      <c r="F55" s="1715" t="s">
        <v>22</v>
      </c>
      <c r="G55" s="1715" t="s">
        <v>22</v>
      </c>
      <c r="H55" s="1715" t="s">
        <v>22</v>
      </c>
      <c r="I55" s="1715" t="s">
        <v>22</v>
      </c>
    </row>
    <row customHeight="1" ht="11.25">
      <c r="A56" s="1715" t="s">
        <v>2027</v>
      </c>
      <c r="B56" s="1715" t="s">
        <v>4148</v>
      </c>
      <c r="C56" s="1715" t="s">
        <v>22</v>
      </c>
      <c r="D56" s="1715" t="s">
        <v>4057</v>
      </c>
      <c r="E56" s="1715" t="s">
        <v>4093</v>
      </c>
      <c r="F56" s="1715" t="s">
        <v>22</v>
      </c>
      <c r="G56" s="1715" t="s">
        <v>22</v>
      </c>
      <c r="H56" s="1715" t="s">
        <v>22</v>
      </c>
      <c r="I56" s="1715" t="s">
        <v>22</v>
      </c>
    </row>
    <row customHeight="1" ht="11.25">
      <c r="A57" s="1715" t="s">
        <v>2030</v>
      </c>
      <c r="B57" s="1715" t="s">
        <v>4149</v>
      </c>
      <c r="C57" s="1715" t="s">
        <v>22</v>
      </c>
      <c r="D57" s="1715" t="s">
        <v>4057</v>
      </c>
      <c r="E57" s="1715" t="s">
        <v>4058</v>
      </c>
      <c r="F57" s="1715" t="s">
        <v>22</v>
      </c>
      <c r="G57" s="1715" t="s">
        <v>22</v>
      </c>
      <c r="H57" s="1715" t="s">
        <v>22</v>
      </c>
      <c r="I57" s="1715" t="s">
        <v>22</v>
      </c>
    </row>
    <row customHeight="1" ht="11.25">
      <c r="A58" s="1715" t="s">
        <v>2033</v>
      </c>
      <c r="B58" s="1715" t="s">
        <v>4150</v>
      </c>
      <c r="C58" s="1715" t="s">
        <v>22</v>
      </c>
      <c r="D58" s="1715" t="s">
        <v>4151</v>
      </c>
      <c r="E58" s="1715" t="s">
        <v>4152</v>
      </c>
      <c r="F58" s="1715" t="s">
        <v>22</v>
      </c>
      <c r="G58" s="1715" t="s">
        <v>22</v>
      </c>
      <c r="H58" s="1715" t="s">
        <v>22</v>
      </c>
      <c r="I58" s="1715" t="s">
        <v>22</v>
      </c>
    </row>
    <row customHeight="1" ht="11.25">
      <c r="A59" s="1715" t="s">
        <v>2037</v>
      </c>
      <c r="B59" s="1715" t="s">
        <v>4153</v>
      </c>
      <c r="C59" s="1715" t="s">
        <v>22</v>
      </c>
      <c r="D59" s="1715" t="s">
        <v>4154</v>
      </c>
      <c r="E59" s="1715" t="s">
        <v>4104</v>
      </c>
      <c r="F59" s="1715" t="s">
        <v>22</v>
      </c>
      <c r="G59" s="1715" t="s">
        <v>22</v>
      </c>
      <c r="H59" s="1715" t="s">
        <v>22</v>
      </c>
      <c r="I59" s="1715" t="s">
        <v>22</v>
      </c>
    </row>
    <row customHeight="1" ht="11.25">
      <c r="A60" s="1715" t="s">
        <v>2040</v>
      </c>
      <c r="B60" s="1715" t="s">
        <v>4155</v>
      </c>
      <c r="C60" s="1715" t="s">
        <v>22</v>
      </c>
      <c r="D60" s="1715" t="s">
        <v>4154</v>
      </c>
      <c r="E60" s="1715" t="s">
        <v>4098</v>
      </c>
      <c r="F60" s="1715" t="s">
        <v>22</v>
      </c>
      <c r="G60" s="1715" t="s">
        <v>22</v>
      </c>
      <c r="H60" s="1715" t="s">
        <v>22</v>
      </c>
      <c r="I60" s="1715" t="s">
        <v>22</v>
      </c>
    </row>
    <row customHeight="1" ht="11.25">
      <c r="A61" s="1715" t="s">
        <v>3548</v>
      </c>
      <c r="B61" s="1715" t="s">
        <v>4156</v>
      </c>
      <c r="C61" s="1715" t="s">
        <v>22</v>
      </c>
      <c r="D61" s="1715" t="s">
        <v>4154</v>
      </c>
      <c r="E61" s="1715" t="s">
        <v>4098</v>
      </c>
      <c r="F61" s="1715" t="s">
        <v>22</v>
      </c>
      <c r="G61" s="1715" t="s">
        <v>22</v>
      </c>
      <c r="H61" s="1715" t="s">
        <v>22</v>
      </c>
      <c r="I61" s="1715" t="s">
        <v>22</v>
      </c>
    </row>
    <row customHeight="1" ht="11.25">
      <c r="A62" s="1715" t="s">
        <v>3551</v>
      </c>
      <c r="B62" s="1715" t="s">
        <v>4157</v>
      </c>
      <c r="C62" s="1715" t="s">
        <v>22</v>
      </c>
      <c r="D62" s="1715" t="s">
        <v>4054</v>
      </c>
      <c r="E62" s="1715" t="s">
        <v>4088</v>
      </c>
      <c r="F62" s="1715" t="s">
        <v>22</v>
      </c>
      <c r="G62" s="1715" t="s">
        <v>22</v>
      </c>
      <c r="H62" s="1715" t="s">
        <v>22</v>
      </c>
      <c r="I62" s="1715" t="s">
        <v>22</v>
      </c>
    </row>
    <row customHeight="1" ht="11.25">
      <c r="A63" s="1715" t="s">
        <v>3554</v>
      </c>
      <c r="B63" s="1715" t="s">
        <v>4158</v>
      </c>
      <c r="C63" s="1715" t="s">
        <v>22</v>
      </c>
      <c r="D63" s="1715" t="s">
        <v>4159</v>
      </c>
      <c r="E63" s="1715" t="s">
        <v>4083</v>
      </c>
      <c r="F63" s="1715" t="s">
        <v>22</v>
      </c>
      <c r="G63" s="1715" t="s">
        <v>22</v>
      </c>
      <c r="H63" s="1715" t="s">
        <v>22</v>
      </c>
      <c r="I63" s="1715" t="s">
        <v>22</v>
      </c>
    </row>
    <row customHeight="1" ht="11.25">
      <c r="A64" s="1715" t="s">
        <v>3557</v>
      </c>
      <c r="B64" s="1715" t="s">
        <v>4160</v>
      </c>
      <c r="C64" s="1715" t="s">
        <v>22</v>
      </c>
      <c r="D64" s="1715" t="s">
        <v>4087</v>
      </c>
      <c r="E64" s="1715" t="s">
        <v>4161</v>
      </c>
      <c r="F64" s="1715" t="s">
        <v>22</v>
      </c>
      <c r="G64" s="1715" t="s">
        <v>22</v>
      </c>
      <c r="H64" s="1715" t="s">
        <v>22</v>
      </c>
      <c r="I64" s="1715" t="s">
        <v>22</v>
      </c>
    </row>
    <row customHeight="1" ht="11.25">
      <c r="A65" s="1715" t="s">
        <v>3560</v>
      </c>
      <c r="B65" s="1715" t="s">
        <v>4162</v>
      </c>
      <c r="C65" s="1715" t="s">
        <v>22</v>
      </c>
      <c r="D65" s="1715" t="s">
        <v>4103</v>
      </c>
      <c r="E65" s="1715" t="s">
        <v>4163</v>
      </c>
      <c r="F65" s="1715" t="s">
        <v>22</v>
      </c>
      <c r="G65" s="1715" t="s">
        <v>22</v>
      </c>
      <c r="H65" s="1715" t="s">
        <v>22</v>
      </c>
      <c r="I65" s="1715" t="s">
        <v>22</v>
      </c>
    </row>
    <row customHeight="1" ht="11.25">
      <c r="A66" s="1715" t="s">
        <v>3563</v>
      </c>
      <c r="B66" s="1715" t="s">
        <v>4164</v>
      </c>
      <c r="C66" s="1715" t="s">
        <v>22</v>
      </c>
      <c r="D66" s="1715" t="s">
        <v>4123</v>
      </c>
      <c r="E66" s="1715" t="s">
        <v>4165</v>
      </c>
      <c r="F66" s="1715" t="s">
        <v>22</v>
      </c>
      <c r="G66" s="1715" t="s">
        <v>22</v>
      </c>
      <c r="H66" s="1715" t="s">
        <v>22</v>
      </c>
      <c r="I66" s="1715" t="s">
        <v>22</v>
      </c>
    </row>
    <row customHeight="1" ht="11.25">
      <c r="A67" s="1715" t="s">
        <v>2356</v>
      </c>
      <c r="B67" s="1715" t="s">
        <v>4166</v>
      </c>
      <c r="C67" s="1715" t="s">
        <v>22</v>
      </c>
      <c r="D67" s="1715" t="s">
        <v>4123</v>
      </c>
      <c r="E67" s="1715" t="s">
        <v>4167</v>
      </c>
      <c r="F67" s="1715" t="s">
        <v>22</v>
      </c>
      <c r="G67" s="1715" t="s">
        <v>22</v>
      </c>
      <c r="H67" s="1715" t="s">
        <v>22</v>
      </c>
      <c r="I67" s="1715" t="s">
        <v>22</v>
      </c>
    </row>
    <row customHeight="1" ht="11.25">
      <c r="A68" s="1715" t="s">
        <v>3568</v>
      </c>
      <c r="B68" s="1715" t="s">
        <v>4168</v>
      </c>
      <c r="C68" s="1715" t="s">
        <v>22</v>
      </c>
      <c r="D68" s="1715" t="s">
        <v>4103</v>
      </c>
      <c r="E68" s="1715" t="s">
        <v>4055</v>
      </c>
      <c r="F68" s="1715" t="s">
        <v>22</v>
      </c>
      <c r="G68" s="1715" t="s">
        <v>22</v>
      </c>
      <c r="H68" s="1715" t="s">
        <v>22</v>
      </c>
      <c r="I68" s="1715" t="s">
        <v>22</v>
      </c>
    </row>
    <row customHeight="1" ht="11.25">
      <c r="A69" s="1715" t="s">
        <v>2559</v>
      </c>
      <c r="B69" s="1715" t="s">
        <v>4169</v>
      </c>
      <c r="C69" s="1715" t="s">
        <v>22</v>
      </c>
      <c r="D69" s="1715" t="s">
        <v>4170</v>
      </c>
      <c r="E69" s="1715" t="s">
        <v>4104</v>
      </c>
      <c r="F69" s="1715" t="s">
        <v>22</v>
      </c>
      <c r="G69" s="1715" t="s">
        <v>22</v>
      </c>
      <c r="H69" s="1715" t="s">
        <v>22</v>
      </c>
      <c r="I69" s="1715"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F57A38-63AD-C3EB-67FC-0.BEEB6509}"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0FE365-8D27-8FBC-8687-0.EA28D945}"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56" width="9.140625" hidden="1" customWidth="1"/>
    <col min="2" max="2" style="1659" width="9.140625" hidden="1" customWidth="1"/>
    <col min="3" max="3" style="1866" width="3.00390625" customWidth="1"/>
    <col min="4" max="4" style="1659" width="5.00390625" customWidth="1"/>
    <col min="5" max="5" style="1659" width="48.00390625" customWidth="1"/>
    <col min="6" max="6" style="1659" width="38.00390625" customWidth="1"/>
    <col min="7" max="7" style="1659" width="1.7109375" hidden="1" customWidth="1"/>
    <col min="8" max="11" style="1659" width="19.8515625" customWidth="1"/>
    <col min="12" max="12" style="1659" width="9.7109375" customWidth="1"/>
    <col min="13" max="18" style="1659" width="19.8515625" customWidth="1"/>
    <col min="19" max="19" style="1659" width="1.7109375" hidden="1" customWidth="1"/>
    <col min="20" max="22" style="1659" width="19.8515625" hidden="1" customWidth="1"/>
    <col min="23" max="23" style="1659" width="1.7109375" hidden="1" customWidth="1"/>
    <col min="24" max="26" style="1659" width="19.8515625" hidden="1" customWidth="1"/>
    <col min="27" max="27" style="1659" width="1.7109375" hidden="1" customWidth="1"/>
    <col min="28" max="29" style="1659" width="19.8515625" hidden="1" customWidth="1"/>
    <col min="30" max="30" style="1659" width="1.7109375" hidden="1" customWidth="1"/>
    <col min="31" max="31" style="1659" width="103.7109375" customWidth="1"/>
    <col min="32" max="34" style="1659" width="103.7109375" hidden="1" customWidth="1"/>
    <col min="35" max="35" style="1843" width="3.00390625" customWidth="1"/>
    <col min="36" max="38" style="1666" width="10.00390625" customWidth="1"/>
    <col min="39" max="39" style="1666" width="13.7109375" hidden="1" customWidth="1"/>
    <col min="40" max="40" style="1666" width="15.00390625" customWidth="1"/>
    <col min="41" max="41" style="1666" width="16.00390625" customWidth="1"/>
    <col min="42" max="45" style="1666" width="10.00390625" customWidth="1"/>
    <col min="46" max="46" style="1659" width="10.57421875" hidden="1"/>
  </cols>
  <sheetData>
    <row customHeight="1" ht="22.5" hidden="1">
      <c r="E1" s="436"/>
      <c r="F1" s="436"/>
      <c r="G1" s="436"/>
      <c r="H1" s="2241" t="s">
        <v>436</v>
      </c>
      <c r="I1" s="2241"/>
      <c r="J1" s="2241"/>
      <c r="K1" s="2241"/>
      <c r="L1" s="2241"/>
      <c r="M1" s="2241"/>
      <c r="N1" s="2241"/>
      <c r="O1" s="2241"/>
      <c r="P1" s="2241"/>
      <c r="Q1" s="2241"/>
      <c r="R1" s="2241"/>
      <c r="T1" s="2241" t="s">
        <v>437</v>
      </c>
      <c r="U1" s="2241"/>
      <c r="V1" s="2241"/>
      <c r="X1" s="2241" t="s">
        <v>438</v>
      </c>
      <c r="Y1" s="2241"/>
      <c r="Z1" s="2241"/>
      <c r="AB1" s="2241" t="s">
        <v>439</v>
      </c>
      <c r="AC1" s="2241"/>
      <c r="AT1" s="471" t="s">
        <v>14</v>
      </c>
    </row>
    <row customHeight="1" ht="14.25" hidden="1">
      <c r="AT2" s="471">
        <v>0</v>
      </c>
    </row>
    <row s="1637" customFormat="1" customHeight="1" ht="5.25">
      <c r="C3" s="725"/>
      <c r="D3" s="726"/>
      <c r="E3" s="726"/>
      <c r="F3" s="726"/>
      <c r="G3" s="726"/>
      <c r="H3" s="726" t="s">
        <v>440</v>
      </c>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J3" s="535"/>
      <c r="AK3" s="535"/>
      <c r="AL3" s="535"/>
      <c r="AM3" s="535"/>
      <c r="AN3" s="535"/>
      <c r="AO3" s="535"/>
      <c r="AP3" s="535"/>
      <c r="AQ3" s="535"/>
      <c r="AR3" s="535"/>
      <c r="AS3" s="535"/>
      <c r="AT3" s="724">
        <v>5</v>
      </c>
    </row>
    <row customHeight="1" ht="39.75">
      <c r="C4" s="474"/>
      <c r="D4" s="218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82"/>
      <c r="F4" s="2182"/>
      <c r="G4" s="2182"/>
      <c r="H4" s="2182"/>
      <c r="I4" s="2182"/>
      <c r="J4" s="2182"/>
      <c r="K4" s="2182"/>
      <c r="L4" s="2182"/>
      <c r="M4" s="2182"/>
      <c r="N4" s="2182"/>
      <c r="O4" s="2182"/>
      <c r="P4" s="2182"/>
      <c r="Q4" s="2182"/>
      <c r="R4" s="2183"/>
      <c r="S4" s="877"/>
      <c r="T4" s="723"/>
      <c r="U4" s="723"/>
      <c r="V4" s="723"/>
      <c r="W4" s="723"/>
      <c r="X4" s="723"/>
      <c r="Y4" s="723"/>
      <c r="Z4" s="723"/>
      <c r="AA4" s="723"/>
      <c r="AB4" s="723"/>
      <c r="AC4" s="723"/>
      <c r="AD4" s="723"/>
      <c r="AE4" s="515"/>
      <c r="AF4" s="515"/>
      <c r="AG4" s="515"/>
      <c r="AH4" s="515"/>
      <c r="AI4" s="512"/>
      <c r="AT4" s="471">
        <v>38</v>
      </c>
    </row>
    <row s="1659" customFormat="1" customHeight="1" ht="18">
      <c r="A5" s="783"/>
      <c r="C5" s="846"/>
      <c r="D5" s="2238" t="str">
        <f>IF(org=0,"Не определено",org)</f>
        <v>АО "ДГК"</v>
      </c>
      <c r="E5" s="2239"/>
      <c r="F5" s="2239"/>
      <c r="G5" s="2239"/>
      <c r="H5" s="2239"/>
      <c r="I5" s="2239"/>
      <c r="J5" s="2239"/>
      <c r="K5" s="2239"/>
      <c r="L5" s="2239"/>
      <c r="M5" s="2239"/>
      <c r="N5" s="2239"/>
      <c r="O5" s="2239"/>
      <c r="P5" s="2239"/>
      <c r="Q5" s="2239"/>
      <c r="R5" s="2240"/>
      <c r="S5" s="877"/>
      <c r="T5" s="723"/>
      <c r="U5" s="723"/>
      <c r="V5" s="723"/>
      <c r="W5" s="723"/>
      <c r="X5" s="723"/>
      <c r="Y5" s="723"/>
      <c r="Z5" s="723"/>
      <c r="AA5" s="723"/>
      <c r="AB5" s="723"/>
      <c r="AC5" s="723"/>
      <c r="AD5" s="723"/>
      <c r="AE5" s="515"/>
      <c r="AF5" s="515"/>
      <c r="AG5" s="515"/>
      <c r="AH5" s="515"/>
      <c r="AI5" s="512"/>
      <c r="AJ5" s="535"/>
      <c r="AK5" s="535"/>
      <c r="AL5" s="535"/>
      <c r="AM5" s="535"/>
      <c r="AN5" s="535"/>
      <c r="AO5" s="535"/>
      <c r="AP5" s="535"/>
      <c r="AQ5" s="535"/>
      <c r="AR5" s="535"/>
      <c r="AS5" s="535"/>
      <c r="AT5" s="782">
        <v>17</v>
      </c>
    </row>
    <row s="1636" customFormat="1" customHeight="1" ht="11.549999999999999">
      <c r="A6" s="503"/>
      <c r="C6" s="510"/>
      <c r="D6" s="509"/>
      <c r="E6" s="509"/>
      <c r="F6" s="509"/>
      <c r="G6" s="509"/>
      <c r="H6" s="509"/>
      <c r="I6" s="509"/>
      <c r="J6" s="509"/>
      <c r="K6" s="509"/>
      <c r="L6" s="509"/>
      <c r="M6" s="509"/>
      <c r="N6" s="509"/>
      <c r="O6" s="509"/>
      <c r="P6" s="509"/>
      <c r="Q6" s="509"/>
      <c r="R6" s="776"/>
      <c r="S6" s="776"/>
      <c r="T6" s="509"/>
      <c r="U6" s="509"/>
      <c r="V6" s="736"/>
      <c r="W6" s="736"/>
      <c r="X6" s="509"/>
      <c r="Y6" s="509"/>
      <c r="Z6" s="736"/>
      <c r="AA6" s="736"/>
      <c r="AB6" s="509"/>
      <c r="AC6" s="736"/>
      <c r="AD6" s="736"/>
      <c r="AE6" s="509"/>
      <c r="AF6" s="509"/>
      <c r="AG6" s="509"/>
      <c r="AH6" s="509"/>
      <c r="AJ6" s="513"/>
      <c r="AK6" s="513"/>
      <c r="AL6" s="513"/>
      <c r="AM6" s="513"/>
      <c r="AN6" s="513"/>
      <c r="AO6" s="513"/>
      <c r="AP6" s="513"/>
      <c r="AQ6" s="513"/>
      <c r="AR6" s="513"/>
      <c r="AS6" s="513"/>
      <c r="AT6" s="504">
        <v>11</v>
      </c>
    </row>
    <row customHeight="1" ht="14.699999999999998">
      <c r="C7" s="474"/>
      <c r="D7" s="2242" t="s">
        <v>384</v>
      </c>
      <c r="E7" s="2243"/>
      <c r="F7" s="2243"/>
      <c r="G7" s="2243"/>
      <c r="H7" s="2243"/>
      <c r="I7" s="2243"/>
      <c r="J7" s="2243"/>
      <c r="K7" s="2243"/>
      <c r="L7" s="2243"/>
      <c r="M7" s="2243"/>
      <c r="N7" s="2243"/>
      <c r="O7" s="2243"/>
      <c r="P7" s="2243"/>
      <c r="Q7" s="2243"/>
      <c r="R7" s="2243"/>
      <c r="S7" s="2243"/>
      <c r="T7" s="2243"/>
      <c r="U7" s="2243"/>
      <c r="V7" s="2243"/>
      <c r="W7" s="2243"/>
      <c r="X7" s="2243"/>
      <c r="Y7" s="2243"/>
      <c r="Z7" s="2243"/>
      <c r="AA7" s="2243"/>
      <c r="AB7" s="2243"/>
      <c r="AC7" s="2243"/>
      <c r="AD7" s="2244"/>
      <c r="AE7" s="2247" t="s">
        <v>385</v>
      </c>
      <c r="AF7" s="2247" t="s">
        <v>385</v>
      </c>
      <c r="AG7" s="2247" t="s">
        <v>385</v>
      </c>
      <c r="AH7" s="2247" t="s">
        <v>385</v>
      </c>
      <c r="AT7" s="471">
        <v>14</v>
      </c>
    </row>
    <row customHeight="1" ht="27.299999999999997">
      <c r="C8" s="474"/>
      <c r="D8" s="2151" t="s">
        <v>88</v>
      </c>
      <c r="E8" s="2247" t="str">
        <f>"Наименование "&amp;IF(TEMPLATE_SPHERE&lt;&gt;"HEAT","централизованной ","")&amp;"системы "&amp;TEMPLATE_SPHERE_RUS</f>
        <v>Наименование системы теплоснабжения</v>
      </c>
      <c r="F8" s="2247" t="str">
        <f>IF(TEMPLATE_SPHERE&lt;&gt;"HEAT","Регулируемый вид деятельности","Вид регулируемой деятельности")</f>
        <v>Вид регулируемой деятельности</v>
      </c>
      <c r="G8" s="852"/>
      <c r="H8" s="2248" t="s">
        <v>441</v>
      </c>
      <c r="I8" s="2250" t="s">
        <v>442</v>
      </c>
      <c r="J8" s="2247" t="s">
        <v>443</v>
      </c>
      <c r="K8" s="2247"/>
      <c r="L8" s="2247"/>
      <c r="M8" s="2242"/>
      <c r="N8" s="2247" t="s">
        <v>444</v>
      </c>
      <c r="O8" s="2247"/>
      <c r="P8" s="2247" t="s">
        <v>445</v>
      </c>
      <c r="Q8" s="2247"/>
      <c r="R8" s="2254" t="s">
        <v>446</v>
      </c>
      <c r="S8" s="848"/>
      <c r="T8" s="2252" t="s">
        <v>447</v>
      </c>
      <c r="U8" s="2252" t="s">
        <v>448</v>
      </c>
      <c r="V8" s="2252" t="s">
        <v>449</v>
      </c>
      <c r="W8" s="850"/>
      <c r="X8" s="2252" t="s">
        <v>450</v>
      </c>
      <c r="Y8" s="2252" t="s">
        <v>451</v>
      </c>
      <c r="Z8" s="2252" t="s">
        <v>452</v>
      </c>
      <c r="AA8" s="850"/>
      <c r="AB8" s="2252" t="s">
        <v>453</v>
      </c>
      <c r="AC8" s="2252" t="s">
        <v>446</v>
      </c>
      <c r="AD8" s="850"/>
      <c r="AE8" s="2247"/>
      <c r="AF8" s="2247"/>
      <c r="AG8" s="2247"/>
      <c r="AH8" s="2247"/>
      <c r="AT8" s="471">
        <v>26</v>
      </c>
    </row>
    <row customHeight="1" ht="46.199999999999996">
      <c r="C9" s="474"/>
      <c r="D9" s="2151"/>
      <c r="E9" s="2247"/>
      <c r="F9" s="2247"/>
      <c r="G9" s="853"/>
      <c r="H9" s="2249"/>
      <c r="I9" s="2251"/>
      <c r="J9" s="449" t="s">
        <v>454</v>
      </c>
      <c r="K9" s="449" t="s">
        <v>455</v>
      </c>
      <c r="L9" s="449" t="s">
        <v>456</v>
      </c>
      <c r="M9" s="455" t="s">
        <v>457</v>
      </c>
      <c r="N9" s="449" t="s">
        <v>458</v>
      </c>
      <c r="O9" s="449" t="s">
        <v>457</v>
      </c>
      <c r="P9" s="449" t="s">
        <v>459</v>
      </c>
      <c r="Q9" s="449" t="s">
        <v>457</v>
      </c>
      <c r="R9" s="2255"/>
      <c r="S9" s="849"/>
      <c r="T9" s="2253"/>
      <c r="U9" s="2253"/>
      <c r="V9" s="2253"/>
      <c r="W9" s="851"/>
      <c r="X9" s="2253"/>
      <c r="Y9" s="2253"/>
      <c r="Z9" s="2253"/>
      <c r="AA9" s="851"/>
      <c r="AB9" s="2253"/>
      <c r="AC9" s="2253"/>
      <c r="AD9" s="851"/>
      <c r="AE9" s="2247"/>
      <c r="AF9" s="2247"/>
      <c r="AG9" s="2247"/>
      <c r="AH9" s="2247"/>
      <c r="AT9" s="471">
        <v>44</v>
      </c>
    </row>
    <row customHeight="1" ht="12" hidden="1">
      <c r="C10" s="511"/>
      <c r="D10" s="472"/>
      <c r="E10" s="472"/>
      <c r="F10" s="472"/>
      <c r="G10" s="472"/>
      <c r="H10" s="472"/>
      <c r="I10" s="472"/>
      <c r="J10" s="472"/>
      <c r="K10" s="472"/>
      <c r="L10" s="472"/>
      <c r="M10" s="472"/>
      <c r="N10" s="472"/>
      <c r="O10" s="472"/>
      <c r="P10" s="472"/>
      <c r="Q10" s="472"/>
      <c r="R10" s="472"/>
      <c r="S10" s="472"/>
      <c r="T10" s="472"/>
      <c r="U10" s="472"/>
      <c r="V10" s="472"/>
      <c r="W10" s="472"/>
      <c r="X10" s="472"/>
      <c r="Y10" s="472"/>
      <c r="Z10" s="472"/>
      <c r="AA10" s="472"/>
      <c r="AB10" s="472"/>
      <c r="AC10" s="472"/>
      <c r="AD10" s="472"/>
      <c r="AE10" s="472"/>
      <c r="AF10" s="472"/>
      <c r="AG10" s="472"/>
      <c r="AH10" s="472"/>
      <c r="AI10" s="471"/>
      <c r="AP10" s="524"/>
      <c r="AQ10" s="524"/>
      <c r="AT10" s="471">
        <v>0</v>
      </c>
    </row>
    <row s="1665" customFormat="1" customHeight="1" ht="11.25" hidden="1">
      <c r="C11" s="522"/>
      <c r="D11" s="523" t="s">
        <v>460</v>
      </c>
      <c r="E11" s="523"/>
      <c r="F11" s="523"/>
      <c r="G11" s="523"/>
      <c r="H11" s="521"/>
      <c r="I11" s="521"/>
      <c r="J11" s="521"/>
      <c r="K11" s="521"/>
      <c r="L11" s="521"/>
      <c r="M11" s="521"/>
      <c r="N11" s="521"/>
      <c r="O11" s="521"/>
      <c r="P11" s="521"/>
      <c r="Q11" s="521"/>
      <c r="R11" s="521"/>
      <c r="S11" s="521"/>
      <c r="T11" s="521"/>
      <c r="U11" s="521"/>
      <c r="V11" s="521"/>
      <c r="W11" s="521"/>
      <c r="X11" s="521"/>
      <c r="Y11" s="521"/>
      <c r="Z11" s="521"/>
      <c r="AA11" s="521"/>
      <c r="AB11" s="521"/>
      <c r="AC11" s="521"/>
      <c r="AD11" s="521"/>
      <c r="AE11" s="459"/>
      <c r="AF11" s="459"/>
      <c r="AG11" s="459"/>
      <c r="AH11" s="459"/>
      <c r="AJ11" s="513"/>
      <c r="AK11" s="513"/>
      <c r="AL11" s="513"/>
      <c r="AM11" s="513"/>
      <c r="AN11" s="513"/>
      <c r="AO11" s="513"/>
      <c r="AP11" s="513"/>
      <c r="AQ11" s="513"/>
      <c r="AR11" s="513"/>
      <c r="AS11" s="513"/>
      <c r="AT11" s="520">
        <v>0</v>
      </c>
    </row>
    <row customHeight="1" ht="14.699999999999998">
      <c r="A12" s="471"/>
      <c r="C12" s="474"/>
      <c r="D12" s="458" t="s">
        <v>170</v>
      </c>
      <c r="E12" s="1801" t="s">
        <v>22</v>
      </c>
      <c r="F12" s="879"/>
      <c r="G12" s="880"/>
      <c r="H12" s="1802"/>
      <c r="I12" s="1802"/>
      <c r="J12" s="457"/>
      <c r="K12" s="1887"/>
      <c r="L12" s="456"/>
      <c r="M12" s="1887"/>
      <c r="N12" s="457"/>
      <c r="O12" s="1887"/>
      <c r="P12" s="457"/>
      <c r="Q12" s="1887"/>
      <c r="R12" s="457"/>
      <c r="S12" s="878"/>
      <c r="T12" s="1802"/>
      <c r="U12" s="457"/>
      <c r="V12" s="457"/>
      <c r="W12" s="851"/>
      <c r="X12" s="1802"/>
      <c r="Y12" s="457"/>
      <c r="Z12" s="457"/>
      <c r="AA12" s="851"/>
      <c r="AB12" s="1802"/>
      <c r="AC12" s="457"/>
      <c r="AD12" s="851"/>
      <c r="AE12" s="2245" t="s">
        <v>461</v>
      </c>
      <c r="AF12" s="2245" t="s">
        <v>462</v>
      </c>
      <c r="AG12" s="2245" t="s">
        <v>463</v>
      </c>
      <c r="AH12" s="2245" t="s">
        <v>464</v>
      </c>
      <c r="AI12" s="471"/>
      <c r="AM12" s="535"/>
      <c r="AP12" s="524" t="s">
        <v>465</v>
      </c>
      <c r="AQ12" s="524" t="s">
        <v>465</v>
      </c>
      <c r="AT12" s="471">
        <v>14</v>
      </c>
    </row>
    <row customHeight="1" ht="18">
      <c r="A13" s="471"/>
      <c r="C13" s="474"/>
      <c r="D13" s="429"/>
      <c r="E13" s="893" t="str">
        <f>IF(TITLE_DIFFERENTIATION_TYPE="нет","","Добавить систему")</f>
        <v/>
      </c>
      <c r="F13" s="893" t="str">
        <f>IF(TITLE_DIFFERENTIATION_TYPE="нет","Добавить вид деятельности","")</f>
        <v>Добавить вид деятельности</v>
      </c>
      <c r="G13" s="337"/>
      <c r="H13" s="430"/>
      <c r="I13" s="430"/>
      <c r="J13" s="430"/>
      <c r="K13" s="430"/>
      <c r="L13" s="430"/>
      <c r="M13" s="430"/>
      <c r="N13" s="430"/>
      <c r="O13" s="430"/>
      <c r="P13" s="430"/>
      <c r="Q13" s="430"/>
      <c r="R13" s="430"/>
      <c r="S13" s="430"/>
      <c r="T13" s="430"/>
      <c r="U13" s="430"/>
      <c r="V13" s="430"/>
      <c r="W13" s="430"/>
      <c r="X13" s="430"/>
      <c r="Y13" s="430"/>
      <c r="Z13" s="430"/>
      <c r="AA13" s="430"/>
      <c r="AB13" s="430"/>
      <c r="AC13" s="430"/>
      <c r="AD13" s="881"/>
      <c r="AE13" s="2246"/>
      <c r="AF13" s="2246"/>
      <c r="AG13" s="2246"/>
      <c r="AH13" s="2246"/>
      <c r="AI13" s="471"/>
      <c r="AT13" s="471">
        <v>17</v>
      </c>
    </row>
    <row customHeight="1" ht="14.699999999999998">
      <c r="AI14" s="471"/>
      <c r="AT14" s="471">
        <v>14</v>
      </c>
    </row>
    <row customHeight="1" ht="14.699999999999998">
      <c r="E15" s="782"/>
      <c r="L15" s="782"/>
      <c r="AT15" s="471">
        <v>14</v>
      </c>
    </row>
    <row customHeight="1" ht="14.699999999999998">
      <c r="L16" s="782"/>
      <c r="AT16" s="471">
        <v>14</v>
      </c>
    </row>
    <row customHeight="1" ht="14.699999999999998">
      <c r="L17" s="782"/>
      <c r="AT17" s="471">
        <v>14</v>
      </c>
    </row>
    <row customHeight="1" ht="22.5" hidden="1">
      <c r="A18" s="473" t="s">
        <v>82</v>
      </c>
      <c r="B18" s="471">
        <v>0</v>
      </c>
      <c r="C18" s="475">
        <v>3</v>
      </c>
      <c r="D18" s="471">
        <v>5</v>
      </c>
      <c r="E18" s="471">
        <v>48</v>
      </c>
      <c r="F18" s="471">
        <v>38</v>
      </c>
      <c r="G18" s="782">
        <v>0</v>
      </c>
      <c r="H18" s="471">
        <v>0</v>
      </c>
      <c r="I18" s="471">
        <v>0</v>
      </c>
      <c r="J18" s="471">
        <v>0</v>
      </c>
      <c r="K18" s="471">
        <v>0</v>
      </c>
      <c r="L18" s="471">
        <v>0</v>
      </c>
      <c r="M18" s="471">
        <v>0</v>
      </c>
      <c r="N18" s="471">
        <v>0</v>
      </c>
      <c r="O18" s="471">
        <v>0</v>
      </c>
      <c r="P18" s="471">
        <v>0</v>
      </c>
      <c r="Q18" s="471">
        <v>0</v>
      </c>
      <c r="R18" s="471">
        <v>0</v>
      </c>
      <c r="S18" s="782">
        <v>0</v>
      </c>
      <c r="T18" s="529">
        <v>0</v>
      </c>
      <c r="U18" s="529">
        <v>0</v>
      </c>
      <c r="V18" s="529">
        <v>0</v>
      </c>
      <c r="W18" s="782">
        <v>0</v>
      </c>
      <c r="X18" s="529">
        <v>0</v>
      </c>
      <c r="Y18" s="529">
        <v>0</v>
      </c>
      <c r="Z18" s="529">
        <v>0</v>
      </c>
      <c r="AA18" s="782">
        <v>0</v>
      </c>
      <c r="AB18" s="529">
        <v>0</v>
      </c>
      <c r="AC18" s="529">
        <v>0</v>
      </c>
      <c r="AD18" s="782">
        <v>0</v>
      </c>
      <c r="AE18" s="471">
        <v>0</v>
      </c>
      <c r="AF18" s="529">
        <v>0</v>
      </c>
      <c r="AG18" s="529">
        <v>0</v>
      </c>
      <c r="AH18" s="529">
        <v>0</v>
      </c>
      <c r="AI18" s="476">
        <v>3</v>
      </c>
      <c r="AJ18" s="513">
        <v>10</v>
      </c>
      <c r="AK18" s="513">
        <v>10</v>
      </c>
      <c r="AL18" s="513">
        <v>10</v>
      </c>
      <c r="AM18" s="513">
        <v>0</v>
      </c>
      <c r="AN18" s="513">
        <v>15</v>
      </c>
      <c r="AO18" s="513">
        <v>16</v>
      </c>
      <c r="AP18" s="513">
        <v>10</v>
      </c>
      <c r="AQ18" s="513">
        <v>10</v>
      </c>
      <c r="AR18" s="513">
        <v>10</v>
      </c>
      <c r="AS18" s="513">
        <v>10</v>
      </c>
      <c r="AT18" s="471">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050A2-A449-C186-DCE4-0.DAD80F7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2" style="207" width="9.140625"/>
  </cols>
  <sheetData>
    <row customHeight="1" ht="11.25">
      <c r="A1" s="207" t="s">
        <v>218</v>
      </c>
      <c r="B1" s="207" t="s">
        <v>4171</v>
      </c>
    </row>
    <row customHeight="1" ht="11.25">
      <c r="A2" s="207" t="s">
        <v>98</v>
      </c>
      <c r="B2" s="207" t="s">
        <v>4172</v>
      </c>
    </row>
    <row customHeight="1" ht="11.25">
      <c r="A3" s="207" t="s">
        <v>105</v>
      </c>
      <c r="B3" s="207" t="s">
        <v>4173</v>
      </c>
    </row>
    <row customHeight="1" ht="11.25">
      <c r="A4" s="207" t="s">
        <v>110</v>
      </c>
      <c r="B4" s="207" t="s">
        <v>4174</v>
      </c>
    </row>
    <row customHeight="1" ht="11.25">
      <c r="A5" s="207" t="s">
        <v>114</v>
      </c>
      <c r="B5" s="207" t="s">
        <v>4175</v>
      </c>
    </row>
    <row customHeight="1" ht="11.25">
      <c r="A6" s="207" t="s">
        <v>120</v>
      </c>
      <c r="B6" s="207" t="s">
        <v>4176</v>
      </c>
    </row>
    <row customHeight="1" ht="11.25">
      <c r="A7" s="207" t="s">
        <v>124</v>
      </c>
      <c r="B7" s="207" t="s">
        <v>4177</v>
      </c>
    </row>
    <row customHeight="1" ht="11.25">
      <c r="A8" s="207" t="s">
        <v>129</v>
      </c>
      <c r="B8" s="207" t="s">
        <v>4178</v>
      </c>
    </row>
    <row customHeight="1" ht="11.25">
      <c r="A9" s="207" t="s">
        <v>144</v>
      </c>
      <c r="B9" s="207" t="s">
        <v>4179</v>
      </c>
    </row>
    <row customHeight="1" ht="11.25">
      <c r="A10" s="207" t="s">
        <v>146</v>
      </c>
      <c r="B10" s="207" t="s">
        <v>4180</v>
      </c>
    </row>
    <row customHeight="1" ht="11.25">
      <c r="A11" s="207" t="s">
        <v>157</v>
      </c>
      <c r="B11" s="207" t="s">
        <v>4181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0451FD-642C-0D49-A19A-0.EEB0534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15" width="9.140625"/>
    <col min="2" max="2" style="1715" width="65.28125" customWidth="1"/>
  </cols>
  <sheetData>
    <row customHeight="1" ht="11.25">
      <c r="A1" s="859" t="s">
        <v>4182</v>
      </c>
      <c r="B1" s="859" t="s">
        <v>4183</v>
      </c>
    </row>
    <row customHeight="1" ht="11.25">
      <c r="A2" s="859">
        <v>4213775</v>
      </c>
      <c r="B2" s="859" t="s">
        <v>1556</v>
      </c>
    </row>
    <row customHeight="1" ht="11.25">
      <c r="A3" s="859">
        <v>4213784</v>
      </c>
      <c r="B3" s="859" t="s">
        <v>1589</v>
      </c>
    </row>
    <row customHeight="1" ht="11.25">
      <c r="A4" s="859">
        <v>4213781</v>
      </c>
      <c r="B4" s="859" t="s">
        <v>1582</v>
      </c>
    </row>
    <row customHeight="1" ht="11.25">
      <c r="A5" s="859">
        <v>4213776</v>
      </c>
      <c r="B5" s="859" t="s">
        <v>252</v>
      </c>
    </row>
    <row customHeight="1" ht="11.25">
      <c r="A6" s="859">
        <v>4213777</v>
      </c>
      <c r="B6" s="859" t="s">
        <v>258</v>
      </c>
    </row>
    <row customHeight="1" ht="11.25">
      <c r="A7" s="859">
        <v>4213778</v>
      </c>
      <c r="B7" s="859" t="s">
        <v>264</v>
      </c>
    </row>
    <row customHeight="1" ht="11.25">
      <c r="A8" s="859">
        <v>4213780</v>
      </c>
      <c r="B8" s="859" t="s">
        <v>270</v>
      </c>
    </row>
    <row customHeight="1" ht="11.25">
      <c r="A9" s="859">
        <v>4213779</v>
      </c>
      <c r="B9" s="859" t="s">
        <v>1723</v>
      </c>
    </row>
    <row customHeight="1" ht="11.25">
      <c r="A10" s="859">
        <v>4213783</v>
      </c>
      <c r="B10" s="859" t="s">
        <v>1738</v>
      </c>
    </row>
    <row customHeight="1" ht="11.25">
      <c r="A11" s="859">
        <v>4213782</v>
      </c>
      <c r="B11" s="859" t="s">
        <v>276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A121B3-0A57-919A-C634-0.1629E60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15" width="9.140625"/>
    <col min="2" max="2" style="1715" width="65.28125" customWidth="1"/>
  </cols>
  <sheetData>
    <row customHeight="1" ht="11.25">
      <c r="A1" s="859" t="s">
        <v>4182</v>
      </c>
      <c r="B1" s="859" t="s">
        <v>4184</v>
      </c>
    </row>
    <row customHeight="1" ht="11.25">
      <c r="A2" s="859" t="s">
        <v>4185</v>
      </c>
      <c r="B2" s="859" t="s">
        <v>1836</v>
      </c>
    </row>
    <row customHeight="1" ht="11.25">
      <c r="A3" s="859" t="s">
        <v>4186</v>
      </c>
      <c r="B3" s="859" t="s">
        <v>1846</v>
      </c>
    </row>
    <row customHeight="1" ht="11.25">
      <c r="A4" s="859" t="s">
        <v>4187</v>
      </c>
      <c r="B4" s="859" t="s">
        <v>1855</v>
      </c>
    </row>
    <row customHeight="1" ht="11.25">
      <c r="A5" s="859" t="s">
        <v>4188</v>
      </c>
      <c r="B5" s="859" t="s">
        <v>1864</v>
      </c>
    </row>
    <row customHeight="1" ht="11.25">
      <c r="A6" s="859" t="s">
        <v>4189</v>
      </c>
      <c r="B6" s="859" t="s">
        <v>1870</v>
      </c>
    </row>
    <row customHeight="1" ht="11.25">
      <c r="A7" s="859" t="s">
        <v>4190</v>
      </c>
      <c r="B7" s="859" t="s">
        <v>1878</v>
      </c>
    </row>
    <row customHeight="1" ht="11.25">
      <c r="A8" s="859" t="s">
        <v>4191</v>
      </c>
      <c r="B8" s="859" t="s">
        <v>1885</v>
      </c>
    </row>
    <row customHeight="1" ht="11.25">
      <c r="A9" s="859" t="s">
        <v>4192</v>
      </c>
      <c r="B9" s="859" t="s">
        <v>1891</v>
      </c>
    </row>
    <row customHeight="1" ht="11.25">
      <c r="A10" s="859" t="s">
        <v>4193</v>
      </c>
      <c r="B10" s="859" t="s">
        <v>1895</v>
      </c>
    </row>
    <row customHeight="1" ht="11.25">
      <c r="A11" s="859" t="s">
        <v>4194</v>
      </c>
      <c r="B11" s="859" t="s">
        <v>1902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7158D-AF8B-27A7-325D-0.64087986}" mc:Ignorable="x14ac xr xr2 xr3">
  <sheetPr>
    <tabColor rgb="FFFFCC99"/>
  </sheetPr>
  <dimension ref="A1:G240"/>
  <sheetViews>
    <sheetView topLeftCell="A1" showGridLines="0" workbookViewId="0">
      <selection activeCell="A1" sqref="A1"/>
    </sheetView>
  </sheetViews>
  <sheetFormatPr customHeight="1" defaultRowHeight="11.25"/>
  <sheetData>
    <row customHeight="1" ht="11.25">
      <c r="A1" s="397" t="s">
        <v>3421</v>
      </c>
      <c r="B1" s="397" t="s">
        <v>3422</v>
      </c>
      <c r="C1" s="397" t="s">
        <v>3423</v>
      </c>
      <c r="D1" s="397" t="s">
        <v>3424</v>
      </c>
      <c r="E1" s="0" t="s">
        <v>3425</v>
      </c>
      <c r="F1" s="0" t="s">
        <v>3426</v>
      </c>
      <c r="G1" s="0" t="s">
        <v>3427</v>
      </c>
    </row>
    <row customHeight="1" ht="11.25">
      <c r="A2" s="0" t="s">
        <v>16</v>
      </c>
      <c r="B2" s="0" t="s">
        <v>99</v>
      </c>
      <c r="C2" s="0" t="s">
        <v>3428</v>
      </c>
      <c r="D2" s="0" t="s">
        <v>99</v>
      </c>
      <c r="E2" s="0" t="s">
        <v>3428</v>
      </c>
      <c r="F2" s="0" t="s">
        <v>3429</v>
      </c>
      <c r="G2" s="0" t="s">
        <v>170</v>
      </c>
    </row>
    <row customHeight="1" ht="11.25">
      <c r="A3" s="0" t="s">
        <v>16</v>
      </c>
      <c r="B3" s="0" t="s">
        <v>99</v>
      </c>
      <c r="C3" s="0" t="s">
        <v>3428</v>
      </c>
      <c r="D3" s="0" t="s">
        <v>3430</v>
      </c>
      <c r="E3" s="0" t="s">
        <v>3431</v>
      </c>
      <c r="F3" s="0" t="s">
        <v>3432</v>
      </c>
      <c r="G3" s="0" t="s">
        <v>103</v>
      </c>
    </row>
    <row customHeight="1" ht="11.25">
      <c r="A4" s="0" t="s">
        <v>16</v>
      </c>
      <c r="B4" s="0" t="s">
        <v>99</v>
      </c>
      <c r="C4" s="0" t="s">
        <v>3428</v>
      </c>
      <c r="D4" s="0" t="s">
        <v>3433</v>
      </c>
      <c r="E4" s="0" t="s">
        <v>3434</v>
      </c>
      <c r="F4" s="0" t="s">
        <v>3432</v>
      </c>
      <c r="G4" s="0" t="s">
        <v>90</v>
      </c>
    </row>
    <row customHeight="1" ht="11.25">
      <c r="A5" s="0" t="s">
        <v>16</v>
      </c>
      <c r="B5" s="0" t="s">
        <v>99</v>
      </c>
      <c r="C5" s="0" t="s">
        <v>3428</v>
      </c>
      <c r="D5" s="0" t="s">
        <v>100</v>
      </c>
      <c r="E5" s="0" t="s">
        <v>101</v>
      </c>
      <c r="F5" s="0" t="s">
        <v>3435</v>
      </c>
      <c r="G5" s="0" t="s">
        <v>91</v>
      </c>
    </row>
    <row customHeight="1" ht="11.25">
      <c r="A6" s="0" t="s">
        <v>16</v>
      </c>
      <c r="B6" s="0" t="s">
        <v>99</v>
      </c>
      <c r="C6" s="0" t="s">
        <v>3428</v>
      </c>
      <c r="D6" s="0" t="s">
        <v>3436</v>
      </c>
      <c r="E6" s="0" t="s">
        <v>3437</v>
      </c>
      <c r="F6" s="0" t="s">
        <v>3432</v>
      </c>
      <c r="G6" s="0" t="s">
        <v>119</v>
      </c>
    </row>
    <row customHeight="1" ht="11.25">
      <c r="A7" s="0" t="s">
        <v>16</v>
      </c>
      <c r="B7" s="0" t="s">
        <v>99</v>
      </c>
      <c r="C7" s="0" t="s">
        <v>3428</v>
      </c>
      <c r="D7" s="0" t="s">
        <v>3438</v>
      </c>
      <c r="E7" s="0" t="s">
        <v>3439</v>
      </c>
      <c r="F7" s="0" t="s">
        <v>3432</v>
      </c>
      <c r="G7" s="0" t="s">
        <v>92</v>
      </c>
    </row>
    <row customHeight="1" ht="11.25">
      <c r="A8" s="0" t="s">
        <v>16</v>
      </c>
      <c r="B8" s="0" t="s">
        <v>99</v>
      </c>
      <c r="C8" s="0" t="s">
        <v>3428</v>
      </c>
      <c r="D8" s="0" t="s">
        <v>3440</v>
      </c>
      <c r="E8" s="0" t="s">
        <v>3441</v>
      </c>
      <c r="F8" s="0" t="s">
        <v>3432</v>
      </c>
      <c r="G8" s="0" t="s">
        <v>93</v>
      </c>
    </row>
    <row customHeight="1" ht="11.25">
      <c r="A9" s="0" t="s">
        <v>16</v>
      </c>
      <c r="B9" s="0" t="s">
        <v>99</v>
      </c>
      <c r="C9" s="0" t="s">
        <v>3428</v>
      </c>
      <c r="D9" s="0" t="s">
        <v>3442</v>
      </c>
      <c r="E9" s="0" t="s">
        <v>3443</v>
      </c>
      <c r="F9" s="0" t="s">
        <v>3432</v>
      </c>
      <c r="G9" s="0" t="s">
        <v>143</v>
      </c>
    </row>
    <row customHeight="1" ht="11.25">
      <c r="A10" s="0" t="s">
        <v>16</v>
      </c>
      <c r="B10" s="0" t="s">
        <v>99</v>
      </c>
      <c r="C10" s="0" t="s">
        <v>3428</v>
      </c>
      <c r="D10" s="0" t="s">
        <v>3444</v>
      </c>
      <c r="E10" s="0" t="s">
        <v>3445</v>
      </c>
      <c r="F10" s="0" t="s">
        <v>3432</v>
      </c>
      <c r="G10" s="0" t="s">
        <v>145</v>
      </c>
    </row>
    <row customHeight="1" ht="11.25">
      <c r="A11" s="0" t="s">
        <v>16</v>
      </c>
      <c r="B11" s="0" t="s">
        <v>99</v>
      </c>
      <c r="C11" s="0" t="s">
        <v>3428</v>
      </c>
      <c r="D11" s="0" t="s">
        <v>3446</v>
      </c>
      <c r="E11" s="0" t="s">
        <v>3447</v>
      </c>
      <c r="F11" s="0" t="s">
        <v>3448</v>
      </c>
      <c r="G11" s="0" t="s">
        <v>156</v>
      </c>
    </row>
    <row customHeight="1" ht="11.25">
      <c r="A12" s="0" t="s">
        <v>16</v>
      </c>
      <c r="B12" s="0" t="s">
        <v>99</v>
      </c>
      <c r="C12" s="0" t="s">
        <v>3428</v>
      </c>
      <c r="D12" s="0" t="s">
        <v>3449</v>
      </c>
      <c r="E12" s="0" t="s">
        <v>3450</v>
      </c>
      <c r="F12" s="0" t="s">
        <v>3432</v>
      </c>
      <c r="G12" s="0" t="s">
        <v>236</v>
      </c>
    </row>
    <row customHeight="1" ht="11.25">
      <c r="A13" s="0" t="s">
        <v>16</v>
      </c>
      <c r="B13" s="0" t="s">
        <v>3451</v>
      </c>
      <c r="C13" s="0" t="s">
        <v>3452</v>
      </c>
      <c r="D13" s="0" t="s">
        <v>3453</v>
      </c>
      <c r="E13" s="0" t="s">
        <v>3454</v>
      </c>
      <c r="F13" s="0" t="s">
        <v>3432</v>
      </c>
      <c r="G13" s="0" t="s">
        <v>237</v>
      </c>
    </row>
    <row customHeight="1" ht="11.25">
      <c r="A14" s="0" t="s">
        <v>16</v>
      </c>
      <c r="B14" s="0" t="s">
        <v>3451</v>
      </c>
      <c r="C14" s="0" t="s">
        <v>3452</v>
      </c>
      <c r="D14" s="0" t="s">
        <v>3451</v>
      </c>
      <c r="E14" s="0" t="s">
        <v>3452</v>
      </c>
      <c r="F14" s="0" t="s">
        <v>3429</v>
      </c>
      <c r="G14" s="0" t="s">
        <v>238</v>
      </c>
    </row>
    <row customHeight="1" ht="11.25">
      <c r="A15" s="0" t="s">
        <v>16</v>
      </c>
      <c r="B15" s="0" t="s">
        <v>3451</v>
      </c>
      <c r="C15" s="0" t="s">
        <v>3452</v>
      </c>
      <c r="D15" s="0" t="s">
        <v>3455</v>
      </c>
      <c r="E15" s="0" t="s">
        <v>3456</v>
      </c>
      <c r="F15" s="0" t="s">
        <v>3432</v>
      </c>
      <c r="G15" s="0" t="s">
        <v>239</v>
      </c>
    </row>
    <row customHeight="1" ht="11.25">
      <c r="A16" s="0" t="s">
        <v>16</v>
      </c>
      <c r="B16" s="0" t="s">
        <v>3451</v>
      </c>
      <c r="C16" s="0" t="s">
        <v>3452</v>
      </c>
      <c r="D16" s="0" t="s">
        <v>3457</v>
      </c>
      <c r="E16" s="0" t="s">
        <v>3458</v>
      </c>
      <c r="F16" s="0" t="s">
        <v>3459</v>
      </c>
      <c r="G16" s="0" t="s">
        <v>1798</v>
      </c>
    </row>
    <row customHeight="1" ht="11.25">
      <c r="A17" s="0" t="s">
        <v>16</v>
      </c>
      <c r="B17" s="0" t="s">
        <v>3451</v>
      </c>
      <c r="C17" s="0" t="s">
        <v>3452</v>
      </c>
      <c r="D17" s="0" t="s">
        <v>3460</v>
      </c>
      <c r="E17" s="0" t="s">
        <v>3461</v>
      </c>
      <c r="F17" s="0" t="s">
        <v>3432</v>
      </c>
      <c r="G17" s="0" t="s">
        <v>1804</v>
      </c>
    </row>
    <row customHeight="1" ht="11.25">
      <c r="A18" s="0" t="s">
        <v>16</v>
      </c>
      <c r="B18" s="0" t="s">
        <v>3451</v>
      </c>
      <c r="C18" s="0" t="s">
        <v>3452</v>
      </c>
      <c r="D18" s="0" t="s">
        <v>3462</v>
      </c>
      <c r="E18" s="0" t="s">
        <v>3463</v>
      </c>
      <c r="F18" s="0" t="s">
        <v>3432</v>
      </c>
      <c r="G18" s="0" t="s">
        <v>1816</v>
      </c>
    </row>
    <row customHeight="1" ht="11.25">
      <c r="A19" s="0" t="s">
        <v>16</v>
      </c>
      <c r="B19" s="0" t="s">
        <v>3464</v>
      </c>
      <c r="C19" s="0" t="s">
        <v>3465</v>
      </c>
      <c r="D19" s="0" t="s">
        <v>3464</v>
      </c>
      <c r="E19" s="0" t="s">
        <v>3465</v>
      </c>
      <c r="F19" s="0" t="s">
        <v>3466</v>
      </c>
      <c r="G19" s="0" t="s">
        <v>1830</v>
      </c>
    </row>
    <row customHeight="1" ht="11.25">
      <c r="A20" s="0" t="s">
        <v>16</v>
      </c>
      <c r="B20" s="0" t="s">
        <v>3467</v>
      </c>
      <c r="C20" s="0" t="s">
        <v>3468</v>
      </c>
      <c r="D20" s="0" t="s">
        <v>3467</v>
      </c>
      <c r="E20" s="0" t="s">
        <v>3468</v>
      </c>
      <c r="F20" s="0" t="s">
        <v>3429</v>
      </c>
      <c r="G20" s="0" t="s">
        <v>1842</v>
      </c>
    </row>
    <row customHeight="1" ht="11.25">
      <c r="A21" s="0" t="s">
        <v>16</v>
      </c>
      <c r="B21" s="0" t="s">
        <v>3467</v>
      </c>
      <c r="C21" s="0" t="s">
        <v>3468</v>
      </c>
      <c r="D21" s="0" t="s">
        <v>3469</v>
      </c>
      <c r="E21" s="0" t="s">
        <v>3470</v>
      </c>
      <c r="F21" s="0" t="s">
        <v>3432</v>
      </c>
      <c r="G21" s="0" t="s">
        <v>1851</v>
      </c>
    </row>
    <row customHeight="1" ht="11.25">
      <c r="A22" s="0" t="s">
        <v>16</v>
      </c>
      <c r="B22" s="0" t="s">
        <v>3467</v>
      </c>
      <c r="C22" s="0" t="s">
        <v>3468</v>
      </c>
      <c r="D22" s="0" t="s">
        <v>3471</v>
      </c>
      <c r="E22" s="0" t="s">
        <v>3472</v>
      </c>
      <c r="F22" s="0" t="s">
        <v>3435</v>
      </c>
      <c r="G22" s="0" t="s">
        <v>1867</v>
      </c>
    </row>
    <row customHeight="1" ht="11.25">
      <c r="A23" s="0" t="s">
        <v>16</v>
      </c>
      <c r="B23" s="0" t="s">
        <v>3467</v>
      </c>
      <c r="C23" s="0" t="s">
        <v>3468</v>
      </c>
      <c r="D23" s="0" t="s">
        <v>3473</v>
      </c>
      <c r="E23" s="0" t="s">
        <v>3474</v>
      </c>
      <c r="F23" s="0" t="s">
        <v>3432</v>
      </c>
      <c r="G23" s="0" t="s">
        <v>1874</v>
      </c>
    </row>
    <row customHeight="1" ht="11.25">
      <c r="A24" s="0" t="s">
        <v>16</v>
      </c>
      <c r="B24" s="0" t="s">
        <v>3467</v>
      </c>
      <c r="C24" s="0" t="s">
        <v>3468</v>
      </c>
      <c r="D24" s="0" t="s">
        <v>3475</v>
      </c>
      <c r="E24" s="0" t="s">
        <v>3476</v>
      </c>
      <c r="F24" s="0" t="s">
        <v>3432</v>
      </c>
      <c r="G24" s="0" t="s">
        <v>1882</v>
      </c>
    </row>
    <row customHeight="1" ht="11.25">
      <c r="A25" s="0" t="s">
        <v>16</v>
      </c>
      <c r="B25" s="0" t="s">
        <v>3467</v>
      </c>
      <c r="C25" s="0" t="s">
        <v>3468</v>
      </c>
      <c r="D25" s="0" t="s">
        <v>3477</v>
      </c>
      <c r="E25" s="0" t="s">
        <v>3478</v>
      </c>
      <c r="F25" s="0" t="s">
        <v>3432</v>
      </c>
      <c r="G25" s="0" t="s">
        <v>1889</v>
      </c>
    </row>
    <row customHeight="1" ht="11.25">
      <c r="A26" s="0" t="s">
        <v>16</v>
      </c>
      <c r="B26" s="0" t="s">
        <v>3467</v>
      </c>
      <c r="C26" s="0" t="s">
        <v>3468</v>
      </c>
      <c r="D26" s="0" t="s">
        <v>3479</v>
      </c>
      <c r="E26" s="0" t="s">
        <v>3480</v>
      </c>
      <c r="F26" s="0" t="s">
        <v>3432</v>
      </c>
      <c r="G26" s="0" t="s">
        <v>1893</v>
      </c>
    </row>
    <row customHeight="1" ht="11.25">
      <c r="A27" s="0" t="s">
        <v>16</v>
      </c>
      <c r="B27" s="0" t="s">
        <v>3467</v>
      </c>
      <c r="C27" s="0" t="s">
        <v>3468</v>
      </c>
      <c r="D27" s="0" t="s">
        <v>3481</v>
      </c>
      <c r="E27" s="0" t="s">
        <v>3482</v>
      </c>
      <c r="F27" s="0" t="s">
        <v>3432</v>
      </c>
      <c r="G27" s="0" t="s">
        <v>1898</v>
      </c>
    </row>
    <row customHeight="1" ht="11.25">
      <c r="A28" s="0" t="s">
        <v>16</v>
      </c>
      <c r="B28" s="0" t="s">
        <v>3467</v>
      </c>
      <c r="C28" s="0" t="s">
        <v>3468</v>
      </c>
      <c r="D28" s="0" t="s">
        <v>3483</v>
      </c>
      <c r="E28" s="0" t="s">
        <v>3484</v>
      </c>
      <c r="F28" s="0" t="s">
        <v>3432</v>
      </c>
      <c r="G28" s="0" t="s">
        <v>1906</v>
      </c>
    </row>
    <row customHeight="1" ht="11.25">
      <c r="A29" s="0" t="s">
        <v>16</v>
      </c>
      <c r="B29" s="0" t="s">
        <v>3467</v>
      </c>
      <c r="C29" s="0" t="s">
        <v>3468</v>
      </c>
      <c r="D29" s="0" t="s">
        <v>3485</v>
      </c>
      <c r="E29" s="0" t="s">
        <v>3486</v>
      </c>
      <c r="F29" s="0" t="s">
        <v>3432</v>
      </c>
      <c r="G29" s="0" t="s">
        <v>1908</v>
      </c>
    </row>
    <row customHeight="1" ht="11.25">
      <c r="A30" s="0" t="s">
        <v>16</v>
      </c>
      <c r="B30" s="0" t="s">
        <v>3487</v>
      </c>
      <c r="C30" s="0" t="s">
        <v>3488</v>
      </c>
      <c r="D30" s="0" t="s">
        <v>3487</v>
      </c>
      <c r="E30" s="0" t="s">
        <v>3488</v>
      </c>
      <c r="F30" s="0" t="s">
        <v>3429</v>
      </c>
      <c r="G30" s="0" t="s">
        <v>1911</v>
      </c>
    </row>
    <row customHeight="1" ht="11.25">
      <c r="A31" s="0" t="s">
        <v>16</v>
      </c>
      <c r="B31" s="0" t="s">
        <v>3487</v>
      </c>
      <c r="C31" s="0" t="s">
        <v>3488</v>
      </c>
      <c r="D31" s="0" t="s">
        <v>3489</v>
      </c>
      <c r="E31" s="0" t="s">
        <v>3490</v>
      </c>
      <c r="F31" s="0" t="s">
        <v>3432</v>
      </c>
      <c r="G31" s="0" t="s">
        <v>1917</v>
      </c>
    </row>
    <row customHeight="1" ht="11.25">
      <c r="A32" s="0" t="s">
        <v>16</v>
      </c>
      <c r="B32" s="0" t="s">
        <v>3487</v>
      </c>
      <c r="C32" s="0" t="s">
        <v>3488</v>
      </c>
      <c r="D32" s="0" t="s">
        <v>3491</v>
      </c>
      <c r="E32" s="0" t="s">
        <v>3492</v>
      </c>
      <c r="F32" s="0" t="s">
        <v>3432</v>
      </c>
      <c r="G32" s="0" t="s">
        <v>1919</v>
      </c>
    </row>
    <row customHeight="1" ht="11.25">
      <c r="A33" s="0" t="s">
        <v>16</v>
      </c>
      <c r="B33" s="0" t="s">
        <v>3487</v>
      </c>
      <c r="C33" s="0" t="s">
        <v>3488</v>
      </c>
      <c r="D33" s="0" t="s">
        <v>3493</v>
      </c>
      <c r="E33" s="0" t="s">
        <v>3494</v>
      </c>
      <c r="F33" s="0" t="s">
        <v>3432</v>
      </c>
      <c r="G33" s="0" t="s">
        <v>1921</v>
      </c>
    </row>
    <row customHeight="1" ht="11.25">
      <c r="A34" s="0" t="s">
        <v>16</v>
      </c>
      <c r="B34" s="0" t="s">
        <v>3487</v>
      </c>
      <c r="C34" s="0" t="s">
        <v>3488</v>
      </c>
      <c r="D34" s="0" t="s">
        <v>3495</v>
      </c>
      <c r="E34" s="0" t="s">
        <v>3496</v>
      </c>
      <c r="F34" s="0" t="s">
        <v>3448</v>
      </c>
      <c r="G34" s="0" t="s">
        <v>1923</v>
      </c>
    </row>
    <row customHeight="1" ht="11.25">
      <c r="A35" s="0" t="s">
        <v>16</v>
      </c>
      <c r="B35" s="0" t="s">
        <v>3487</v>
      </c>
      <c r="C35" s="0" t="s">
        <v>3488</v>
      </c>
      <c r="D35" s="0" t="s">
        <v>3497</v>
      </c>
      <c r="E35" s="0" t="s">
        <v>3498</v>
      </c>
      <c r="F35" s="0" t="s">
        <v>3448</v>
      </c>
      <c r="G35" s="0" t="s">
        <v>1928</v>
      </c>
    </row>
    <row customHeight="1" ht="11.25">
      <c r="A36" s="0" t="s">
        <v>16</v>
      </c>
      <c r="B36" s="0" t="s">
        <v>3487</v>
      </c>
      <c r="C36" s="0" t="s">
        <v>3488</v>
      </c>
      <c r="D36" s="0" t="s">
        <v>3499</v>
      </c>
      <c r="E36" s="0" t="s">
        <v>3500</v>
      </c>
      <c r="F36" s="0" t="s">
        <v>3448</v>
      </c>
      <c r="G36" s="0" t="s">
        <v>1933</v>
      </c>
    </row>
    <row customHeight="1" ht="11.25">
      <c r="A37" s="0" t="s">
        <v>16</v>
      </c>
      <c r="B37" s="0" t="s">
        <v>3487</v>
      </c>
      <c r="C37" s="0" t="s">
        <v>3488</v>
      </c>
      <c r="D37" s="0" t="s">
        <v>3501</v>
      </c>
      <c r="E37" s="0" t="s">
        <v>3502</v>
      </c>
      <c r="F37" s="0" t="s">
        <v>3432</v>
      </c>
      <c r="G37" s="0" t="s">
        <v>1937</v>
      </c>
    </row>
    <row customHeight="1" ht="11.25">
      <c r="A38" s="0" t="s">
        <v>16</v>
      </c>
      <c r="B38" s="0" t="s">
        <v>3487</v>
      </c>
      <c r="C38" s="0" t="s">
        <v>3488</v>
      </c>
      <c r="D38" s="0" t="s">
        <v>3503</v>
      </c>
      <c r="E38" s="0" t="s">
        <v>3504</v>
      </c>
      <c r="F38" s="0" t="s">
        <v>3432</v>
      </c>
      <c r="G38" s="0" t="s">
        <v>1945</v>
      </c>
    </row>
    <row customHeight="1" ht="11.25">
      <c r="A39" s="0" t="s">
        <v>16</v>
      </c>
      <c r="B39" s="0" t="s">
        <v>3487</v>
      </c>
      <c r="C39" s="0" t="s">
        <v>3488</v>
      </c>
      <c r="D39" s="0" t="s">
        <v>3505</v>
      </c>
      <c r="E39" s="0" t="s">
        <v>3506</v>
      </c>
      <c r="F39" s="0" t="s">
        <v>3432</v>
      </c>
      <c r="G39" s="0" t="s">
        <v>1951</v>
      </c>
    </row>
    <row customHeight="1" ht="11.25">
      <c r="A40" s="0" t="s">
        <v>16</v>
      </c>
      <c r="B40" s="0" t="s">
        <v>3487</v>
      </c>
      <c r="C40" s="0" t="s">
        <v>3488</v>
      </c>
      <c r="D40" s="0" t="s">
        <v>3507</v>
      </c>
      <c r="E40" s="0" t="s">
        <v>3508</v>
      </c>
      <c r="F40" s="0" t="s">
        <v>3432</v>
      </c>
      <c r="G40" s="0" t="s">
        <v>1956</v>
      </c>
    </row>
    <row customHeight="1" ht="11.25">
      <c r="A41" s="0" t="s">
        <v>16</v>
      </c>
      <c r="B41" s="0" t="s">
        <v>126</v>
      </c>
      <c r="C41" s="0" t="s">
        <v>3509</v>
      </c>
      <c r="D41" s="0" t="s">
        <v>3510</v>
      </c>
      <c r="E41" s="0" t="s">
        <v>3511</v>
      </c>
      <c r="F41" s="0" t="s">
        <v>3432</v>
      </c>
      <c r="G41" s="0" t="s">
        <v>1960</v>
      </c>
    </row>
    <row customHeight="1" ht="11.25">
      <c r="A42" s="0" t="s">
        <v>16</v>
      </c>
      <c r="B42" s="0" t="s">
        <v>126</v>
      </c>
      <c r="C42" s="0" t="s">
        <v>3509</v>
      </c>
      <c r="D42" s="0" t="s">
        <v>3512</v>
      </c>
      <c r="E42" s="0" t="s">
        <v>3513</v>
      </c>
      <c r="F42" s="0" t="s">
        <v>3432</v>
      </c>
      <c r="G42" s="0" t="s">
        <v>1963</v>
      </c>
    </row>
    <row customHeight="1" ht="11.25">
      <c r="A43" s="0" t="s">
        <v>16</v>
      </c>
      <c r="B43" s="0" t="s">
        <v>126</v>
      </c>
      <c r="C43" s="0" t="s">
        <v>3509</v>
      </c>
      <c r="D43" s="0" t="s">
        <v>126</v>
      </c>
      <c r="E43" s="0" t="s">
        <v>3509</v>
      </c>
      <c r="F43" s="0" t="s">
        <v>3429</v>
      </c>
      <c r="G43" s="0" t="s">
        <v>1970</v>
      </c>
    </row>
    <row customHeight="1" ht="11.25">
      <c r="A44" s="0" t="s">
        <v>16</v>
      </c>
      <c r="B44" s="0" t="s">
        <v>126</v>
      </c>
      <c r="C44" s="0" t="s">
        <v>3509</v>
      </c>
      <c r="D44" s="0" t="s">
        <v>3514</v>
      </c>
      <c r="E44" s="0" t="s">
        <v>3515</v>
      </c>
      <c r="F44" s="0" t="s">
        <v>3432</v>
      </c>
      <c r="G44" s="0" t="s">
        <v>1979</v>
      </c>
    </row>
    <row customHeight="1" ht="11.25">
      <c r="A45" s="0" t="s">
        <v>16</v>
      </c>
      <c r="B45" s="0" t="s">
        <v>126</v>
      </c>
      <c r="C45" s="0" t="s">
        <v>3509</v>
      </c>
      <c r="D45" s="0" t="s">
        <v>3516</v>
      </c>
      <c r="E45" s="0" t="s">
        <v>3517</v>
      </c>
      <c r="F45" s="0" t="s">
        <v>3459</v>
      </c>
      <c r="G45" s="0" t="s">
        <v>1984</v>
      </c>
    </row>
    <row customHeight="1" ht="11.25">
      <c r="A46" s="0" t="s">
        <v>16</v>
      </c>
      <c r="B46" s="0" t="s">
        <v>126</v>
      </c>
      <c r="C46" s="0" t="s">
        <v>3509</v>
      </c>
      <c r="D46" s="0" t="s">
        <v>3518</v>
      </c>
      <c r="E46" s="0" t="s">
        <v>3519</v>
      </c>
      <c r="F46" s="0" t="s">
        <v>3448</v>
      </c>
      <c r="G46" s="0" t="s">
        <v>1987</v>
      </c>
    </row>
    <row customHeight="1" ht="11.25">
      <c r="A47" s="0" t="s">
        <v>16</v>
      </c>
      <c r="B47" s="0" t="s">
        <v>126</v>
      </c>
      <c r="C47" s="0" t="s">
        <v>3509</v>
      </c>
      <c r="D47" s="0" t="s">
        <v>127</v>
      </c>
      <c r="E47" s="0" t="s">
        <v>128</v>
      </c>
      <c r="F47" s="0" t="s">
        <v>3448</v>
      </c>
      <c r="G47" s="0" t="s">
        <v>125</v>
      </c>
    </row>
    <row customHeight="1" ht="11.25">
      <c r="A48" s="0" t="s">
        <v>16</v>
      </c>
      <c r="B48" s="0" t="s">
        <v>126</v>
      </c>
      <c r="C48" s="0" t="s">
        <v>3509</v>
      </c>
      <c r="D48" s="0" t="s">
        <v>3520</v>
      </c>
      <c r="E48" s="0" t="s">
        <v>3521</v>
      </c>
      <c r="F48" s="0" t="s">
        <v>3432</v>
      </c>
      <c r="G48" s="0" t="s">
        <v>1997</v>
      </c>
    </row>
    <row customHeight="1" ht="11.25">
      <c r="A49" s="0" t="s">
        <v>16</v>
      </c>
      <c r="B49" s="0" t="s">
        <v>126</v>
      </c>
      <c r="C49" s="0" t="s">
        <v>3509</v>
      </c>
      <c r="D49" s="0" t="s">
        <v>3522</v>
      </c>
      <c r="E49" s="0" t="s">
        <v>3523</v>
      </c>
      <c r="F49" s="0" t="s">
        <v>3432</v>
      </c>
      <c r="G49" s="0" t="s">
        <v>2000</v>
      </c>
    </row>
    <row customHeight="1" ht="11.25">
      <c r="A50" s="0" t="s">
        <v>16</v>
      </c>
      <c r="B50" s="0" t="s">
        <v>126</v>
      </c>
      <c r="C50" s="0" t="s">
        <v>3509</v>
      </c>
      <c r="D50" s="0" t="s">
        <v>3524</v>
      </c>
      <c r="E50" s="0" t="s">
        <v>3525</v>
      </c>
      <c r="F50" s="0" t="s">
        <v>3432</v>
      </c>
      <c r="G50" s="0" t="s">
        <v>2004</v>
      </c>
    </row>
    <row customHeight="1" ht="11.25">
      <c r="A51" s="0" t="s">
        <v>16</v>
      </c>
      <c r="B51" s="0" t="s">
        <v>126</v>
      </c>
      <c r="C51" s="0" t="s">
        <v>3509</v>
      </c>
      <c r="D51" s="0" t="s">
        <v>3526</v>
      </c>
      <c r="E51" s="0" t="s">
        <v>3527</v>
      </c>
      <c r="F51" s="0" t="s">
        <v>3432</v>
      </c>
      <c r="G51" s="0" t="s">
        <v>2009</v>
      </c>
    </row>
    <row customHeight="1" ht="11.25">
      <c r="A52" s="0" t="s">
        <v>16</v>
      </c>
      <c r="B52" s="0" t="s">
        <v>126</v>
      </c>
      <c r="C52" s="0" t="s">
        <v>3509</v>
      </c>
      <c r="D52" s="0" t="s">
        <v>3528</v>
      </c>
      <c r="E52" s="0" t="s">
        <v>3529</v>
      </c>
      <c r="F52" s="0" t="s">
        <v>3432</v>
      </c>
      <c r="G52" s="0" t="s">
        <v>2013</v>
      </c>
    </row>
    <row customHeight="1" ht="11.25">
      <c r="A53" s="0" t="s">
        <v>16</v>
      </c>
      <c r="B53" s="0" t="s">
        <v>126</v>
      </c>
      <c r="C53" s="0" t="s">
        <v>3509</v>
      </c>
      <c r="D53" s="0" t="s">
        <v>3530</v>
      </c>
      <c r="E53" s="0" t="s">
        <v>3531</v>
      </c>
      <c r="F53" s="0" t="s">
        <v>3432</v>
      </c>
      <c r="G53" s="0" t="s">
        <v>2015</v>
      </c>
    </row>
    <row customHeight="1" ht="11.25">
      <c r="A54" s="0" t="s">
        <v>16</v>
      </c>
      <c r="B54" s="0" t="s">
        <v>126</v>
      </c>
      <c r="C54" s="0" t="s">
        <v>3509</v>
      </c>
      <c r="D54" s="0" t="s">
        <v>3532</v>
      </c>
      <c r="E54" s="0" t="s">
        <v>3533</v>
      </c>
      <c r="F54" s="0" t="s">
        <v>3432</v>
      </c>
      <c r="G54" s="0" t="s">
        <v>2018</v>
      </c>
    </row>
    <row customHeight="1" ht="11.25">
      <c r="A55" s="0" t="s">
        <v>16</v>
      </c>
      <c r="B55" s="0" t="s">
        <v>126</v>
      </c>
      <c r="C55" s="0" t="s">
        <v>3509</v>
      </c>
      <c r="D55" s="0" t="s">
        <v>3534</v>
      </c>
      <c r="E55" s="0" t="s">
        <v>3535</v>
      </c>
      <c r="F55" s="0" t="s">
        <v>3432</v>
      </c>
      <c r="G55" s="0" t="s">
        <v>2023</v>
      </c>
    </row>
    <row customHeight="1" ht="11.25">
      <c r="A56" s="0" t="s">
        <v>16</v>
      </c>
      <c r="B56" s="0" t="s">
        <v>3536</v>
      </c>
      <c r="C56" s="0" t="s">
        <v>3537</v>
      </c>
      <c r="D56" s="0" t="s">
        <v>3538</v>
      </c>
      <c r="E56" s="0" t="s">
        <v>3539</v>
      </c>
      <c r="F56" s="0" t="s">
        <v>3432</v>
      </c>
      <c r="G56" s="0" t="s">
        <v>2027</v>
      </c>
    </row>
    <row customHeight="1" ht="11.25">
      <c r="A57" s="0" t="s">
        <v>16</v>
      </c>
      <c r="B57" s="0" t="s">
        <v>3536</v>
      </c>
      <c r="C57" s="0" t="s">
        <v>3537</v>
      </c>
      <c r="D57" s="0" t="s">
        <v>3540</v>
      </c>
      <c r="E57" s="0" t="s">
        <v>3541</v>
      </c>
      <c r="F57" s="0" t="s">
        <v>3432</v>
      </c>
      <c r="G57" s="0" t="s">
        <v>2030</v>
      </c>
    </row>
    <row customHeight="1" ht="11.25">
      <c r="A58" s="0" t="s">
        <v>16</v>
      </c>
      <c r="B58" s="0" t="s">
        <v>3536</v>
      </c>
      <c r="C58" s="0" t="s">
        <v>3537</v>
      </c>
      <c r="D58" s="0" t="s">
        <v>3542</v>
      </c>
      <c r="E58" s="0" t="s">
        <v>3543</v>
      </c>
      <c r="F58" s="0" t="s">
        <v>3432</v>
      </c>
      <c r="G58" s="0" t="s">
        <v>2033</v>
      </c>
    </row>
    <row customHeight="1" ht="11.25">
      <c r="A59" s="0" t="s">
        <v>16</v>
      </c>
      <c r="B59" s="0" t="s">
        <v>3536</v>
      </c>
      <c r="C59" s="0" t="s">
        <v>3537</v>
      </c>
      <c r="D59" s="0" t="s">
        <v>3544</v>
      </c>
      <c r="E59" s="0" t="s">
        <v>3545</v>
      </c>
      <c r="F59" s="0" t="s">
        <v>3432</v>
      </c>
      <c r="G59" s="0" t="s">
        <v>2037</v>
      </c>
    </row>
    <row customHeight="1" ht="11.25">
      <c r="A60" s="0" t="s">
        <v>16</v>
      </c>
      <c r="B60" s="0" t="s">
        <v>3536</v>
      </c>
      <c r="C60" s="0" t="s">
        <v>3537</v>
      </c>
      <c r="D60" s="0" t="s">
        <v>3536</v>
      </c>
      <c r="E60" s="0" t="s">
        <v>3537</v>
      </c>
      <c r="F60" s="0" t="s">
        <v>3429</v>
      </c>
      <c r="G60" s="0" t="s">
        <v>2040</v>
      </c>
    </row>
    <row customHeight="1" ht="11.25">
      <c r="A61" s="0" t="s">
        <v>16</v>
      </c>
      <c r="B61" s="0" t="s">
        <v>3536</v>
      </c>
      <c r="C61" s="0" t="s">
        <v>3537</v>
      </c>
      <c r="D61" s="0" t="s">
        <v>3546</v>
      </c>
      <c r="E61" s="0" t="s">
        <v>3547</v>
      </c>
      <c r="F61" s="0" t="s">
        <v>3432</v>
      </c>
      <c r="G61" s="0" t="s">
        <v>3548</v>
      </c>
    </row>
    <row customHeight="1" ht="11.25">
      <c r="A62" s="0" t="s">
        <v>16</v>
      </c>
      <c r="B62" s="0" t="s">
        <v>3536</v>
      </c>
      <c r="C62" s="0" t="s">
        <v>3537</v>
      </c>
      <c r="D62" s="0" t="s">
        <v>3549</v>
      </c>
      <c r="E62" s="0" t="s">
        <v>3550</v>
      </c>
      <c r="F62" s="0" t="s">
        <v>3435</v>
      </c>
      <c r="G62" s="0" t="s">
        <v>3551</v>
      </c>
    </row>
    <row customHeight="1" ht="11.25">
      <c r="A63" s="0" t="s">
        <v>16</v>
      </c>
      <c r="B63" s="0" t="s">
        <v>3536</v>
      </c>
      <c r="C63" s="0" t="s">
        <v>3537</v>
      </c>
      <c r="D63" s="0" t="s">
        <v>3552</v>
      </c>
      <c r="E63" s="0" t="s">
        <v>3553</v>
      </c>
      <c r="F63" s="0" t="s">
        <v>3432</v>
      </c>
      <c r="G63" s="0" t="s">
        <v>3554</v>
      </c>
    </row>
    <row customHeight="1" ht="11.25">
      <c r="A64" s="0" t="s">
        <v>16</v>
      </c>
      <c r="B64" s="0" t="s">
        <v>3536</v>
      </c>
      <c r="C64" s="0" t="s">
        <v>3537</v>
      </c>
      <c r="D64" s="0" t="s">
        <v>3555</v>
      </c>
      <c r="E64" s="0" t="s">
        <v>3556</v>
      </c>
      <c r="F64" s="0" t="s">
        <v>3432</v>
      </c>
      <c r="G64" s="0" t="s">
        <v>3557</v>
      </c>
    </row>
    <row customHeight="1" ht="11.25">
      <c r="A65" s="0" t="s">
        <v>16</v>
      </c>
      <c r="B65" s="0" t="s">
        <v>3536</v>
      </c>
      <c r="C65" s="0" t="s">
        <v>3537</v>
      </c>
      <c r="D65" s="0" t="s">
        <v>3558</v>
      </c>
      <c r="E65" s="0" t="s">
        <v>3559</v>
      </c>
      <c r="F65" s="0" t="s">
        <v>3432</v>
      </c>
      <c r="G65" s="0" t="s">
        <v>3560</v>
      </c>
    </row>
    <row customHeight="1" ht="11.25">
      <c r="A66" s="0" t="s">
        <v>16</v>
      </c>
      <c r="B66" s="0" t="s">
        <v>3536</v>
      </c>
      <c r="C66" s="0" t="s">
        <v>3537</v>
      </c>
      <c r="D66" s="0" t="s">
        <v>3561</v>
      </c>
      <c r="E66" s="0" t="s">
        <v>3562</v>
      </c>
      <c r="F66" s="0" t="s">
        <v>3432</v>
      </c>
      <c r="G66" s="0" t="s">
        <v>3563</v>
      </c>
    </row>
    <row customHeight="1" ht="11.25">
      <c r="A67" s="0" t="s">
        <v>16</v>
      </c>
      <c r="B67" s="0" t="s">
        <v>3536</v>
      </c>
      <c r="C67" s="0" t="s">
        <v>3537</v>
      </c>
      <c r="D67" s="0" t="s">
        <v>3564</v>
      </c>
      <c r="E67" s="0" t="s">
        <v>3565</v>
      </c>
      <c r="F67" s="0" t="s">
        <v>3432</v>
      </c>
      <c r="G67" s="0" t="s">
        <v>2356</v>
      </c>
    </row>
    <row customHeight="1" ht="11.25">
      <c r="A68" s="0" t="s">
        <v>16</v>
      </c>
      <c r="B68" s="0" t="s">
        <v>3536</v>
      </c>
      <c r="C68" s="0" t="s">
        <v>3537</v>
      </c>
      <c r="D68" s="0" t="s">
        <v>3566</v>
      </c>
      <c r="E68" s="0" t="s">
        <v>3567</v>
      </c>
      <c r="F68" s="0" t="s">
        <v>3432</v>
      </c>
      <c r="G68" s="0" t="s">
        <v>3568</v>
      </c>
    </row>
    <row customHeight="1" ht="11.25">
      <c r="A69" s="0" t="s">
        <v>16</v>
      </c>
      <c r="B69" s="0" t="s">
        <v>3536</v>
      </c>
      <c r="C69" s="0" t="s">
        <v>3537</v>
      </c>
      <c r="D69" s="0" t="s">
        <v>3569</v>
      </c>
      <c r="E69" s="0" t="s">
        <v>3570</v>
      </c>
      <c r="F69" s="0" t="s">
        <v>3432</v>
      </c>
      <c r="G69" s="0" t="s">
        <v>2559</v>
      </c>
    </row>
    <row customHeight="1" ht="11.25">
      <c r="A70" s="0" t="s">
        <v>16</v>
      </c>
      <c r="B70" s="0" t="s">
        <v>3536</v>
      </c>
      <c r="C70" s="0" t="s">
        <v>3537</v>
      </c>
      <c r="D70" s="0" t="s">
        <v>3571</v>
      </c>
      <c r="E70" s="0" t="s">
        <v>3572</v>
      </c>
      <c r="F70" s="0" t="s">
        <v>3432</v>
      </c>
      <c r="G70" s="0" t="s">
        <v>3573</v>
      </c>
    </row>
    <row customHeight="1" ht="11.25">
      <c r="A71" s="0" t="s">
        <v>16</v>
      </c>
      <c r="B71" s="0" t="s">
        <v>3536</v>
      </c>
      <c r="C71" s="0" t="s">
        <v>3537</v>
      </c>
      <c r="D71" s="0" t="s">
        <v>3574</v>
      </c>
      <c r="E71" s="0" t="s">
        <v>3575</v>
      </c>
      <c r="F71" s="0" t="s">
        <v>3432</v>
      </c>
      <c r="G71" s="0" t="s">
        <v>3576</v>
      </c>
    </row>
    <row customHeight="1" ht="11.25">
      <c r="A72" s="0" t="s">
        <v>16</v>
      </c>
      <c r="B72" s="0" t="s">
        <v>3536</v>
      </c>
      <c r="C72" s="0" t="s">
        <v>3537</v>
      </c>
      <c r="D72" s="0" t="s">
        <v>3577</v>
      </c>
      <c r="E72" s="0" t="s">
        <v>3578</v>
      </c>
      <c r="F72" s="0" t="s">
        <v>3432</v>
      </c>
      <c r="G72" s="0" t="s">
        <v>3579</v>
      </c>
    </row>
    <row customHeight="1" ht="11.25">
      <c r="A73" s="0" t="s">
        <v>16</v>
      </c>
      <c r="B73" s="0" t="s">
        <v>3536</v>
      </c>
      <c r="C73" s="0" t="s">
        <v>3537</v>
      </c>
      <c r="D73" s="0" t="s">
        <v>3580</v>
      </c>
      <c r="E73" s="0" t="s">
        <v>3581</v>
      </c>
      <c r="F73" s="0" t="s">
        <v>3432</v>
      </c>
      <c r="G73" s="0" t="s">
        <v>3582</v>
      </c>
    </row>
    <row customHeight="1" ht="11.25">
      <c r="A74" s="0" t="s">
        <v>16</v>
      </c>
      <c r="B74" s="0" t="s">
        <v>3536</v>
      </c>
      <c r="C74" s="0" t="s">
        <v>3537</v>
      </c>
      <c r="D74" s="0" t="s">
        <v>3583</v>
      </c>
      <c r="E74" s="0" t="s">
        <v>3584</v>
      </c>
      <c r="F74" s="0" t="s">
        <v>3432</v>
      </c>
      <c r="G74" s="0" t="s">
        <v>3585</v>
      </c>
    </row>
    <row customHeight="1" ht="11.25">
      <c r="A75" s="0" t="s">
        <v>16</v>
      </c>
      <c r="B75" s="0" t="s">
        <v>3536</v>
      </c>
      <c r="C75" s="0" t="s">
        <v>3537</v>
      </c>
      <c r="D75" s="0" t="s">
        <v>3586</v>
      </c>
      <c r="E75" s="0" t="s">
        <v>3587</v>
      </c>
      <c r="F75" s="0" t="s">
        <v>3432</v>
      </c>
      <c r="G75" s="0" t="s">
        <v>3588</v>
      </c>
    </row>
    <row customHeight="1" ht="11.25">
      <c r="A76" s="0" t="s">
        <v>16</v>
      </c>
      <c r="B76" s="0" t="s">
        <v>112</v>
      </c>
      <c r="C76" s="0" t="s">
        <v>113</v>
      </c>
      <c r="D76" s="0" t="s">
        <v>112</v>
      </c>
      <c r="E76" s="0" t="s">
        <v>113</v>
      </c>
      <c r="F76" s="0" t="s">
        <v>3589</v>
      </c>
      <c r="G76" s="0" t="s">
        <v>111</v>
      </c>
    </row>
    <row customHeight="1" ht="11.25">
      <c r="A77" s="0" t="s">
        <v>16</v>
      </c>
      <c r="B77" s="0" t="s">
        <v>131</v>
      </c>
      <c r="C77" s="0" t="s">
        <v>132</v>
      </c>
      <c r="D77" s="0" t="s">
        <v>131</v>
      </c>
      <c r="E77" s="0" t="s">
        <v>132</v>
      </c>
      <c r="F77" s="0" t="s">
        <v>3589</v>
      </c>
      <c r="G77" s="0" t="s">
        <v>130</v>
      </c>
    </row>
    <row customHeight="1" ht="11.25">
      <c r="A78" s="0" t="s">
        <v>16</v>
      </c>
      <c r="B78" s="0" t="s">
        <v>3590</v>
      </c>
      <c r="C78" s="0" t="s">
        <v>3591</v>
      </c>
      <c r="D78" s="0" t="s">
        <v>3592</v>
      </c>
      <c r="E78" s="0" t="s">
        <v>3593</v>
      </c>
      <c r="F78" s="0" t="s">
        <v>3432</v>
      </c>
      <c r="G78" s="0" t="s">
        <v>3594</v>
      </c>
    </row>
    <row customHeight="1" ht="11.25">
      <c r="A79" s="0" t="s">
        <v>16</v>
      </c>
      <c r="B79" s="0" t="s">
        <v>3590</v>
      </c>
      <c r="C79" s="0" t="s">
        <v>3591</v>
      </c>
      <c r="D79" s="0" t="s">
        <v>3595</v>
      </c>
      <c r="E79" s="0" t="s">
        <v>3596</v>
      </c>
      <c r="F79" s="0" t="s">
        <v>3432</v>
      </c>
      <c r="G79" s="0" t="s">
        <v>3597</v>
      </c>
    </row>
    <row customHeight="1" ht="11.25">
      <c r="A80" s="0" t="s">
        <v>16</v>
      </c>
      <c r="B80" s="0" t="s">
        <v>3590</v>
      </c>
      <c r="C80" s="0" t="s">
        <v>3591</v>
      </c>
      <c r="D80" s="0" t="s">
        <v>3598</v>
      </c>
      <c r="E80" s="0" t="s">
        <v>3599</v>
      </c>
      <c r="F80" s="0" t="s">
        <v>3432</v>
      </c>
      <c r="G80" s="0" t="s">
        <v>3600</v>
      </c>
    </row>
    <row customHeight="1" ht="11.25">
      <c r="A81" s="0" t="s">
        <v>16</v>
      </c>
      <c r="B81" s="0" t="s">
        <v>3590</v>
      </c>
      <c r="C81" s="0" t="s">
        <v>3591</v>
      </c>
      <c r="D81" s="0" t="s">
        <v>3601</v>
      </c>
      <c r="E81" s="0" t="s">
        <v>3602</v>
      </c>
      <c r="F81" s="0" t="s">
        <v>3432</v>
      </c>
      <c r="G81" s="0" t="s">
        <v>3603</v>
      </c>
    </row>
    <row customHeight="1" ht="11.25">
      <c r="A82" s="0" t="s">
        <v>16</v>
      </c>
      <c r="B82" s="0" t="s">
        <v>3590</v>
      </c>
      <c r="C82" s="0" t="s">
        <v>3591</v>
      </c>
      <c r="D82" s="0" t="s">
        <v>3604</v>
      </c>
      <c r="E82" s="0" t="s">
        <v>3605</v>
      </c>
      <c r="F82" s="0" t="s">
        <v>3432</v>
      </c>
      <c r="G82" s="0" t="s">
        <v>3606</v>
      </c>
    </row>
    <row customHeight="1" ht="11.25">
      <c r="A83" s="0" t="s">
        <v>16</v>
      </c>
      <c r="B83" s="0" t="s">
        <v>3590</v>
      </c>
      <c r="C83" s="0" t="s">
        <v>3591</v>
      </c>
      <c r="D83" s="0" t="s">
        <v>3607</v>
      </c>
      <c r="E83" s="0" t="s">
        <v>3608</v>
      </c>
      <c r="F83" s="0" t="s">
        <v>3432</v>
      </c>
      <c r="G83" s="0" t="s">
        <v>3609</v>
      </c>
    </row>
    <row customHeight="1" ht="11.25">
      <c r="A84" s="0" t="s">
        <v>16</v>
      </c>
      <c r="B84" s="0" t="s">
        <v>3590</v>
      </c>
      <c r="C84" s="0" t="s">
        <v>3591</v>
      </c>
      <c r="D84" s="0" t="s">
        <v>3610</v>
      </c>
      <c r="E84" s="0" t="s">
        <v>3611</v>
      </c>
      <c r="F84" s="0" t="s">
        <v>3432</v>
      </c>
      <c r="G84" s="0" t="s">
        <v>3612</v>
      </c>
    </row>
    <row customHeight="1" ht="11.25">
      <c r="A85" s="0" t="s">
        <v>16</v>
      </c>
      <c r="B85" s="0" t="s">
        <v>3590</v>
      </c>
      <c r="C85" s="0" t="s">
        <v>3591</v>
      </c>
      <c r="D85" s="0" t="s">
        <v>3613</v>
      </c>
      <c r="E85" s="0" t="s">
        <v>3614</v>
      </c>
      <c r="F85" s="0" t="s">
        <v>3432</v>
      </c>
      <c r="G85" s="0" t="s">
        <v>3615</v>
      </c>
    </row>
    <row customHeight="1" ht="11.25">
      <c r="A86" s="0" t="s">
        <v>16</v>
      </c>
      <c r="B86" s="0" t="s">
        <v>3590</v>
      </c>
      <c r="C86" s="0" t="s">
        <v>3591</v>
      </c>
      <c r="D86" s="0" t="s">
        <v>3616</v>
      </c>
      <c r="E86" s="0" t="s">
        <v>3617</v>
      </c>
      <c r="F86" s="0" t="s">
        <v>3432</v>
      </c>
      <c r="G86" s="0" t="s">
        <v>3618</v>
      </c>
    </row>
    <row customHeight="1" ht="11.25">
      <c r="A87" s="0" t="s">
        <v>16</v>
      </c>
      <c r="B87" s="0" t="s">
        <v>3590</v>
      </c>
      <c r="C87" s="0" t="s">
        <v>3591</v>
      </c>
      <c r="D87" s="0" t="s">
        <v>3590</v>
      </c>
      <c r="E87" s="0" t="s">
        <v>3591</v>
      </c>
      <c r="F87" s="0" t="s">
        <v>3429</v>
      </c>
      <c r="G87" s="0" t="s">
        <v>3619</v>
      </c>
    </row>
    <row customHeight="1" ht="11.25">
      <c r="A88" s="0" t="s">
        <v>16</v>
      </c>
      <c r="B88" s="0" t="s">
        <v>3590</v>
      </c>
      <c r="C88" s="0" t="s">
        <v>3591</v>
      </c>
      <c r="D88" s="0" t="s">
        <v>3620</v>
      </c>
      <c r="E88" s="0" t="s">
        <v>3621</v>
      </c>
      <c r="F88" s="0" t="s">
        <v>3432</v>
      </c>
      <c r="G88" s="0" t="s">
        <v>3622</v>
      </c>
    </row>
    <row customHeight="1" ht="11.25">
      <c r="A89" s="0" t="s">
        <v>16</v>
      </c>
      <c r="B89" s="0" t="s">
        <v>3590</v>
      </c>
      <c r="C89" s="0" t="s">
        <v>3591</v>
      </c>
      <c r="D89" s="0" t="s">
        <v>3623</v>
      </c>
      <c r="E89" s="0" t="s">
        <v>3624</v>
      </c>
      <c r="F89" s="0" t="s">
        <v>3432</v>
      </c>
      <c r="G89" s="0" t="s">
        <v>3625</v>
      </c>
    </row>
    <row customHeight="1" ht="11.25">
      <c r="A90" s="0" t="s">
        <v>16</v>
      </c>
      <c r="B90" s="0" t="s">
        <v>3590</v>
      </c>
      <c r="C90" s="0" t="s">
        <v>3591</v>
      </c>
      <c r="D90" s="0" t="s">
        <v>3626</v>
      </c>
      <c r="E90" s="0" t="s">
        <v>3627</v>
      </c>
      <c r="F90" s="0" t="s">
        <v>3432</v>
      </c>
      <c r="G90" s="0" t="s">
        <v>3628</v>
      </c>
    </row>
    <row customHeight="1" ht="11.25">
      <c r="A91" s="0" t="s">
        <v>16</v>
      </c>
      <c r="B91" s="0" t="s">
        <v>3590</v>
      </c>
      <c r="C91" s="0" t="s">
        <v>3591</v>
      </c>
      <c r="D91" s="0" t="s">
        <v>3629</v>
      </c>
      <c r="E91" s="0" t="s">
        <v>3630</v>
      </c>
      <c r="F91" s="0" t="s">
        <v>3432</v>
      </c>
      <c r="G91" s="0" t="s">
        <v>3631</v>
      </c>
    </row>
    <row customHeight="1" ht="11.25">
      <c r="A92" s="0" t="s">
        <v>16</v>
      </c>
      <c r="B92" s="0" t="s">
        <v>3590</v>
      </c>
      <c r="C92" s="0" t="s">
        <v>3591</v>
      </c>
      <c r="D92" s="0" t="s">
        <v>3632</v>
      </c>
      <c r="E92" s="0" t="s">
        <v>3633</v>
      </c>
      <c r="F92" s="0" t="s">
        <v>3432</v>
      </c>
      <c r="G92" s="0" t="s">
        <v>3634</v>
      </c>
    </row>
    <row customHeight="1" ht="11.25">
      <c r="A93" s="0" t="s">
        <v>16</v>
      </c>
      <c r="B93" s="0" t="s">
        <v>3590</v>
      </c>
      <c r="C93" s="0" t="s">
        <v>3591</v>
      </c>
      <c r="D93" s="0" t="s">
        <v>3635</v>
      </c>
      <c r="E93" s="0" t="s">
        <v>3636</v>
      </c>
      <c r="F93" s="0" t="s">
        <v>3432</v>
      </c>
      <c r="G93" s="0" t="s">
        <v>3637</v>
      </c>
    </row>
    <row customHeight="1" ht="11.25">
      <c r="A94" s="0" t="s">
        <v>16</v>
      </c>
      <c r="B94" s="0" t="s">
        <v>3590</v>
      </c>
      <c r="C94" s="0" t="s">
        <v>3591</v>
      </c>
      <c r="D94" s="0" t="s">
        <v>3638</v>
      </c>
      <c r="E94" s="0" t="s">
        <v>3639</v>
      </c>
      <c r="F94" s="0" t="s">
        <v>3432</v>
      </c>
      <c r="G94" s="0" t="s">
        <v>3640</v>
      </c>
    </row>
    <row customHeight="1" ht="11.25">
      <c r="A95" s="0" t="s">
        <v>16</v>
      </c>
      <c r="B95" s="0" t="s">
        <v>3590</v>
      </c>
      <c r="C95" s="0" t="s">
        <v>3591</v>
      </c>
      <c r="D95" s="0" t="s">
        <v>3641</v>
      </c>
      <c r="E95" s="0" t="s">
        <v>3642</v>
      </c>
      <c r="F95" s="0" t="s">
        <v>3432</v>
      </c>
      <c r="G95" s="0" t="s">
        <v>3643</v>
      </c>
    </row>
    <row customHeight="1" ht="11.25">
      <c r="A96" s="0" t="s">
        <v>16</v>
      </c>
      <c r="B96" s="0" t="s">
        <v>3590</v>
      </c>
      <c r="C96" s="0" t="s">
        <v>3591</v>
      </c>
      <c r="D96" s="0" t="s">
        <v>3644</v>
      </c>
      <c r="E96" s="0" t="s">
        <v>3645</v>
      </c>
      <c r="F96" s="0" t="s">
        <v>3432</v>
      </c>
      <c r="G96" s="0" t="s">
        <v>3646</v>
      </c>
    </row>
    <row customHeight="1" ht="11.25">
      <c r="A97" s="0" t="s">
        <v>16</v>
      </c>
      <c r="B97" s="0" t="s">
        <v>3590</v>
      </c>
      <c r="C97" s="0" t="s">
        <v>3591</v>
      </c>
      <c r="D97" s="0" t="s">
        <v>3647</v>
      </c>
      <c r="E97" s="0" t="s">
        <v>3648</v>
      </c>
      <c r="F97" s="0" t="s">
        <v>3432</v>
      </c>
      <c r="G97" s="0" t="s">
        <v>3649</v>
      </c>
    </row>
    <row customHeight="1" ht="11.25">
      <c r="A98" s="0" t="s">
        <v>16</v>
      </c>
      <c r="B98" s="0" t="s">
        <v>3590</v>
      </c>
      <c r="C98" s="0" t="s">
        <v>3591</v>
      </c>
      <c r="D98" s="0" t="s">
        <v>3650</v>
      </c>
      <c r="E98" s="0" t="s">
        <v>3651</v>
      </c>
      <c r="F98" s="0" t="s">
        <v>3432</v>
      </c>
      <c r="G98" s="0" t="s">
        <v>3652</v>
      </c>
    </row>
    <row customHeight="1" ht="11.25">
      <c r="A99" s="0" t="s">
        <v>16</v>
      </c>
      <c r="B99" s="0" t="s">
        <v>3590</v>
      </c>
      <c r="C99" s="0" t="s">
        <v>3591</v>
      </c>
      <c r="D99" s="0" t="s">
        <v>3653</v>
      </c>
      <c r="E99" s="0" t="s">
        <v>3654</v>
      </c>
      <c r="F99" s="0" t="s">
        <v>3432</v>
      </c>
      <c r="G99" s="0" t="s">
        <v>3655</v>
      </c>
    </row>
    <row customHeight="1" ht="11.25">
      <c r="A100" s="0" t="s">
        <v>16</v>
      </c>
      <c r="B100" s="0" t="s">
        <v>3656</v>
      </c>
      <c r="C100" s="0" t="s">
        <v>3657</v>
      </c>
      <c r="D100" s="0" t="s">
        <v>3658</v>
      </c>
      <c r="E100" s="0" t="s">
        <v>3659</v>
      </c>
      <c r="F100" s="0" t="s">
        <v>3432</v>
      </c>
      <c r="G100" s="0" t="s">
        <v>3660</v>
      </c>
    </row>
    <row customHeight="1" ht="11.25">
      <c r="A101" s="0" t="s">
        <v>16</v>
      </c>
      <c r="B101" s="0" t="s">
        <v>3656</v>
      </c>
      <c r="C101" s="0" t="s">
        <v>3657</v>
      </c>
      <c r="D101" s="0" t="s">
        <v>3661</v>
      </c>
      <c r="E101" s="0" t="s">
        <v>3662</v>
      </c>
      <c r="F101" s="0" t="s">
        <v>3432</v>
      </c>
      <c r="G101" s="0" t="s">
        <v>3663</v>
      </c>
    </row>
    <row customHeight="1" ht="11.25">
      <c r="A102" s="0" t="s">
        <v>16</v>
      </c>
      <c r="B102" s="0" t="s">
        <v>3656</v>
      </c>
      <c r="C102" s="0" t="s">
        <v>3657</v>
      </c>
      <c r="D102" s="0" t="s">
        <v>3664</v>
      </c>
      <c r="E102" s="0" t="s">
        <v>3665</v>
      </c>
      <c r="F102" s="0" t="s">
        <v>3432</v>
      </c>
      <c r="G102" s="0" t="s">
        <v>3666</v>
      </c>
    </row>
    <row customHeight="1" ht="11.25">
      <c r="A103" s="0" t="s">
        <v>16</v>
      </c>
      <c r="B103" s="0" t="s">
        <v>3656</v>
      </c>
      <c r="C103" s="0" t="s">
        <v>3657</v>
      </c>
      <c r="D103" s="0" t="s">
        <v>3667</v>
      </c>
      <c r="E103" s="0" t="s">
        <v>3668</v>
      </c>
      <c r="F103" s="0" t="s">
        <v>3432</v>
      </c>
      <c r="G103" s="0" t="s">
        <v>3669</v>
      </c>
    </row>
    <row customHeight="1" ht="11.25">
      <c r="A104" s="0" t="s">
        <v>16</v>
      </c>
      <c r="B104" s="0" t="s">
        <v>3656</v>
      </c>
      <c r="C104" s="0" t="s">
        <v>3657</v>
      </c>
      <c r="D104" s="0" t="s">
        <v>3670</v>
      </c>
      <c r="E104" s="0" t="s">
        <v>3671</v>
      </c>
      <c r="F104" s="0" t="s">
        <v>3432</v>
      </c>
      <c r="G104" s="0" t="s">
        <v>3672</v>
      </c>
    </row>
    <row customHeight="1" ht="11.25">
      <c r="A105" s="0" t="s">
        <v>16</v>
      </c>
      <c r="B105" s="0" t="s">
        <v>3656</v>
      </c>
      <c r="C105" s="0" t="s">
        <v>3657</v>
      </c>
      <c r="D105" s="0" t="s">
        <v>3673</v>
      </c>
      <c r="E105" s="0" t="s">
        <v>3674</v>
      </c>
      <c r="F105" s="0" t="s">
        <v>3432</v>
      </c>
      <c r="G105" s="0" t="s">
        <v>3675</v>
      </c>
    </row>
    <row customHeight="1" ht="11.25">
      <c r="A106" s="0" t="s">
        <v>16</v>
      </c>
      <c r="B106" s="0" t="s">
        <v>3656</v>
      </c>
      <c r="C106" s="0" t="s">
        <v>3657</v>
      </c>
      <c r="D106" s="0" t="s">
        <v>3676</v>
      </c>
      <c r="E106" s="0" t="s">
        <v>3677</v>
      </c>
      <c r="F106" s="0" t="s">
        <v>3432</v>
      </c>
      <c r="G106" s="0" t="s">
        <v>3678</v>
      </c>
    </row>
    <row customHeight="1" ht="11.25">
      <c r="A107" s="0" t="s">
        <v>16</v>
      </c>
      <c r="B107" s="0" t="s">
        <v>3656</v>
      </c>
      <c r="C107" s="0" t="s">
        <v>3657</v>
      </c>
      <c r="D107" s="0" t="s">
        <v>3679</v>
      </c>
      <c r="E107" s="0" t="s">
        <v>3680</v>
      </c>
      <c r="F107" s="0" t="s">
        <v>3432</v>
      </c>
      <c r="G107" s="0" t="s">
        <v>3681</v>
      </c>
    </row>
    <row customHeight="1" ht="11.25">
      <c r="A108" s="0" t="s">
        <v>16</v>
      </c>
      <c r="B108" s="0" t="s">
        <v>3656</v>
      </c>
      <c r="C108" s="0" t="s">
        <v>3657</v>
      </c>
      <c r="D108" s="0" t="s">
        <v>3682</v>
      </c>
      <c r="E108" s="0" t="s">
        <v>3683</v>
      </c>
      <c r="F108" s="0" t="s">
        <v>3432</v>
      </c>
      <c r="G108" s="0" t="s">
        <v>3684</v>
      </c>
    </row>
    <row customHeight="1" ht="11.25">
      <c r="A109" s="0" t="s">
        <v>16</v>
      </c>
      <c r="B109" s="0" t="s">
        <v>3656</v>
      </c>
      <c r="C109" s="0" t="s">
        <v>3657</v>
      </c>
      <c r="D109" s="0" t="s">
        <v>3685</v>
      </c>
      <c r="E109" s="0" t="s">
        <v>3686</v>
      </c>
      <c r="F109" s="0" t="s">
        <v>3432</v>
      </c>
      <c r="G109" s="0" t="s">
        <v>3687</v>
      </c>
    </row>
    <row customHeight="1" ht="11.25">
      <c r="A110" s="0" t="s">
        <v>16</v>
      </c>
      <c r="B110" s="0" t="s">
        <v>3656</v>
      </c>
      <c r="C110" s="0" t="s">
        <v>3657</v>
      </c>
      <c r="D110" s="0" t="s">
        <v>3688</v>
      </c>
      <c r="E110" s="0" t="s">
        <v>3689</v>
      </c>
      <c r="F110" s="0" t="s">
        <v>3432</v>
      </c>
      <c r="G110" s="0" t="s">
        <v>3690</v>
      </c>
    </row>
    <row customHeight="1" ht="11.25">
      <c r="A111" s="0" t="s">
        <v>16</v>
      </c>
      <c r="B111" s="0" t="s">
        <v>3656</v>
      </c>
      <c r="C111" s="0" t="s">
        <v>3657</v>
      </c>
      <c r="D111" s="0" t="s">
        <v>3656</v>
      </c>
      <c r="E111" s="0" t="s">
        <v>3657</v>
      </c>
      <c r="F111" s="0" t="s">
        <v>3429</v>
      </c>
      <c r="G111" s="0" t="s">
        <v>3691</v>
      </c>
    </row>
    <row customHeight="1" ht="11.25">
      <c r="A112" s="0" t="s">
        <v>16</v>
      </c>
      <c r="B112" s="0" t="s">
        <v>3656</v>
      </c>
      <c r="C112" s="0" t="s">
        <v>3657</v>
      </c>
      <c r="D112" s="0" t="s">
        <v>3692</v>
      </c>
      <c r="E112" s="0" t="s">
        <v>3693</v>
      </c>
      <c r="F112" s="0" t="s">
        <v>3432</v>
      </c>
      <c r="G112" s="0" t="s">
        <v>700</v>
      </c>
    </row>
    <row customHeight="1" ht="11.25">
      <c r="A113" s="0" t="s">
        <v>16</v>
      </c>
      <c r="B113" s="0" t="s">
        <v>3656</v>
      </c>
      <c r="C113" s="0" t="s">
        <v>3657</v>
      </c>
      <c r="D113" s="0" t="s">
        <v>3694</v>
      </c>
      <c r="E113" s="0" t="s">
        <v>3695</v>
      </c>
      <c r="F113" s="0" t="s">
        <v>3432</v>
      </c>
      <c r="G113" s="0" t="s">
        <v>3696</v>
      </c>
    </row>
    <row customHeight="1" ht="11.25">
      <c r="A114" s="0" t="s">
        <v>16</v>
      </c>
      <c r="B114" s="0" t="s">
        <v>3656</v>
      </c>
      <c r="C114" s="0" t="s">
        <v>3657</v>
      </c>
      <c r="D114" s="0" t="s">
        <v>3697</v>
      </c>
      <c r="E114" s="0" t="s">
        <v>3698</v>
      </c>
      <c r="F114" s="0" t="s">
        <v>3432</v>
      </c>
      <c r="G114" s="0" t="s">
        <v>3699</v>
      </c>
    </row>
    <row customHeight="1" ht="11.25">
      <c r="A115" s="0" t="s">
        <v>16</v>
      </c>
      <c r="B115" s="0" t="s">
        <v>107</v>
      </c>
      <c r="C115" s="0" t="s">
        <v>3700</v>
      </c>
      <c r="D115" s="0" t="s">
        <v>108</v>
      </c>
      <c r="E115" s="0" t="s">
        <v>109</v>
      </c>
      <c r="F115" s="0" t="s">
        <v>3435</v>
      </c>
      <c r="G115" s="0" t="s">
        <v>106</v>
      </c>
    </row>
    <row customHeight="1" ht="11.25">
      <c r="A116" s="0" t="s">
        <v>16</v>
      </c>
      <c r="B116" s="0" t="s">
        <v>107</v>
      </c>
      <c r="C116" s="0" t="s">
        <v>3700</v>
      </c>
      <c r="D116" s="0" t="s">
        <v>3679</v>
      </c>
      <c r="E116" s="0" t="s">
        <v>3701</v>
      </c>
      <c r="F116" s="0" t="s">
        <v>3432</v>
      </c>
      <c r="G116" s="0" t="s">
        <v>3702</v>
      </c>
    </row>
    <row customHeight="1" ht="11.25">
      <c r="A117" s="0" t="s">
        <v>16</v>
      </c>
      <c r="B117" s="0" t="s">
        <v>107</v>
      </c>
      <c r="C117" s="0" t="s">
        <v>3700</v>
      </c>
      <c r="D117" s="0" t="s">
        <v>3703</v>
      </c>
      <c r="E117" s="0" t="s">
        <v>3704</v>
      </c>
      <c r="F117" s="0" t="s">
        <v>3432</v>
      </c>
      <c r="G117" s="0" t="s">
        <v>3705</v>
      </c>
    </row>
    <row customHeight="1" ht="11.25">
      <c r="A118" s="0" t="s">
        <v>16</v>
      </c>
      <c r="B118" s="0" t="s">
        <v>107</v>
      </c>
      <c r="C118" s="0" t="s">
        <v>3700</v>
      </c>
      <c r="D118" s="0" t="s">
        <v>3706</v>
      </c>
      <c r="E118" s="0" t="s">
        <v>3707</v>
      </c>
      <c r="F118" s="0" t="s">
        <v>3432</v>
      </c>
      <c r="G118" s="0" t="s">
        <v>3708</v>
      </c>
    </row>
    <row customHeight="1" ht="11.25">
      <c r="A119" s="0" t="s">
        <v>16</v>
      </c>
      <c r="B119" s="0" t="s">
        <v>107</v>
      </c>
      <c r="C119" s="0" t="s">
        <v>3700</v>
      </c>
      <c r="D119" s="0" t="s">
        <v>3709</v>
      </c>
      <c r="E119" s="0" t="s">
        <v>3710</v>
      </c>
      <c r="F119" s="0" t="s">
        <v>3432</v>
      </c>
      <c r="G119" s="0" t="s">
        <v>3711</v>
      </c>
    </row>
    <row customHeight="1" ht="11.25">
      <c r="A120" s="0" t="s">
        <v>16</v>
      </c>
      <c r="B120" s="0" t="s">
        <v>107</v>
      </c>
      <c r="C120" s="0" t="s">
        <v>3700</v>
      </c>
      <c r="D120" s="0" t="s">
        <v>3712</v>
      </c>
      <c r="E120" s="0" t="s">
        <v>3713</v>
      </c>
      <c r="F120" s="0" t="s">
        <v>3459</v>
      </c>
      <c r="G120" s="0" t="s">
        <v>3714</v>
      </c>
    </row>
    <row customHeight="1" ht="11.25">
      <c r="A121" s="0" t="s">
        <v>16</v>
      </c>
      <c r="B121" s="0" t="s">
        <v>107</v>
      </c>
      <c r="C121" s="0" t="s">
        <v>3700</v>
      </c>
      <c r="D121" s="0" t="s">
        <v>3715</v>
      </c>
      <c r="E121" s="0" t="s">
        <v>3716</v>
      </c>
      <c r="F121" s="0" t="s">
        <v>3432</v>
      </c>
      <c r="G121" s="0" t="s">
        <v>3717</v>
      </c>
    </row>
    <row customHeight="1" ht="11.25">
      <c r="A122" s="0" t="s">
        <v>16</v>
      </c>
      <c r="B122" s="0" t="s">
        <v>107</v>
      </c>
      <c r="C122" s="0" t="s">
        <v>3700</v>
      </c>
      <c r="D122" s="0" t="s">
        <v>3718</v>
      </c>
      <c r="E122" s="0" t="s">
        <v>3719</v>
      </c>
      <c r="F122" s="0" t="s">
        <v>3432</v>
      </c>
      <c r="G122" s="0" t="s">
        <v>3720</v>
      </c>
    </row>
    <row customHeight="1" ht="11.25">
      <c r="A123" s="0" t="s">
        <v>16</v>
      </c>
      <c r="B123" s="0" t="s">
        <v>107</v>
      </c>
      <c r="C123" s="0" t="s">
        <v>3700</v>
      </c>
      <c r="D123" s="0" t="s">
        <v>107</v>
      </c>
      <c r="E123" s="0" t="s">
        <v>3700</v>
      </c>
      <c r="F123" s="0" t="s">
        <v>3429</v>
      </c>
      <c r="G123" s="0" t="s">
        <v>3721</v>
      </c>
    </row>
    <row customHeight="1" ht="11.25">
      <c r="A124" s="0" t="s">
        <v>16</v>
      </c>
      <c r="B124" s="0" t="s">
        <v>107</v>
      </c>
      <c r="C124" s="0" t="s">
        <v>3700</v>
      </c>
      <c r="D124" s="0" t="s">
        <v>3722</v>
      </c>
      <c r="E124" s="0" t="s">
        <v>3723</v>
      </c>
      <c r="F124" s="0" t="s">
        <v>3432</v>
      </c>
      <c r="G124" s="0" t="s">
        <v>3724</v>
      </c>
    </row>
    <row customHeight="1" ht="11.25">
      <c r="A125" s="0" t="s">
        <v>16</v>
      </c>
      <c r="B125" s="0" t="s">
        <v>107</v>
      </c>
      <c r="C125" s="0" t="s">
        <v>3700</v>
      </c>
      <c r="D125" s="0" t="s">
        <v>3725</v>
      </c>
      <c r="E125" s="0" t="s">
        <v>3726</v>
      </c>
      <c r="F125" s="0" t="s">
        <v>3432</v>
      </c>
      <c r="G125" s="0" t="s">
        <v>3727</v>
      </c>
    </row>
    <row customHeight="1" ht="11.25">
      <c r="A126" s="0" t="s">
        <v>16</v>
      </c>
      <c r="B126" s="0" t="s">
        <v>107</v>
      </c>
      <c r="C126" s="0" t="s">
        <v>3700</v>
      </c>
      <c r="D126" s="0" t="s">
        <v>3728</v>
      </c>
      <c r="E126" s="0" t="s">
        <v>3729</v>
      </c>
      <c r="F126" s="0" t="s">
        <v>3432</v>
      </c>
      <c r="G126" s="0" t="s">
        <v>3730</v>
      </c>
    </row>
    <row customHeight="1" ht="11.25">
      <c r="A127" s="0" t="s">
        <v>16</v>
      </c>
      <c r="B127" s="0" t="s">
        <v>107</v>
      </c>
      <c r="C127" s="0" t="s">
        <v>3700</v>
      </c>
      <c r="D127" s="0" t="s">
        <v>3731</v>
      </c>
      <c r="E127" s="0" t="s">
        <v>3732</v>
      </c>
      <c r="F127" s="0" t="s">
        <v>3448</v>
      </c>
      <c r="G127" s="0" t="s">
        <v>3733</v>
      </c>
    </row>
    <row customHeight="1" ht="11.25">
      <c r="A128" s="0" t="s">
        <v>16</v>
      </c>
      <c r="B128" s="0" t="s">
        <v>107</v>
      </c>
      <c r="C128" s="0" t="s">
        <v>3700</v>
      </c>
      <c r="D128" s="0" t="s">
        <v>3734</v>
      </c>
      <c r="E128" s="0" t="s">
        <v>3735</v>
      </c>
      <c r="F128" s="0" t="s">
        <v>3448</v>
      </c>
      <c r="G128" s="0" t="s">
        <v>3736</v>
      </c>
    </row>
    <row customHeight="1" ht="11.25">
      <c r="A129" s="0" t="s">
        <v>16</v>
      </c>
      <c r="B129" s="0" t="s">
        <v>107</v>
      </c>
      <c r="C129" s="0" t="s">
        <v>3700</v>
      </c>
      <c r="D129" s="0" t="s">
        <v>3737</v>
      </c>
      <c r="E129" s="0" t="s">
        <v>3738</v>
      </c>
      <c r="F129" s="0" t="s">
        <v>3432</v>
      </c>
      <c r="G129" s="0" t="s">
        <v>3739</v>
      </c>
    </row>
    <row customHeight="1" ht="11.25">
      <c r="A130" s="0" t="s">
        <v>16</v>
      </c>
      <c r="B130" s="0" t="s">
        <v>107</v>
      </c>
      <c r="C130" s="0" t="s">
        <v>3700</v>
      </c>
      <c r="D130" s="0" t="s">
        <v>3740</v>
      </c>
      <c r="E130" s="0" t="s">
        <v>3741</v>
      </c>
      <c r="F130" s="0" t="s">
        <v>3432</v>
      </c>
      <c r="G130" s="0" t="s">
        <v>3742</v>
      </c>
    </row>
    <row customHeight="1" ht="11.25">
      <c r="A131" s="0" t="s">
        <v>16</v>
      </c>
      <c r="B131" s="0" t="s">
        <v>3743</v>
      </c>
      <c r="C131" s="0" t="s">
        <v>3744</v>
      </c>
      <c r="D131" s="0" t="s">
        <v>3743</v>
      </c>
      <c r="E131" s="0" t="s">
        <v>3744</v>
      </c>
      <c r="F131" s="0" t="s">
        <v>3466</v>
      </c>
      <c r="G131" s="0" t="s">
        <v>3745</v>
      </c>
    </row>
    <row customHeight="1" ht="11.25">
      <c r="A132" s="0" t="s">
        <v>16</v>
      </c>
      <c r="B132" s="0" t="s">
        <v>3746</v>
      </c>
      <c r="C132" s="0" t="s">
        <v>3747</v>
      </c>
      <c r="D132" s="0" t="s">
        <v>3748</v>
      </c>
      <c r="E132" s="0" t="s">
        <v>3749</v>
      </c>
      <c r="F132" s="0" t="s">
        <v>3432</v>
      </c>
      <c r="G132" s="0" t="s">
        <v>3750</v>
      </c>
    </row>
    <row customHeight="1" ht="11.25">
      <c r="A133" s="0" t="s">
        <v>16</v>
      </c>
      <c r="B133" s="0" t="s">
        <v>3746</v>
      </c>
      <c r="C133" s="0" t="s">
        <v>3747</v>
      </c>
      <c r="D133" s="0" t="s">
        <v>3751</v>
      </c>
      <c r="E133" s="0" t="s">
        <v>3752</v>
      </c>
      <c r="F133" s="0" t="s">
        <v>3432</v>
      </c>
      <c r="G133" s="0" t="s">
        <v>3753</v>
      </c>
    </row>
    <row customHeight="1" ht="11.25">
      <c r="A134" s="0" t="s">
        <v>16</v>
      </c>
      <c r="B134" s="0" t="s">
        <v>3746</v>
      </c>
      <c r="C134" s="0" t="s">
        <v>3747</v>
      </c>
      <c r="D134" s="0" t="s">
        <v>3754</v>
      </c>
      <c r="E134" s="0" t="s">
        <v>3755</v>
      </c>
      <c r="F134" s="0" t="s">
        <v>3432</v>
      </c>
      <c r="G134" s="0" t="s">
        <v>3756</v>
      </c>
    </row>
    <row customHeight="1" ht="11.25">
      <c r="A135" s="0" t="s">
        <v>16</v>
      </c>
      <c r="B135" s="0" t="s">
        <v>3746</v>
      </c>
      <c r="C135" s="0" t="s">
        <v>3747</v>
      </c>
      <c r="D135" s="0" t="s">
        <v>3757</v>
      </c>
      <c r="E135" s="0" t="s">
        <v>3758</v>
      </c>
      <c r="F135" s="0" t="s">
        <v>3432</v>
      </c>
      <c r="G135" s="0" t="s">
        <v>3759</v>
      </c>
    </row>
    <row customHeight="1" ht="11.25">
      <c r="A136" s="0" t="s">
        <v>16</v>
      </c>
      <c r="B136" s="0" t="s">
        <v>3746</v>
      </c>
      <c r="C136" s="0" t="s">
        <v>3747</v>
      </c>
      <c r="D136" s="0" t="s">
        <v>3760</v>
      </c>
      <c r="E136" s="0" t="s">
        <v>3761</v>
      </c>
      <c r="F136" s="0" t="s">
        <v>3432</v>
      </c>
      <c r="G136" s="0" t="s">
        <v>3762</v>
      </c>
    </row>
    <row customHeight="1" ht="11.25">
      <c r="A137" s="0" t="s">
        <v>16</v>
      </c>
      <c r="B137" s="0" t="s">
        <v>3746</v>
      </c>
      <c r="C137" s="0" t="s">
        <v>3747</v>
      </c>
      <c r="D137" s="0" t="s">
        <v>3763</v>
      </c>
      <c r="E137" s="0" t="s">
        <v>3764</v>
      </c>
      <c r="F137" s="0" t="s">
        <v>3432</v>
      </c>
      <c r="G137" s="0" t="s">
        <v>3765</v>
      </c>
    </row>
    <row customHeight="1" ht="11.25">
      <c r="A138" s="0" t="s">
        <v>16</v>
      </c>
      <c r="B138" s="0" t="s">
        <v>3746</v>
      </c>
      <c r="C138" s="0" t="s">
        <v>3747</v>
      </c>
      <c r="D138" s="0" t="s">
        <v>3746</v>
      </c>
      <c r="E138" s="0" t="s">
        <v>3747</v>
      </c>
      <c r="F138" s="0" t="s">
        <v>3429</v>
      </c>
      <c r="G138" s="0" t="s">
        <v>3766</v>
      </c>
    </row>
    <row customHeight="1" ht="11.25">
      <c r="A139" s="0" t="s">
        <v>16</v>
      </c>
      <c r="B139" s="0" t="s">
        <v>3746</v>
      </c>
      <c r="C139" s="0" t="s">
        <v>3747</v>
      </c>
      <c r="D139" s="0" t="s">
        <v>3767</v>
      </c>
      <c r="E139" s="0" t="s">
        <v>3768</v>
      </c>
      <c r="F139" s="0" t="s">
        <v>3448</v>
      </c>
      <c r="G139" s="0" t="s">
        <v>3769</v>
      </c>
    </row>
    <row customHeight="1" ht="11.25">
      <c r="A140" s="0" t="s">
        <v>16</v>
      </c>
      <c r="B140" s="0" t="s">
        <v>3746</v>
      </c>
      <c r="C140" s="0" t="s">
        <v>3747</v>
      </c>
      <c r="D140" s="0" t="s">
        <v>3770</v>
      </c>
      <c r="E140" s="0" t="s">
        <v>3771</v>
      </c>
      <c r="F140" s="0" t="s">
        <v>3432</v>
      </c>
      <c r="G140" s="0" t="s">
        <v>3772</v>
      </c>
    </row>
    <row customHeight="1" ht="11.25">
      <c r="A141" s="0" t="s">
        <v>16</v>
      </c>
      <c r="B141" s="0" t="s">
        <v>116</v>
      </c>
      <c r="C141" s="0" t="s">
        <v>3773</v>
      </c>
      <c r="D141" s="0" t="s">
        <v>3774</v>
      </c>
      <c r="E141" s="0" t="s">
        <v>3775</v>
      </c>
      <c r="F141" s="0" t="s">
        <v>3432</v>
      </c>
      <c r="G141" s="0" t="s">
        <v>3776</v>
      </c>
    </row>
    <row customHeight="1" ht="11.25">
      <c r="A142" s="0" t="s">
        <v>16</v>
      </c>
      <c r="B142" s="0" t="s">
        <v>116</v>
      </c>
      <c r="C142" s="0" t="s">
        <v>3773</v>
      </c>
      <c r="D142" s="0" t="s">
        <v>117</v>
      </c>
      <c r="E142" s="0" t="s">
        <v>118</v>
      </c>
      <c r="F142" s="0" t="s">
        <v>3435</v>
      </c>
      <c r="G142" s="0" t="s">
        <v>115</v>
      </c>
    </row>
    <row customHeight="1" ht="11.25">
      <c r="A143" s="0" t="s">
        <v>16</v>
      </c>
      <c r="B143" s="0" t="s">
        <v>116</v>
      </c>
      <c r="C143" s="0" t="s">
        <v>3773</v>
      </c>
      <c r="D143" s="0" t="s">
        <v>3777</v>
      </c>
      <c r="E143" s="0" t="s">
        <v>3778</v>
      </c>
      <c r="F143" s="0" t="s">
        <v>3459</v>
      </c>
      <c r="G143" s="0" t="s">
        <v>3779</v>
      </c>
    </row>
    <row customHeight="1" ht="11.25">
      <c r="A144" s="0" t="s">
        <v>16</v>
      </c>
      <c r="B144" s="0" t="s">
        <v>116</v>
      </c>
      <c r="C144" s="0" t="s">
        <v>3773</v>
      </c>
      <c r="D144" s="0" t="s">
        <v>3780</v>
      </c>
      <c r="E144" s="0" t="s">
        <v>3781</v>
      </c>
      <c r="F144" s="0" t="s">
        <v>3448</v>
      </c>
      <c r="G144" s="0" t="s">
        <v>3782</v>
      </c>
    </row>
    <row customHeight="1" ht="11.25">
      <c r="A145" s="0" t="s">
        <v>16</v>
      </c>
      <c r="B145" s="0" t="s">
        <v>116</v>
      </c>
      <c r="C145" s="0" t="s">
        <v>3773</v>
      </c>
      <c r="D145" s="0" t="s">
        <v>3783</v>
      </c>
      <c r="E145" s="0" t="s">
        <v>3784</v>
      </c>
      <c r="F145" s="0" t="s">
        <v>3448</v>
      </c>
      <c r="G145" s="0" t="s">
        <v>3785</v>
      </c>
    </row>
    <row customHeight="1" ht="11.25">
      <c r="A146" s="0" t="s">
        <v>16</v>
      </c>
      <c r="B146" s="0" t="s">
        <v>116</v>
      </c>
      <c r="C146" s="0" t="s">
        <v>3773</v>
      </c>
      <c r="D146" s="0" t="s">
        <v>122</v>
      </c>
      <c r="E146" s="0" t="s">
        <v>123</v>
      </c>
      <c r="F146" s="0" t="s">
        <v>3448</v>
      </c>
      <c r="G146" s="0" t="s">
        <v>121</v>
      </c>
    </row>
    <row customHeight="1" ht="11.25">
      <c r="A147" s="0" t="s">
        <v>16</v>
      </c>
      <c r="B147" s="0" t="s">
        <v>116</v>
      </c>
      <c r="C147" s="0" t="s">
        <v>3773</v>
      </c>
      <c r="D147" s="0" t="s">
        <v>116</v>
      </c>
      <c r="E147" s="0" t="s">
        <v>3773</v>
      </c>
      <c r="F147" s="0" t="s">
        <v>3429</v>
      </c>
      <c r="G147" s="0" t="s">
        <v>3786</v>
      </c>
    </row>
    <row customHeight="1" ht="11.25">
      <c r="A148" s="0" t="s">
        <v>16</v>
      </c>
      <c r="B148" s="0" t="s">
        <v>3787</v>
      </c>
      <c r="C148" s="0" t="s">
        <v>3788</v>
      </c>
      <c r="D148" s="0" t="s">
        <v>3789</v>
      </c>
      <c r="E148" s="0" t="s">
        <v>3790</v>
      </c>
      <c r="F148" s="0" t="s">
        <v>3432</v>
      </c>
      <c r="G148" s="0" t="s">
        <v>3791</v>
      </c>
    </row>
    <row customHeight="1" ht="11.25">
      <c r="A149" s="0" t="s">
        <v>16</v>
      </c>
      <c r="B149" s="0" t="s">
        <v>3787</v>
      </c>
      <c r="C149" s="0" t="s">
        <v>3788</v>
      </c>
      <c r="D149" s="0" t="s">
        <v>3792</v>
      </c>
      <c r="E149" s="0" t="s">
        <v>3793</v>
      </c>
      <c r="F149" s="0" t="s">
        <v>3432</v>
      </c>
      <c r="G149" s="0" t="s">
        <v>3794</v>
      </c>
    </row>
    <row customHeight="1" ht="11.25">
      <c r="A150" s="0" t="s">
        <v>16</v>
      </c>
      <c r="B150" s="0" t="s">
        <v>3787</v>
      </c>
      <c r="C150" s="0" t="s">
        <v>3788</v>
      </c>
      <c r="D150" s="0" t="s">
        <v>3795</v>
      </c>
      <c r="E150" s="0" t="s">
        <v>3796</v>
      </c>
      <c r="F150" s="0" t="s">
        <v>3432</v>
      </c>
      <c r="G150" s="0" t="s">
        <v>3797</v>
      </c>
    </row>
    <row customHeight="1" ht="11.25">
      <c r="A151" s="0" t="s">
        <v>16</v>
      </c>
      <c r="B151" s="0" t="s">
        <v>3787</v>
      </c>
      <c r="C151" s="0" t="s">
        <v>3788</v>
      </c>
      <c r="D151" s="0" t="s">
        <v>3798</v>
      </c>
      <c r="E151" s="0" t="s">
        <v>3799</v>
      </c>
      <c r="F151" s="0" t="s">
        <v>3432</v>
      </c>
      <c r="G151" s="0" t="s">
        <v>3800</v>
      </c>
    </row>
    <row customHeight="1" ht="11.25">
      <c r="A152" s="0" t="s">
        <v>16</v>
      </c>
      <c r="B152" s="0" t="s">
        <v>3787</v>
      </c>
      <c r="C152" s="0" t="s">
        <v>3788</v>
      </c>
      <c r="D152" s="0" t="s">
        <v>3801</v>
      </c>
      <c r="E152" s="0" t="s">
        <v>3802</v>
      </c>
      <c r="F152" s="0" t="s">
        <v>3432</v>
      </c>
      <c r="G152" s="0" t="s">
        <v>3803</v>
      </c>
    </row>
    <row customHeight="1" ht="11.25">
      <c r="A153" s="0" t="s">
        <v>16</v>
      </c>
      <c r="B153" s="0" t="s">
        <v>3787</v>
      </c>
      <c r="C153" s="0" t="s">
        <v>3788</v>
      </c>
      <c r="D153" s="0" t="s">
        <v>3804</v>
      </c>
      <c r="E153" s="0" t="s">
        <v>3805</v>
      </c>
      <c r="F153" s="0" t="s">
        <v>3432</v>
      </c>
      <c r="G153" s="0" t="s">
        <v>3806</v>
      </c>
    </row>
    <row customHeight="1" ht="11.25">
      <c r="A154" s="0" t="s">
        <v>16</v>
      </c>
      <c r="B154" s="0" t="s">
        <v>3787</v>
      </c>
      <c r="C154" s="0" t="s">
        <v>3788</v>
      </c>
      <c r="D154" s="0" t="s">
        <v>3807</v>
      </c>
      <c r="E154" s="0" t="s">
        <v>3808</v>
      </c>
      <c r="F154" s="0" t="s">
        <v>3432</v>
      </c>
      <c r="G154" s="0" t="s">
        <v>3809</v>
      </c>
    </row>
    <row customHeight="1" ht="11.25">
      <c r="A155" s="0" t="s">
        <v>16</v>
      </c>
      <c r="B155" s="0" t="s">
        <v>3787</v>
      </c>
      <c r="C155" s="0" t="s">
        <v>3788</v>
      </c>
      <c r="D155" s="0" t="s">
        <v>3810</v>
      </c>
      <c r="E155" s="0" t="s">
        <v>3811</v>
      </c>
      <c r="F155" s="0" t="s">
        <v>3448</v>
      </c>
      <c r="G155" s="0" t="s">
        <v>3812</v>
      </c>
    </row>
    <row customHeight="1" ht="11.25">
      <c r="A156" s="0" t="s">
        <v>16</v>
      </c>
      <c r="B156" s="0" t="s">
        <v>3787</v>
      </c>
      <c r="C156" s="0" t="s">
        <v>3788</v>
      </c>
      <c r="D156" s="0" t="s">
        <v>3787</v>
      </c>
      <c r="E156" s="0" t="s">
        <v>3788</v>
      </c>
      <c r="F156" s="0" t="s">
        <v>3429</v>
      </c>
      <c r="G156" s="0" t="s">
        <v>3813</v>
      </c>
    </row>
    <row customHeight="1" ht="11.25">
      <c r="A157" s="0" t="s">
        <v>16</v>
      </c>
      <c r="B157" s="0" t="s">
        <v>3787</v>
      </c>
      <c r="C157" s="0" t="s">
        <v>3788</v>
      </c>
      <c r="D157" s="0" t="s">
        <v>3814</v>
      </c>
      <c r="E157" s="0" t="s">
        <v>3815</v>
      </c>
      <c r="F157" s="0" t="s">
        <v>3432</v>
      </c>
      <c r="G157" s="0" t="s">
        <v>3816</v>
      </c>
    </row>
    <row customHeight="1" ht="11.25">
      <c r="A158" s="0" t="s">
        <v>16</v>
      </c>
      <c r="B158" s="0" t="s">
        <v>3787</v>
      </c>
      <c r="C158" s="0" t="s">
        <v>3788</v>
      </c>
      <c r="D158" s="0" t="s">
        <v>3817</v>
      </c>
      <c r="E158" s="0" t="s">
        <v>3818</v>
      </c>
      <c r="F158" s="0" t="s">
        <v>3432</v>
      </c>
      <c r="G158" s="0" t="s">
        <v>3819</v>
      </c>
    </row>
    <row customHeight="1" ht="11.25">
      <c r="A159" s="0" t="s">
        <v>16</v>
      </c>
      <c r="B159" s="0" t="s">
        <v>3787</v>
      </c>
      <c r="C159" s="0" t="s">
        <v>3788</v>
      </c>
      <c r="D159" s="0" t="s">
        <v>3820</v>
      </c>
      <c r="E159" s="0" t="s">
        <v>3821</v>
      </c>
      <c r="F159" s="0" t="s">
        <v>3432</v>
      </c>
      <c r="G159" s="0" t="s">
        <v>3822</v>
      </c>
    </row>
    <row customHeight="1" ht="11.25">
      <c r="A160" s="0" t="s">
        <v>16</v>
      </c>
      <c r="B160" s="0" t="s">
        <v>3823</v>
      </c>
      <c r="C160" s="0" t="s">
        <v>3824</v>
      </c>
      <c r="D160" s="0" t="s">
        <v>3825</v>
      </c>
      <c r="E160" s="0" t="s">
        <v>3826</v>
      </c>
      <c r="F160" s="0" t="s">
        <v>3432</v>
      </c>
      <c r="G160" s="0" t="s">
        <v>3827</v>
      </c>
    </row>
    <row customHeight="1" ht="11.25">
      <c r="A161" s="0" t="s">
        <v>16</v>
      </c>
      <c r="B161" s="0" t="s">
        <v>3823</v>
      </c>
      <c r="C161" s="0" t="s">
        <v>3824</v>
      </c>
      <c r="D161" s="0" t="s">
        <v>3828</v>
      </c>
      <c r="E161" s="0" t="s">
        <v>3829</v>
      </c>
      <c r="F161" s="0" t="s">
        <v>3459</v>
      </c>
      <c r="G161" s="0" t="s">
        <v>3830</v>
      </c>
    </row>
    <row customHeight="1" ht="11.25">
      <c r="A162" s="0" t="s">
        <v>16</v>
      </c>
      <c r="B162" s="0" t="s">
        <v>3823</v>
      </c>
      <c r="C162" s="0" t="s">
        <v>3824</v>
      </c>
      <c r="D162" s="0" t="s">
        <v>3831</v>
      </c>
      <c r="E162" s="0" t="s">
        <v>3832</v>
      </c>
      <c r="F162" s="0" t="s">
        <v>3432</v>
      </c>
      <c r="G162" s="0" t="s">
        <v>3833</v>
      </c>
    </row>
    <row customHeight="1" ht="11.25">
      <c r="A163" s="0" t="s">
        <v>16</v>
      </c>
      <c r="B163" s="0" t="s">
        <v>3823</v>
      </c>
      <c r="C163" s="0" t="s">
        <v>3824</v>
      </c>
      <c r="D163" s="0" t="s">
        <v>3823</v>
      </c>
      <c r="E163" s="0" t="s">
        <v>3824</v>
      </c>
      <c r="F163" s="0" t="s">
        <v>3429</v>
      </c>
      <c r="G163" s="0" t="s">
        <v>3834</v>
      </c>
    </row>
    <row customHeight="1" ht="11.25">
      <c r="A164" s="0" t="s">
        <v>16</v>
      </c>
      <c r="B164" s="0" t="s">
        <v>3823</v>
      </c>
      <c r="C164" s="0" t="s">
        <v>3824</v>
      </c>
      <c r="D164" s="0" t="s">
        <v>3835</v>
      </c>
      <c r="E164" s="0" t="s">
        <v>3836</v>
      </c>
      <c r="F164" s="0" t="s">
        <v>3432</v>
      </c>
      <c r="G164" s="0" t="s">
        <v>3837</v>
      </c>
    </row>
    <row customHeight="1" ht="11.25">
      <c r="A165" s="0" t="s">
        <v>16</v>
      </c>
      <c r="B165" s="0" t="s">
        <v>3823</v>
      </c>
      <c r="C165" s="0" t="s">
        <v>3824</v>
      </c>
      <c r="D165" s="0" t="s">
        <v>3838</v>
      </c>
      <c r="E165" s="0" t="s">
        <v>3839</v>
      </c>
      <c r="F165" s="0" t="s">
        <v>3432</v>
      </c>
      <c r="G165" s="0" t="s">
        <v>3840</v>
      </c>
    </row>
    <row customHeight="1" ht="11.25">
      <c r="A166" s="0" t="s">
        <v>16</v>
      </c>
      <c r="B166" s="0" t="s">
        <v>3823</v>
      </c>
      <c r="C166" s="0" t="s">
        <v>3824</v>
      </c>
      <c r="D166" s="0" t="s">
        <v>3841</v>
      </c>
      <c r="E166" s="0" t="s">
        <v>3842</v>
      </c>
      <c r="F166" s="0" t="s">
        <v>3432</v>
      </c>
      <c r="G166" s="0" t="s">
        <v>3843</v>
      </c>
    </row>
    <row customHeight="1" ht="11.25">
      <c r="A167" s="0" t="s">
        <v>16</v>
      </c>
      <c r="B167" s="0" t="s">
        <v>3844</v>
      </c>
      <c r="C167" s="0" t="s">
        <v>3845</v>
      </c>
      <c r="D167" s="0" t="s">
        <v>3846</v>
      </c>
      <c r="E167" s="0" t="s">
        <v>3847</v>
      </c>
      <c r="F167" s="0" t="s">
        <v>3432</v>
      </c>
      <c r="G167" s="0" t="s">
        <v>3848</v>
      </c>
    </row>
    <row customHeight="1" ht="11.25">
      <c r="A168" s="0" t="s">
        <v>16</v>
      </c>
      <c r="B168" s="0" t="s">
        <v>3844</v>
      </c>
      <c r="C168" s="0" t="s">
        <v>3845</v>
      </c>
      <c r="D168" s="0" t="s">
        <v>3849</v>
      </c>
      <c r="E168" s="0" t="s">
        <v>3850</v>
      </c>
      <c r="F168" s="0" t="s">
        <v>3432</v>
      </c>
      <c r="G168" s="0" t="s">
        <v>3851</v>
      </c>
    </row>
    <row customHeight="1" ht="11.25">
      <c r="A169" s="0" t="s">
        <v>16</v>
      </c>
      <c r="B169" s="0" t="s">
        <v>3844</v>
      </c>
      <c r="C169" s="0" t="s">
        <v>3845</v>
      </c>
      <c r="D169" s="0" t="s">
        <v>3852</v>
      </c>
      <c r="E169" s="0" t="s">
        <v>3853</v>
      </c>
      <c r="F169" s="0" t="s">
        <v>3432</v>
      </c>
      <c r="G169" s="0" t="s">
        <v>3854</v>
      </c>
    </row>
    <row customHeight="1" ht="11.25">
      <c r="A170" s="0" t="s">
        <v>16</v>
      </c>
      <c r="B170" s="0" t="s">
        <v>3844</v>
      </c>
      <c r="C170" s="0" t="s">
        <v>3845</v>
      </c>
      <c r="D170" s="0" t="s">
        <v>3855</v>
      </c>
      <c r="E170" s="0" t="s">
        <v>3856</v>
      </c>
      <c r="F170" s="0" t="s">
        <v>3432</v>
      </c>
      <c r="G170" s="0" t="s">
        <v>3857</v>
      </c>
    </row>
    <row customHeight="1" ht="11.25">
      <c r="A171" s="0" t="s">
        <v>16</v>
      </c>
      <c r="B171" s="0" t="s">
        <v>3844</v>
      </c>
      <c r="C171" s="0" t="s">
        <v>3845</v>
      </c>
      <c r="D171" s="0" t="s">
        <v>3858</v>
      </c>
      <c r="E171" s="0" t="s">
        <v>3859</v>
      </c>
      <c r="F171" s="0" t="s">
        <v>3432</v>
      </c>
      <c r="G171" s="0" t="s">
        <v>3860</v>
      </c>
    </row>
    <row customHeight="1" ht="11.25">
      <c r="A172" s="0" t="s">
        <v>16</v>
      </c>
      <c r="B172" s="0" t="s">
        <v>3844</v>
      </c>
      <c r="C172" s="0" t="s">
        <v>3845</v>
      </c>
      <c r="D172" s="0" t="s">
        <v>3861</v>
      </c>
      <c r="E172" s="0" t="s">
        <v>3862</v>
      </c>
      <c r="F172" s="0" t="s">
        <v>3432</v>
      </c>
      <c r="G172" s="0" t="s">
        <v>3863</v>
      </c>
    </row>
    <row customHeight="1" ht="11.25">
      <c r="A173" s="0" t="s">
        <v>16</v>
      </c>
      <c r="B173" s="0" t="s">
        <v>3844</v>
      </c>
      <c r="C173" s="0" t="s">
        <v>3845</v>
      </c>
      <c r="D173" s="0" t="s">
        <v>3864</v>
      </c>
      <c r="E173" s="0" t="s">
        <v>3865</v>
      </c>
      <c r="F173" s="0" t="s">
        <v>3432</v>
      </c>
      <c r="G173" s="0" t="s">
        <v>3866</v>
      </c>
    </row>
    <row customHeight="1" ht="11.25">
      <c r="A174" s="0" t="s">
        <v>16</v>
      </c>
      <c r="B174" s="0" t="s">
        <v>3844</v>
      </c>
      <c r="C174" s="0" t="s">
        <v>3845</v>
      </c>
      <c r="D174" s="0" t="s">
        <v>3867</v>
      </c>
      <c r="E174" s="0" t="s">
        <v>3868</v>
      </c>
      <c r="F174" s="0" t="s">
        <v>3432</v>
      </c>
      <c r="G174" s="0" t="s">
        <v>3869</v>
      </c>
    </row>
    <row customHeight="1" ht="11.25">
      <c r="A175" s="0" t="s">
        <v>16</v>
      </c>
      <c r="B175" s="0" t="s">
        <v>3844</v>
      </c>
      <c r="C175" s="0" t="s">
        <v>3845</v>
      </c>
      <c r="D175" s="0" t="s">
        <v>3870</v>
      </c>
      <c r="E175" s="0" t="s">
        <v>3871</v>
      </c>
      <c r="F175" s="0" t="s">
        <v>3432</v>
      </c>
      <c r="G175" s="0" t="s">
        <v>3872</v>
      </c>
    </row>
    <row customHeight="1" ht="11.25">
      <c r="A176" s="0" t="s">
        <v>16</v>
      </c>
      <c r="B176" s="0" t="s">
        <v>3844</v>
      </c>
      <c r="C176" s="0" t="s">
        <v>3845</v>
      </c>
      <c r="D176" s="0" t="s">
        <v>3873</v>
      </c>
      <c r="E176" s="0" t="s">
        <v>3874</v>
      </c>
      <c r="F176" s="0" t="s">
        <v>3432</v>
      </c>
      <c r="G176" s="0" t="s">
        <v>3875</v>
      </c>
    </row>
    <row customHeight="1" ht="11.25">
      <c r="A177" s="0" t="s">
        <v>16</v>
      </c>
      <c r="B177" s="0" t="s">
        <v>3844</v>
      </c>
      <c r="C177" s="0" t="s">
        <v>3845</v>
      </c>
      <c r="D177" s="0" t="s">
        <v>3876</v>
      </c>
      <c r="E177" s="0" t="s">
        <v>3877</v>
      </c>
      <c r="F177" s="0" t="s">
        <v>3432</v>
      </c>
      <c r="G177" s="0" t="s">
        <v>3878</v>
      </c>
    </row>
    <row customHeight="1" ht="11.25">
      <c r="A178" s="0" t="s">
        <v>16</v>
      </c>
      <c r="B178" s="0" t="s">
        <v>3844</v>
      </c>
      <c r="C178" s="0" t="s">
        <v>3845</v>
      </c>
      <c r="D178" s="0" t="s">
        <v>3879</v>
      </c>
      <c r="E178" s="0" t="s">
        <v>3880</v>
      </c>
      <c r="F178" s="0" t="s">
        <v>3432</v>
      </c>
      <c r="G178" s="0" t="s">
        <v>3881</v>
      </c>
    </row>
    <row customHeight="1" ht="11.25">
      <c r="A179" s="0" t="s">
        <v>16</v>
      </c>
      <c r="B179" s="0" t="s">
        <v>3844</v>
      </c>
      <c r="C179" s="0" t="s">
        <v>3845</v>
      </c>
      <c r="D179" s="0" t="s">
        <v>3882</v>
      </c>
      <c r="E179" s="0" t="s">
        <v>3883</v>
      </c>
      <c r="F179" s="0" t="s">
        <v>3432</v>
      </c>
      <c r="G179" s="0" t="s">
        <v>3884</v>
      </c>
    </row>
    <row customHeight="1" ht="11.25">
      <c r="A180" s="0" t="s">
        <v>16</v>
      </c>
      <c r="B180" s="0" t="s">
        <v>3844</v>
      </c>
      <c r="C180" s="0" t="s">
        <v>3845</v>
      </c>
      <c r="D180" s="0" t="s">
        <v>3885</v>
      </c>
      <c r="E180" s="0" t="s">
        <v>3886</v>
      </c>
      <c r="F180" s="0" t="s">
        <v>3432</v>
      </c>
      <c r="G180" s="0" t="s">
        <v>3887</v>
      </c>
    </row>
    <row customHeight="1" ht="11.25">
      <c r="A181" s="0" t="s">
        <v>16</v>
      </c>
      <c r="B181" s="0" t="s">
        <v>3844</v>
      </c>
      <c r="C181" s="0" t="s">
        <v>3845</v>
      </c>
      <c r="D181" s="0" t="s">
        <v>3888</v>
      </c>
      <c r="E181" s="0" t="s">
        <v>3889</v>
      </c>
      <c r="F181" s="0" t="s">
        <v>3432</v>
      </c>
      <c r="G181" s="0" t="s">
        <v>3890</v>
      </c>
    </row>
    <row customHeight="1" ht="11.25">
      <c r="A182" s="0" t="s">
        <v>16</v>
      </c>
      <c r="B182" s="0" t="s">
        <v>3844</v>
      </c>
      <c r="C182" s="0" t="s">
        <v>3845</v>
      </c>
      <c r="D182" s="0" t="s">
        <v>3891</v>
      </c>
      <c r="E182" s="0" t="s">
        <v>3892</v>
      </c>
      <c r="F182" s="0" t="s">
        <v>3432</v>
      </c>
      <c r="G182" s="0" t="s">
        <v>3893</v>
      </c>
    </row>
    <row customHeight="1" ht="11.25">
      <c r="A183" s="0" t="s">
        <v>16</v>
      </c>
      <c r="B183" s="0" t="s">
        <v>3844</v>
      </c>
      <c r="C183" s="0" t="s">
        <v>3845</v>
      </c>
      <c r="D183" s="0" t="s">
        <v>3844</v>
      </c>
      <c r="E183" s="0" t="s">
        <v>3845</v>
      </c>
      <c r="F183" s="0" t="s">
        <v>3429</v>
      </c>
      <c r="G183" s="0" t="s">
        <v>3894</v>
      </c>
    </row>
    <row customHeight="1" ht="11.25">
      <c r="A184" s="0" t="s">
        <v>16</v>
      </c>
      <c r="B184" s="0" t="s">
        <v>3844</v>
      </c>
      <c r="C184" s="0" t="s">
        <v>3845</v>
      </c>
      <c r="D184" s="0" t="s">
        <v>3895</v>
      </c>
      <c r="E184" s="0" t="s">
        <v>3896</v>
      </c>
      <c r="F184" s="0" t="s">
        <v>3432</v>
      </c>
      <c r="G184" s="0" t="s">
        <v>3897</v>
      </c>
    </row>
    <row customHeight="1" ht="11.25">
      <c r="A185" s="0" t="s">
        <v>16</v>
      </c>
      <c r="B185" s="0" t="s">
        <v>3844</v>
      </c>
      <c r="C185" s="0" t="s">
        <v>3845</v>
      </c>
      <c r="D185" s="0" t="s">
        <v>3898</v>
      </c>
      <c r="E185" s="0" t="s">
        <v>3899</v>
      </c>
      <c r="F185" s="0" t="s">
        <v>3432</v>
      </c>
      <c r="G185" s="0" t="s">
        <v>3900</v>
      </c>
    </row>
    <row customHeight="1" ht="11.25">
      <c r="A186" s="0" t="s">
        <v>16</v>
      </c>
      <c r="B186" s="0" t="s">
        <v>134</v>
      </c>
      <c r="C186" s="0" t="s">
        <v>3901</v>
      </c>
      <c r="D186" s="0" t="s">
        <v>3902</v>
      </c>
      <c r="E186" s="0" t="s">
        <v>3903</v>
      </c>
      <c r="F186" s="0" t="s">
        <v>3432</v>
      </c>
      <c r="G186" s="0" t="s">
        <v>3904</v>
      </c>
    </row>
    <row customHeight="1" ht="11.25">
      <c r="A187" s="0" t="s">
        <v>16</v>
      </c>
      <c r="B187" s="0" t="s">
        <v>134</v>
      </c>
      <c r="C187" s="0" t="s">
        <v>3901</v>
      </c>
      <c r="D187" s="0" t="s">
        <v>3905</v>
      </c>
      <c r="E187" s="0" t="s">
        <v>3906</v>
      </c>
      <c r="F187" s="0" t="s">
        <v>3432</v>
      </c>
      <c r="G187" s="0" t="s">
        <v>3907</v>
      </c>
    </row>
    <row customHeight="1" ht="11.25">
      <c r="A188" s="0" t="s">
        <v>16</v>
      </c>
      <c r="B188" s="0" t="s">
        <v>134</v>
      </c>
      <c r="C188" s="0" t="s">
        <v>3901</v>
      </c>
      <c r="D188" s="0" t="s">
        <v>148</v>
      </c>
      <c r="E188" s="0" t="s">
        <v>149</v>
      </c>
      <c r="F188" s="0" t="s">
        <v>3432</v>
      </c>
      <c r="G188" s="0" t="s">
        <v>147</v>
      </c>
    </row>
    <row customHeight="1" ht="11.25">
      <c r="A189" s="0" t="s">
        <v>16</v>
      </c>
      <c r="B189" s="0" t="s">
        <v>134</v>
      </c>
      <c r="C189" s="0" t="s">
        <v>3901</v>
      </c>
      <c r="D189" s="0" t="s">
        <v>3908</v>
      </c>
      <c r="E189" s="0" t="s">
        <v>3909</v>
      </c>
      <c r="F189" s="0" t="s">
        <v>3432</v>
      </c>
      <c r="G189" s="0" t="s">
        <v>3910</v>
      </c>
    </row>
    <row customHeight="1" ht="11.25">
      <c r="A190" s="0" t="s">
        <v>16</v>
      </c>
      <c r="B190" s="0" t="s">
        <v>134</v>
      </c>
      <c r="C190" s="0" t="s">
        <v>3901</v>
      </c>
      <c r="D190" s="0" t="s">
        <v>3911</v>
      </c>
      <c r="E190" s="0" t="s">
        <v>3912</v>
      </c>
      <c r="F190" s="0" t="s">
        <v>3432</v>
      </c>
      <c r="G190" s="0" t="s">
        <v>3913</v>
      </c>
    </row>
    <row customHeight="1" ht="11.25">
      <c r="A191" s="0" t="s">
        <v>16</v>
      </c>
      <c r="B191" s="0" t="s">
        <v>134</v>
      </c>
      <c r="C191" s="0" t="s">
        <v>3901</v>
      </c>
      <c r="D191" s="0" t="s">
        <v>135</v>
      </c>
      <c r="E191" s="0" t="s">
        <v>136</v>
      </c>
      <c r="F191" s="0" t="s">
        <v>3432</v>
      </c>
      <c r="G191" s="0" t="s">
        <v>133</v>
      </c>
    </row>
    <row customHeight="1" ht="11.25">
      <c r="A192" s="0" t="s">
        <v>16</v>
      </c>
      <c r="B192" s="0" t="s">
        <v>134</v>
      </c>
      <c r="C192" s="0" t="s">
        <v>3901</v>
      </c>
      <c r="D192" s="0" t="s">
        <v>3914</v>
      </c>
      <c r="E192" s="0" t="s">
        <v>3915</v>
      </c>
      <c r="F192" s="0" t="s">
        <v>3432</v>
      </c>
      <c r="G192" s="0" t="s">
        <v>3916</v>
      </c>
    </row>
    <row customHeight="1" ht="11.25">
      <c r="A193" s="0" t="s">
        <v>16</v>
      </c>
      <c r="B193" s="0" t="s">
        <v>134</v>
      </c>
      <c r="C193" s="0" t="s">
        <v>3901</v>
      </c>
      <c r="D193" s="0" t="s">
        <v>3917</v>
      </c>
      <c r="E193" s="0" t="s">
        <v>3918</v>
      </c>
      <c r="F193" s="0" t="s">
        <v>3432</v>
      </c>
      <c r="G193" s="0" t="s">
        <v>3919</v>
      </c>
    </row>
    <row customHeight="1" ht="11.25">
      <c r="A194" s="0" t="s">
        <v>16</v>
      </c>
      <c r="B194" s="0" t="s">
        <v>134</v>
      </c>
      <c r="C194" s="0" t="s">
        <v>3901</v>
      </c>
      <c r="D194" s="0" t="s">
        <v>3920</v>
      </c>
      <c r="E194" s="0" t="s">
        <v>3921</v>
      </c>
      <c r="F194" s="0" t="s">
        <v>3432</v>
      </c>
      <c r="G194" s="0" t="s">
        <v>3922</v>
      </c>
    </row>
    <row customHeight="1" ht="11.25">
      <c r="A195" s="0" t="s">
        <v>16</v>
      </c>
      <c r="B195" s="0" t="s">
        <v>134</v>
      </c>
      <c r="C195" s="0" t="s">
        <v>3901</v>
      </c>
      <c r="D195" s="0" t="s">
        <v>3923</v>
      </c>
      <c r="E195" s="0" t="s">
        <v>3924</v>
      </c>
      <c r="F195" s="0" t="s">
        <v>3432</v>
      </c>
      <c r="G195" s="0" t="s">
        <v>3925</v>
      </c>
    </row>
    <row customHeight="1" ht="11.25">
      <c r="A196" s="0" t="s">
        <v>16</v>
      </c>
      <c r="B196" s="0" t="s">
        <v>134</v>
      </c>
      <c r="C196" s="0" t="s">
        <v>3901</v>
      </c>
      <c r="D196" s="0" t="s">
        <v>3926</v>
      </c>
      <c r="E196" s="0" t="s">
        <v>3927</v>
      </c>
      <c r="F196" s="0" t="s">
        <v>3432</v>
      </c>
      <c r="G196" s="0" t="s">
        <v>3928</v>
      </c>
    </row>
    <row customHeight="1" ht="11.25">
      <c r="A197" s="0" t="s">
        <v>16</v>
      </c>
      <c r="B197" s="0" t="s">
        <v>134</v>
      </c>
      <c r="C197" s="0" t="s">
        <v>3901</v>
      </c>
      <c r="D197" s="0" t="s">
        <v>151</v>
      </c>
      <c r="E197" s="0" t="s">
        <v>152</v>
      </c>
      <c r="F197" s="0" t="s">
        <v>3432</v>
      </c>
      <c r="G197" s="0" t="s">
        <v>150</v>
      </c>
    </row>
    <row customHeight="1" ht="11.25">
      <c r="A198" s="0" t="s">
        <v>16</v>
      </c>
      <c r="B198" s="0" t="s">
        <v>134</v>
      </c>
      <c r="C198" s="0" t="s">
        <v>3901</v>
      </c>
      <c r="D198" s="0" t="s">
        <v>3929</v>
      </c>
      <c r="E198" s="0" t="s">
        <v>3930</v>
      </c>
      <c r="F198" s="0" t="s">
        <v>3432</v>
      </c>
      <c r="G198" s="0" t="s">
        <v>3931</v>
      </c>
    </row>
    <row customHeight="1" ht="11.25">
      <c r="A199" s="0" t="s">
        <v>16</v>
      </c>
      <c r="B199" s="0" t="s">
        <v>134</v>
      </c>
      <c r="C199" s="0" t="s">
        <v>3901</v>
      </c>
      <c r="D199" s="0" t="s">
        <v>3932</v>
      </c>
      <c r="E199" s="0" t="s">
        <v>3933</v>
      </c>
      <c r="F199" s="0" t="s">
        <v>3432</v>
      </c>
      <c r="G199" s="0" t="s">
        <v>3934</v>
      </c>
    </row>
    <row customHeight="1" ht="11.25">
      <c r="A200" s="0" t="s">
        <v>16</v>
      </c>
      <c r="B200" s="0" t="s">
        <v>134</v>
      </c>
      <c r="C200" s="0" t="s">
        <v>3901</v>
      </c>
      <c r="D200" s="0" t="s">
        <v>162</v>
      </c>
      <c r="E200" s="0" t="s">
        <v>163</v>
      </c>
      <c r="F200" s="0" t="s">
        <v>3432</v>
      </c>
      <c r="G200" s="0" t="s">
        <v>161</v>
      </c>
    </row>
    <row customHeight="1" ht="11.25">
      <c r="A201" s="0" t="s">
        <v>16</v>
      </c>
      <c r="B201" s="0" t="s">
        <v>134</v>
      </c>
      <c r="C201" s="0" t="s">
        <v>3901</v>
      </c>
      <c r="D201" s="0" t="s">
        <v>3935</v>
      </c>
      <c r="E201" s="0" t="s">
        <v>3936</v>
      </c>
      <c r="F201" s="0" t="s">
        <v>3432</v>
      </c>
      <c r="G201" s="0" t="s">
        <v>3937</v>
      </c>
    </row>
    <row customHeight="1" ht="11.25">
      <c r="A202" s="0" t="s">
        <v>16</v>
      </c>
      <c r="B202" s="0" t="s">
        <v>134</v>
      </c>
      <c r="C202" s="0" t="s">
        <v>3901</v>
      </c>
      <c r="D202" s="0" t="s">
        <v>3938</v>
      </c>
      <c r="E202" s="0" t="s">
        <v>3939</v>
      </c>
      <c r="F202" s="0" t="s">
        <v>3432</v>
      </c>
      <c r="G202" s="0" t="s">
        <v>3940</v>
      </c>
    </row>
    <row customHeight="1" ht="11.25">
      <c r="A203" s="0" t="s">
        <v>16</v>
      </c>
      <c r="B203" s="0" t="s">
        <v>134</v>
      </c>
      <c r="C203" s="0" t="s">
        <v>3901</v>
      </c>
      <c r="D203" s="0" t="s">
        <v>3941</v>
      </c>
      <c r="E203" s="0" t="s">
        <v>3942</v>
      </c>
      <c r="F203" s="0" t="s">
        <v>3432</v>
      </c>
      <c r="G203" s="0" t="s">
        <v>3943</v>
      </c>
    </row>
    <row customHeight="1" ht="11.25">
      <c r="A204" s="0" t="s">
        <v>16</v>
      </c>
      <c r="B204" s="0" t="s">
        <v>134</v>
      </c>
      <c r="C204" s="0" t="s">
        <v>3901</v>
      </c>
      <c r="D204" s="0" t="s">
        <v>3944</v>
      </c>
      <c r="E204" s="0" t="s">
        <v>3945</v>
      </c>
      <c r="F204" s="0" t="s">
        <v>3432</v>
      </c>
      <c r="G204" s="0" t="s">
        <v>3946</v>
      </c>
    </row>
    <row customHeight="1" ht="11.25">
      <c r="A205" s="0" t="s">
        <v>16</v>
      </c>
      <c r="B205" s="0" t="s">
        <v>134</v>
      </c>
      <c r="C205" s="0" t="s">
        <v>3901</v>
      </c>
      <c r="D205" s="0" t="s">
        <v>138</v>
      </c>
      <c r="E205" s="0" t="s">
        <v>139</v>
      </c>
      <c r="F205" s="0" t="s">
        <v>3448</v>
      </c>
      <c r="G205" s="0" t="s">
        <v>137</v>
      </c>
    </row>
    <row customHeight="1" ht="11.25">
      <c r="A206" s="0" t="s">
        <v>16</v>
      </c>
      <c r="B206" s="0" t="s">
        <v>134</v>
      </c>
      <c r="C206" s="0" t="s">
        <v>3901</v>
      </c>
      <c r="D206" s="0" t="s">
        <v>141</v>
      </c>
      <c r="E206" s="0" t="s">
        <v>142</v>
      </c>
      <c r="F206" s="0" t="s">
        <v>3432</v>
      </c>
      <c r="G206" s="0" t="s">
        <v>140</v>
      </c>
    </row>
    <row customHeight="1" ht="11.25">
      <c r="A207" s="0" t="s">
        <v>16</v>
      </c>
      <c r="B207" s="0" t="s">
        <v>134</v>
      </c>
      <c r="C207" s="0" t="s">
        <v>3901</v>
      </c>
      <c r="D207" s="0" t="s">
        <v>3947</v>
      </c>
      <c r="E207" s="0" t="s">
        <v>3948</v>
      </c>
      <c r="F207" s="0" t="s">
        <v>3432</v>
      </c>
      <c r="G207" s="0" t="s">
        <v>3949</v>
      </c>
    </row>
    <row customHeight="1" ht="11.25">
      <c r="A208" s="0" t="s">
        <v>16</v>
      </c>
      <c r="B208" s="0" t="s">
        <v>134</v>
      </c>
      <c r="C208" s="0" t="s">
        <v>3901</v>
      </c>
      <c r="D208" s="0" t="s">
        <v>3950</v>
      </c>
      <c r="E208" s="0" t="s">
        <v>3951</v>
      </c>
      <c r="F208" s="0" t="s">
        <v>3432</v>
      </c>
      <c r="G208" s="0" t="s">
        <v>3952</v>
      </c>
    </row>
    <row customHeight="1" ht="11.25">
      <c r="A209" s="0" t="s">
        <v>16</v>
      </c>
      <c r="B209" s="0" t="s">
        <v>134</v>
      </c>
      <c r="C209" s="0" t="s">
        <v>3901</v>
      </c>
      <c r="D209" s="0" t="s">
        <v>154</v>
      </c>
      <c r="E209" s="0" t="s">
        <v>155</v>
      </c>
      <c r="F209" s="0" t="s">
        <v>3432</v>
      </c>
      <c r="G209" s="0" t="s">
        <v>153</v>
      </c>
    </row>
    <row customHeight="1" ht="11.25">
      <c r="A210" s="0" t="s">
        <v>16</v>
      </c>
      <c r="B210" s="0" t="s">
        <v>134</v>
      </c>
      <c r="C210" s="0" t="s">
        <v>3901</v>
      </c>
      <c r="D210" s="0" t="s">
        <v>3953</v>
      </c>
      <c r="E210" s="0" t="s">
        <v>3954</v>
      </c>
      <c r="F210" s="0" t="s">
        <v>3432</v>
      </c>
      <c r="G210" s="0" t="s">
        <v>3955</v>
      </c>
    </row>
    <row customHeight="1" ht="11.25">
      <c r="A211" s="0" t="s">
        <v>16</v>
      </c>
      <c r="B211" s="0" t="s">
        <v>134</v>
      </c>
      <c r="C211" s="0" t="s">
        <v>3901</v>
      </c>
      <c r="D211" s="0" t="s">
        <v>134</v>
      </c>
      <c r="E211" s="0" t="s">
        <v>3901</v>
      </c>
      <c r="F211" s="0" t="s">
        <v>3429</v>
      </c>
      <c r="G211" s="0" t="s">
        <v>3956</v>
      </c>
    </row>
    <row customHeight="1" ht="11.25">
      <c r="A212" s="0" t="s">
        <v>16</v>
      </c>
      <c r="B212" s="0" t="s">
        <v>134</v>
      </c>
      <c r="C212" s="0" t="s">
        <v>3901</v>
      </c>
      <c r="D212" s="0" t="s">
        <v>3957</v>
      </c>
      <c r="E212" s="0" t="s">
        <v>3958</v>
      </c>
      <c r="F212" s="0" t="s">
        <v>3432</v>
      </c>
      <c r="G212" s="0" t="s">
        <v>3959</v>
      </c>
    </row>
    <row customHeight="1" ht="11.25">
      <c r="A213" s="0" t="s">
        <v>16</v>
      </c>
      <c r="B213" s="0" t="s">
        <v>3960</v>
      </c>
      <c r="C213" s="0" t="s">
        <v>3961</v>
      </c>
      <c r="D213" s="0" t="s">
        <v>3962</v>
      </c>
      <c r="E213" s="0" t="s">
        <v>3963</v>
      </c>
      <c r="F213" s="0" t="s">
        <v>3432</v>
      </c>
      <c r="G213" s="0" t="s">
        <v>3964</v>
      </c>
    </row>
    <row customHeight="1" ht="11.25">
      <c r="A214" s="0" t="s">
        <v>16</v>
      </c>
      <c r="B214" s="0" t="s">
        <v>3960</v>
      </c>
      <c r="C214" s="0" t="s">
        <v>3961</v>
      </c>
      <c r="D214" s="0" t="s">
        <v>3965</v>
      </c>
      <c r="E214" s="0" t="s">
        <v>3966</v>
      </c>
      <c r="F214" s="0" t="s">
        <v>3432</v>
      </c>
      <c r="G214" s="0" t="s">
        <v>3967</v>
      </c>
    </row>
    <row customHeight="1" ht="11.25">
      <c r="A215" s="0" t="s">
        <v>16</v>
      </c>
      <c r="B215" s="0" t="s">
        <v>3960</v>
      </c>
      <c r="C215" s="0" t="s">
        <v>3961</v>
      </c>
      <c r="D215" s="0" t="s">
        <v>3968</v>
      </c>
      <c r="E215" s="0" t="s">
        <v>3969</v>
      </c>
      <c r="F215" s="0" t="s">
        <v>3432</v>
      </c>
      <c r="G215" s="0" t="s">
        <v>3970</v>
      </c>
    </row>
    <row customHeight="1" ht="11.25">
      <c r="A216" s="0" t="s">
        <v>16</v>
      </c>
      <c r="B216" s="0" t="s">
        <v>3960</v>
      </c>
      <c r="C216" s="0" t="s">
        <v>3961</v>
      </c>
      <c r="D216" s="0" t="s">
        <v>3971</v>
      </c>
      <c r="E216" s="0" t="s">
        <v>3972</v>
      </c>
      <c r="F216" s="0" t="s">
        <v>3432</v>
      </c>
      <c r="G216" s="0" t="s">
        <v>3973</v>
      </c>
    </row>
    <row customHeight="1" ht="11.25">
      <c r="A217" s="0" t="s">
        <v>16</v>
      </c>
      <c r="B217" s="0" t="s">
        <v>3960</v>
      </c>
      <c r="C217" s="0" t="s">
        <v>3961</v>
      </c>
      <c r="D217" s="0" t="s">
        <v>3974</v>
      </c>
      <c r="E217" s="0" t="s">
        <v>3975</v>
      </c>
      <c r="F217" s="0" t="s">
        <v>3432</v>
      </c>
      <c r="G217" s="0" t="s">
        <v>3976</v>
      </c>
    </row>
    <row customHeight="1" ht="11.25">
      <c r="A218" s="0" t="s">
        <v>16</v>
      </c>
      <c r="B218" s="0" t="s">
        <v>3960</v>
      </c>
      <c r="C218" s="0" t="s">
        <v>3961</v>
      </c>
      <c r="D218" s="0" t="s">
        <v>3977</v>
      </c>
      <c r="E218" s="0" t="s">
        <v>3978</v>
      </c>
      <c r="F218" s="0" t="s">
        <v>3432</v>
      </c>
      <c r="G218" s="0" t="s">
        <v>3979</v>
      </c>
    </row>
    <row customHeight="1" ht="11.25">
      <c r="A219" s="0" t="s">
        <v>16</v>
      </c>
      <c r="B219" s="0" t="s">
        <v>3960</v>
      </c>
      <c r="C219" s="0" t="s">
        <v>3961</v>
      </c>
      <c r="D219" s="0" t="s">
        <v>3980</v>
      </c>
      <c r="E219" s="0" t="s">
        <v>3981</v>
      </c>
      <c r="F219" s="0" t="s">
        <v>3432</v>
      </c>
      <c r="G219" s="0" t="s">
        <v>3982</v>
      </c>
    </row>
    <row customHeight="1" ht="11.25">
      <c r="A220" s="0" t="s">
        <v>16</v>
      </c>
      <c r="B220" s="0" t="s">
        <v>3960</v>
      </c>
      <c r="C220" s="0" t="s">
        <v>3961</v>
      </c>
      <c r="D220" s="0" t="s">
        <v>3983</v>
      </c>
      <c r="E220" s="0" t="s">
        <v>3984</v>
      </c>
      <c r="F220" s="0" t="s">
        <v>3432</v>
      </c>
      <c r="G220" s="0" t="s">
        <v>3985</v>
      </c>
    </row>
    <row customHeight="1" ht="11.25">
      <c r="A221" s="0" t="s">
        <v>16</v>
      </c>
      <c r="B221" s="0" t="s">
        <v>3960</v>
      </c>
      <c r="C221" s="0" t="s">
        <v>3961</v>
      </c>
      <c r="D221" s="0" t="s">
        <v>3986</v>
      </c>
      <c r="E221" s="0" t="s">
        <v>3987</v>
      </c>
      <c r="F221" s="0" t="s">
        <v>3432</v>
      </c>
      <c r="G221" s="0" t="s">
        <v>3988</v>
      </c>
    </row>
    <row customHeight="1" ht="11.25">
      <c r="A222" s="0" t="s">
        <v>16</v>
      </c>
      <c r="B222" s="0" t="s">
        <v>3960</v>
      </c>
      <c r="C222" s="0" t="s">
        <v>3961</v>
      </c>
      <c r="D222" s="0" t="s">
        <v>3989</v>
      </c>
      <c r="E222" s="0" t="s">
        <v>3990</v>
      </c>
      <c r="F222" s="0" t="s">
        <v>3432</v>
      </c>
      <c r="G222" s="0" t="s">
        <v>3991</v>
      </c>
    </row>
    <row customHeight="1" ht="11.25">
      <c r="A223" s="0" t="s">
        <v>16</v>
      </c>
      <c r="B223" s="0" t="s">
        <v>3960</v>
      </c>
      <c r="C223" s="0" t="s">
        <v>3961</v>
      </c>
      <c r="D223" s="0" t="s">
        <v>3992</v>
      </c>
      <c r="E223" s="0" t="s">
        <v>3993</v>
      </c>
      <c r="F223" s="0" t="s">
        <v>3432</v>
      </c>
      <c r="G223" s="0" t="s">
        <v>3994</v>
      </c>
    </row>
    <row customHeight="1" ht="11.25">
      <c r="A224" s="0" t="s">
        <v>16</v>
      </c>
      <c r="B224" s="0" t="s">
        <v>3960</v>
      </c>
      <c r="C224" s="0" t="s">
        <v>3961</v>
      </c>
      <c r="D224" s="0" t="s">
        <v>3995</v>
      </c>
      <c r="E224" s="0" t="s">
        <v>3996</v>
      </c>
      <c r="F224" s="0" t="s">
        <v>3432</v>
      </c>
      <c r="G224" s="0" t="s">
        <v>3997</v>
      </c>
    </row>
    <row customHeight="1" ht="11.25">
      <c r="A225" s="0" t="s">
        <v>16</v>
      </c>
      <c r="B225" s="0" t="s">
        <v>3960</v>
      </c>
      <c r="C225" s="0" t="s">
        <v>3961</v>
      </c>
      <c r="D225" s="0" t="s">
        <v>3998</v>
      </c>
      <c r="E225" s="0" t="s">
        <v>3999</v>
      </c>
      <c r="F225" s="0" t="s">
        <v>3448</v>
      </c>
      <c r="G225" s="0" t="s">
        <v>4000</v>
      </c>
    </row>
    <row customHeight="1" ht="11.25">
      <c r="A226" s="0" t="s">
        <v>16</v>
      </c>
      <c r="B226" s="0" t="s">
        <v>3960</v>
      </c>
      <c r="C226" s="0" t="s">
        <v>3961</v>
      </c>
      <c r="D226" s="0" t="s">
        <v>4001</v>
      </c>
      <c r="E226" s="0" t="s">
        <v>4002</v>
      </c>
      <c r="F226" s="0" t="s">
        <v>3448</v>
      </c>
      <c r="G226" s="0" t="s">
        <v>4003</v>
      </c>
    </row>
    <row customHeight="1" ht="11.25">
      <c r="A227" s="0" t="s">
        <v>16</v>
      </c>
      <c r="B227" s="0" t="s">
        <v>3960</v>
      </c>
      <c r="C227" s="0" t="s">
        <v>3961</v>
      </c>
      <c r="D227" s="0" t="s">
        <v>4004</v>
      </c>
      <c r="E227" s="0" t="s">
        <v>4005</v>
      </c>
      <c r="F227" s="0" t="s">
        <v>3448</v>
      </c>
      <c r="G227" s="0" t="s">
        <v>4006</v>
      </c>
    </row>
    <row customHeight="1" ht="11.25">
      <c r="A228" s="0" t="s">
        <v>16</v>
      </c>
      <c r="B228" s="0" t="s">
        <v>3960</v>
      </c>
      <c r="C228" s="0" t="s">
        <v>3961</v>
      </c>
      <c r="D228" s="0" t="s">
        <v>4007</v>
      </c>
      <c r="E228" s="0" t="s">
        <v>4008</v>
      </c>
      <c r="F228" s="0" t="s">
        <v>3432</v>
      </c>
      <c r="G228" s="0" t="s">
        <v>4009</v>
      </c>
    </row>
    <row customHeight="1" ht="11.25">
      <c r="A229" s="0" t="s">
        <v>16</v>
      </c>
      <c r="B229" s="0" t="s">
        <v>3960</v>
      </c>
      <c r="C229" s="0" t="s">
        <v>3961</v>
      </c>
      <c r="D229" s="0" t="s">
        <v>4010</v>
      </c>
      <c r="E229" s="0" t="s">
        <v>4011</v>
      </c>
      <c r="F229" s="0" t="s">
        <v>3432</v>
      </c>
      <c r="G229" s="0" t="s">
        <v>4012</v>
      </c>
    </row>
    <row customHeight="1" ht="11.25">
      <c r="A230" s="0" t="s">
        <v>16</v>
      </c>
      <c r="B230" s="0" t="s">
        <v>3960</v>
      </c>
      <c r="C230" s="0" t="s">
        <v>3961</v>
      </c>
      <c r="D230" s="0" t="s">
        <v>4013</v>
      </c>
      <c r="E230" s="0" t="s">
        <v>4014</v>
      </c>
      <c r="F230" s="0" t="s">
        <v>3432</v>
      </c>
      <c r="G230" s="0" t="s">
        <v>4015</v>
      </c>
    </row>
    <row customHeight="1" ht="11.25">
      <c r="A231" s="0" t="s">
        <v>16</v>
      </c>
      <c r="B231" s="0" t="s">
        <v>3960</v>
      </c>
      <c r="C231" s="0" t="s">
        <v>3961</v>
      </c>
      <c r="D231" s="0" t="s">
        <v>4016</v>
      </c>
      <c r="E231" s="0" t="s">
        <v>4017</v>
      </c>
      <c r="F231" s="0" t="s">
        <v>3432</v>
      </c>
      <c r="G231" s="0" t="s">
        <v>4018</v>
      </c>
    </row>
    <row customHeight="1" ht="11.25">
      <c r="A232" s="0" t="s">
        <v>16</v>
      </c>
      <c r="B232" s="0" t="s">
        <v>3960</v>
      </c>
      <c r="C232" s="0" t="s">
        <v>3961</v>
      </c>
      <c r="D232" s="0" t="s">
        <v>4019</v>
      </c>
      <c r="E232" s="0" t="s">
        <v>4020</v>
      </c>
      <c r="F232" s="0" t="s">
        <v>3432</v>
      </c>
      <c r="G232" s="0" t="s">
        <v>4021</v>
      </c>
    </row>
    <row customHeight="1" ht="11.25">
      <c r="A233" s="0" t="s">
        <v>16</v>
      </c>
      <c r="B233" s="0" t="s">
        <v>3960</v>
      </c>
      <c r="C233" s="0" t="s">
        <v>3961</v>
      </c>
      <c r="D233" s="0" t="s">
        <v>3960</v>
      </c>
      <c r="E233" s="0" t="s">
        <v>3961</v>
      </c>
      <c r="F233" s="0" t="s">
        <v>3429</v>
      </c>
      <c r="G233" s="0" t="s">
        <v>4022</v>
      </c>
    </row>
    <row customHeight="1" ht="11.25">
      <c r="A234" s="0" t="s">
        <v>16</v>
      </c>
      <c r="B234" s="0" t="s">
        <v>4023</v>
      </c>
      <c r="C234" s="0" t="s">
        <v>4024</v>
      </c>
      <c r="D234" s="0" t="s">
        <v>4025</v>
      </c>
      <c r="E234" s="0" t="s">
        <v>4026</v>
      </c>
      <c r="F234" s="0" t="s">
        <v>3432</v>
      </c>
      <c r="G234" s="0" t="s">
        <v>4027</v>
      </c>
    </row>
    <row customHeight="1" ht="11.25">
      <c r="A235" s="0" t="s">
        <v>16</v>
      </c>
      <c r="B235" s="0" t="s">
        <v>4023</v>
      </c>
      <c r="C235" s="0" t="s">
        <v>4024</v>
      </c>
      <c r="D235" s="0" t="s">
        <v>4028</v>
      </c>
      <c r="E235" s="0" t="s">
        <v>4029</v>
      </c>
      <c r="F235" s="0" t="s">
        <v>3432</v>
      </c>
      <c r="G235" s="0" t="s">
        <v>4030</v>
      </c>
    </row>
    <row customHeight="1" ht="11.25">
      <c r="A236" s="0" t="s">
        <v>16</v>
      </c>
      <c r="B236" s="0" t="s">
        <v>4023</v>
      </c>
      <c r="C236" s="0" t="s">
        <v>4024</v>
      </c>
      <c r="D236" s="0" t="s">
        <v>4031</v>
      </c>
      <c r="E236" s="0" t="s">
        <v>4032</v>
      </c>
      <c r="F236" s="0" t="s">
        <v>3459</v>
      </c>
      <c r="G236" s="0" t="s">
        <v>4033</v>
      </c>
    </row>
    <row customHeight="1" ht="11.25">
      <c r="A237" s="0" t="s">
        <v>16</v>
      </c>
      <c r="B237" s="0" t="s">
        <v>4023</v>
      </c>
      <c r="C237" s="0" t="s">
        <v>4024</v>
      </c>
      <c r="D237" s="0" t="s">
        <v>4034</v>
      </c>
      <c r="E237" s="0" t="s">
        <v>4035</v>
      </c>
      <c r="F237" s="0" t="s">
        <v>3432</v>
      </c>
      <c r="G237" s="0" t="s">
        <v>4036</v>
      </c>
    </row>
    <row customHeight="1" ht="11.25">
      <c r="A238" s="0" t="s">
        <v>16</v>
      </c>
      <c r="B238" s="0" t="s">
        <v>4023</v>
      </c>
      <c r="C238" s="0" t="s">
        <v>4024</v>
      </c>
      <c r="D238" s="0" t="s">
        <v>4037</v>
      </c>
      <c r="E238" s="0" t="s">
        <v>4038</v>
      </c>
      <c r="F238" s="0" t="s">
        <v>3432</v>
      </c>
      <c r="G238" s="0" t="s">
        <v>4039</v>
      </c>
    </row>
    <row customHeight="1" ht="11.25">
      <c r="A239" s="0" t="s">
        <v>16</v>
      </c>
      <c r="B239" s="0" t="s">
        <v>4023</v>
      </c>
      <c r="C239" s="0" t="s">
        <v>4024</v>
      </c>
      <c r="D239" s="0" t="s">
        <v>4040</v>
      </c>
      <c r="E239" s="0" t="s">
        <v>4041</v>
      </c>
      <c r="F239" s="0" t="s">
        <v>3432</v>
      </c>
      <c r="G239" s="0" t="s">
        <v>4042</v>
      </c>
    </row>
    <row customHeight="1" ht="11.25">
      <c r="A240" s="0" t="s">
        <v>16</v>
      </c>
      <c r="B240" s="0" t="s">
        <v>4023</v>
      </c>
      <c r="C240" s="0" t="s">
        <v>4024</v>
      </c>
      <c r="D240" s="0" t="s">
        <v>4023</v>
      </c>
      <c r="E240" s="0" t="s">
        <v>4024</v>
      </c>
      <c r="F240" s="0" t="s">
        <v>3429</v>
      </c>
      <c r="G240" s="0" t="s">
        <v>4043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6D412C-04E2-4B43-50C1-0.F11ADCB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15" width="9.140625"/>
    <col min="2" max="2" style="1715" width="84.28125" customWidth="1"/>
    <col min="3" max="3" style="1715" width="9.140625"/>
  </cols>
  <sheetData>
    <row customHeight="1" ht="11.25">
      <c r="A1" s="859" t="s">
        <v>4195</v>
      </c>
      <c r="B1" s="859" t="s">
        <v>4196</v>
      </c>
      <c r="C1" s="859" t="s">
        <v>1501</v>
      </c>
    </row>
    <row customHeight="1" ht="11.25">
      <c r="A2" s="859">
        <v>4189678</v>
      </c>
      <c r="B2" s="859" t="s">
        <v>4197</v>
      </c>
      <c r="C2" s="859" t="s">
        <v>4198</v>
      </c>
    </row>
    <row customHeight="1" ht="11.25">
      <c r="A3" s="859">
        <v>4190415</v>
      </c>
      <c r="B3" s="859" t="s">
        <v>4199</v>
      </c>
      <c r="C3" s="859" t="s">
        <v>4198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CA460F-2FF1-DB66-CCFB-0.23C2787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86" width="38.421875" customWidth="1"/>
    <col min="2" max="5" style="186" width="9.140625"/>
  </cols>
  <sheetData>
    <row customHeight="1" ht="15">
      <c r="A1" s="187" t="s">
        <v>4200</v>
      </c>
      <c r="B1" s="187" t="s">
        <v>4201</v>
      </c>
      <c r="C1" s="187"/>
      <c r="D1" s="187"/>
      <c r="E1" s="187"/>
    </row>
    <row customHeight="1" ht="15">
      <c r="A2" s="187"/>
      <c r="B2" s="187"/>
      <c r="C2" s="187"/>
      <c r="D2" s="187"/>
      <c r="E2" s="187"/>
    </row>
    <row customHeight="1" ht="15">
      <c r="A3" s="187"/>
      <c r="B3" s="187"/>
      <c r="C3" s="187"/>
      <c r="D3" s="187"/>
      <c r="E3" s="187"/>
    </row>
    <row customHeight="1" ht="15">
      <c r="A4" s="187"/>
      <c r="B4" s="187"/>
      <c r="C4" s="187"/>
      <c r="D4" s="187"/>
      <c r="E4" s="187"/>
    </row>
    <row customHeight="1" ht="15">
      <c r="A5" s="187"/>
      <c r="B5" s="187"/>
      <c r="C5" s="187"/>
      <c r="D5" s="187"/>
      <c r="E5" s="187"/>
    </row>
    <row customHeight="1" ht="15">
      <c r="A6" s="187"/>
      <c r="B6" s="187"/>
      <c r="C6" s="187"/>
      <c r="D6" s="187"/>
      <c r="E6" s="187"/>
    </row>
    <row customHeight="1" ht="15">
      <c r="A7" s="187"/>
      <c r="B7" s="187"/>
      <c r="C7" s="187"/>
      <c r="D7" s="187"/>
      <c r="E7" s="187"/>
    </row>
    <row customHeight="1" ht="15">
      <c r="A8" s="187"/>
      <c r="B8" s="187"/>
      <c r="C8" s="187"/>
      <c r="D8" s="187"/>
      <c r="E8" s="187"/>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E03B16-51A8-1591-313B-0.649A9DA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4202</v>
      </c>
      <c r="B1" s="0" t="b">
        <v>1</v>
      </c>
    </row>
    <row customHeight="1" ht="11.25">
      <c r="A2" s="0" t="s">
        <v>4203</v>
      </c>
      <c r="B2" s="0" t="b">
        <v>0</v>
      </c>
    </row>
    <row customHeight="1" ht="11.25">
      <c r="A3" s="0" t="s">
        <v>4204</v>
      </c>
      <c r="B3" s="0" t="b">
        <v>1</v>
      </c>
    </row>
    <row customHeight="1" ht="11.25">
      <c r="A4" s="0" t="s">
        <v>4205</v>
      </c>
      <c r="B4" s="0" t="b">
        <v>0</v>
      </c>
    </row>
    <row customHeight="1" ht="11.25">
      <c r="A5" s="0" t="s">
        <v>4206</v>
      </c>
      <c r="B5" s="0" t="b">
        <v>0</v>
      </c>
    </row>
    <row customHeight="1" ht="11.25">
      <c r="A6" s="0" t="s">
        <v>4207</v>
      </c>
      <c r="B6" s="0" t="b">
        <v>0</v>
      </c>
    </row>
    <row customHeight="1" ht="11.25">
      <c r="A7" s="0" t="s">
        <v>4208</v>
      </c>
      <c r="B7" s="0" t="b">
        <v>0</v>
      </c>
    </row>
    <row customHeight="1" ht="11.25">
      <c r="A8" s="0" t="s">
        <v>4209</v>
      </c>
      <c r="B8" s="0" t="b">
        <v>0</v>
      </c>
    </row>
    <row customHeight="1" ht="11.25">
      <c r="A9" s="0" t="s">
        <v>4210</v>
      </c>
      <c r="B9" s="0" t="b">
        <v>0</v>
      </c>
    </row>
    <row customHeight="1" ht="11.25">
      <c r="A10" s="0" t="s">
        <v>4211</v>
      </c>
      <c r="B10" s="0" t="b">
        <v>0</v>
      </c>
    </row>
    <row customHeight="1" ht="11.25">
      <c r="A11" s="0" t="s">
        <v>4212</v>
      </c>
      <c r="B11" s="0" t="b">
        <v>1</v>
      </c>
    </row>
    <row customHeight="1" ht="11.25">
      <c r="A12" s="0" t="s">
        <v>4213</v>
      </c>
      <c r="B12" s="0" t="b">
        <v>0</v>
      </c>
    </row>
    <row customHeight="1" ht="11.25">
      <c r="A13" s="0" t="s">
        <v>4214</v>
      </c>
      <c r="B13" s="0" t="b">
        <v>0</v>
      </c>
    </row>
    <row customHeight="1" ht="11.25">
      <c r="A14" s="0" t="s">
        <v>4215</v>
      </c>
      <c r="B14" s="0" t="b">
        <v>0</v>
      </c>
    </row>
    <row customHeight="1" ht="11.25">
      <c r="A15" s="0" t="s">
        <v>4216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F4B2D8-AB84-2ECE-ACC4-0.45F166F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938"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C36455-3202-8493-80F6-0.1E3FD1F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74" width="36.28125" customWidth="1"/>
    <col min="2" max="2" style="1874" width="21.140625" customWidth="1"/>
  </cols>
  <sheetData>
    <row customHeight="1" ht="11.25">
      <c r="A1" s="91" t="s">
        <v>4217</v>
      </c>
      <c r="B1" s="91" t="s">
        <v>4218</v>
      </c>
    </row>
    <row customHeight="1" ht="11.25">
      <c r="A2" s="88" t="s">
        <v>4219</v>
      </c>
      <c r="B2" s="88" t="s">
        <v>4220</v>
      </c>
    </row>
    <row customHeight="1" ht="11.25">
      <c r="A3" s="88" t="s">
        <v>4221</v>
      </c>
      <c r="B3" s="88" t="s">
        <v>4222</v>
      </c>
    </row>
    <row customHeight="1" ht="11.25">
      <c r="A4" s="88" t="s">
        <v>4223</v>
      </c>
      <c r="B4" s="88" t="s">
        <v>4224</v>
      </c>
    </row>
    <row customHeight="1" ht="11.25">
      <c r="A5" s="88" t="s">
        <v>4225</v>
      </c>
      <c r="B5" s="88" t="s">
        <v>4226</v>
      </c>
    </row>
    <row customHeight="1" ht="11.25">
      <c r="A6" s="88" t="s">
        <v>4227</v>
      </c>
      <c r="B6" s="88" t="s">
        <v>4228</v>
      </c>
    </row>
    <row customHeight="1" ht="11.25">
      <c r="A7" s="88" t="s">
        <v>4229</v>
      </c>
      <c r="B7" s="88" t="s">
        <v>4230</v>
      </c>
    </row>
    <row customHeight="1" ht="11.25">
      <c r="A8" s="88" t="s">
        <v>4231</v>
      </c>
      <c r="B8" s="88" t="s">
        <v>4232</v>
      </c>
    </row>
    <row customHeight="1" ht="11.25">
      <c r="A9" s="88" t="s">
        <v>4233</v>
      </c>
      <c r="B9" s="88" t="s">
        <v>4234</v>
      </c>
    </row>
    <row customHeight="1" ht="11.25">
      <c r="A10" s="88" t="s">
        <v>4235</v>
      </c>
      <c r="B10" s="88" t="s">
        <v>4236</v>
      </c>
    </row>
    <row customHeight="1" ht="11.25">
      <c r="A11" s="88" t="s">
        <v>4237</v>
      </c>
      <c r="B11" s="88" t="s">
        <v>4238</v>
      </c>
    </row>
    <row customHeight="1" ht="11.25">
      <c r="A12" s="88" t="s">
        <v>4239</v>
      </c>
      <c r="B12" s="88" t="s">
        <v>4240</v>
      </c>
    </row>
    <row customHeight="1" ht="11.25">
      <c r="A13" s="88" t="s">
        <v>4241</v>
      </c>
      <c r="B13" s="88" t="s">
        <v>4242</v>
      </c>
    </row>
    <row customHeight="1" ht="11.25">
      <c r="A14" s="88" t="s">
        <v>4243</v>
      </c>
      <c r="B14" s="88" t="s">
        <v>4244</v>
      </c>
    </row>
    <row customHeight="1" ht="11.25">
      <c r="A15" s="88" t="s">
        <v>4245</v>
      </c>
      <c r="B15" s="88" t="s">
        <v>4246</v>
      </c>
    </row>
    <row customHeight="1" ht="11.25">
      <c r="A16" s="88" t="s">
        <v>4247</v>
      </c>
      <c r="B16" s="88" t="s">
        <v>4248</v>
      </c>
    </row>
    <row customHeight="1" ht="11.25">
      <c r="A17" s="88" t="s">
        <v>4249</v>
      </c>
      <c r="B17" s="88" t="s">
        <v>4250</v>
      </c>
    </row>
    <row customHeight="1" ht="11.25">
      <c r="A18" s="88" t="s">
        <v>4251</v>
      </c>
      <c r="B18" s="88" t="s">
        <v>4252</v>
      </c>
    </row>
    <row customHeight="1" ht="11.25">
      <c r="A19" s="88" t="s">
        <v>4253</v>
      </c>
      <c r="B19" s="88" t="s">
        <v>4254</v>
      </c>
    </row>
    <row customHeight="1" ht="11.25">
      <c r="A20" s="88" t="s">
        <v>4255</v>
      </c>
      <c r="B20" s="88" t="s">
        <v>4256</v>
      </c>
    </row>
    <row customHeight="1" ht="11.25">
      <c r="A21" s="88" t="s">
        <v>4257</v>
      </c>
      <c r="B21" s="88" t="s">
        <v>4258</v>
      </c>
    </row>
    <row customHeight="1" ht="11.25">
      <c r="A22" s="88" t="s">
        <v>4259</v>
      </c>
      <c r="B22" s="88" t="s">
        <v>4260</v>
      </c>
    </row>
    <row customHeight="1" ht="11.25">
      <c r="A23" s="88" t="s">
        <v>4261</v>
      </c>
      <c r="B23" s="88" t="s">
        <v>4262</v>
      </c>
    </row>
    <row customHeight="1" ht="11.25">
      <c r="A24" s="88" t="s">
        <v>4263</v>
      </c>
      <c r="B24" s="88" t="s">
        <v>4264</v>
      </c>
    </row>
    <row customHeight="1" ht="11.25">
      <c r="A25" s="88" t="s">
        <v>4265</v>
      </c>
      <c r="B25" s="88" t="s">
        <v>4266</v>
      </c>
    </row>
    <row customHeight="1" ht="11.25">
      <c r="A26" s="88" t="s">
        <v>4267</v>
      </c>
      <c r="B26" s="88" t="s">
        <v>4268</v>
      </c>
    </row>
    <row customHeight="1" ht="11.25">
      <c r="A27" s="88" t="s">
        <v>4269</v>
      </c>
      <c r="B27" s="88" t="s">
        <v>4270</v>
      </c>
    </row>
    <row customHeight="1" ht="11.25">
      <c r="A28" s="88" t="s">
        <v>4271</v>
      </c>
      <c r="B28" s="88" t="s">
        <v>4272</v>
      </c>
    </row>
    <row customHeight="1" ht="11.25">
      <c r="A29" s="88" t="s">
        <v>4273</v>
      </c>
      <c r="B29" s="88" t="s">
        <v>4274</v>
      </c>
    </row>
    <row customHeight="1" ht="11.25">
      <c r="A30" s="88" t="s">
        <v>4275</v>
      </c>
      <c r="B30" s="88" t="s">
        <v>4276</v>
      </c>
    </row>
    <row customHeight="1" ht="11.25">
      <c r="A31" s="88" t="s">
        <v>4277</v>
      </c>
      <c r="B31" s="88" t="s">
        <v>4278</v>
      </c>
    </row>
    <row customHeight="1" ht="11.25">
      <c r="A32" s="88" t="s">
        <v>4279</v>
      </c>
      <c r="B32" s="88" t="s">
        <v>4280</v>
      </c>
    </row>
    <row customHeight="1" ht="11.25">
      <c r="A33" s="88" t="s">
        <v>4281</v>
      </c>
      <c r="B33" s="88" t="s">
        <v>4282</v>
      </c>
    </row>
    <row customHeight="1" ht="11.25">
      <c r="A34" s="88" t="s">
        <v>4283</v>
      </c>
      <c r="B34" s="88" t="s">
        <v>4284</v>
      </c>
    </row>
    <row customHeight="1" ht="11.25">
      <c r="A35" s="88" t="s">
        <v>4285</v>
      </c>
      <c r="B35" s="88" t="s">
        <v>4286</v>
      </c>
    </row>
    <row customHeight="1" ht="11.25">
      <c r="A36" s="88" t="s">
        <v>4287</v>
      </c>
      <c r="B36" s="88" t="s">
        <v>4288</v>
      </c>
    </row>
    <row customHeight="1" ht="11.25">
      <c r="A37" s="88" t="s">
        <v>4289</v>
      </c>
      <c r="B37" s="88" t="s">
        <v>4290</v>
      </c>
    </row>
    <row customHeight="1" ht="11.25">
      <c r="A38" s="88" t="s">
        <v>4291</v>
      </c>
      <c r="B38" s="88" t="s">
        <v>4292</v>
      </c>
    </row>
    <row customHeight="1" ht="11.25">
      <c r="A39" s="88" t="s">
        <v>4293</v>
      </c>
      <c r="B39" s="88" t="s">
        <v>4294</v>
      </c>
    </row>
    <row customHeight="1" ht="11.25">
      <c r="A40" s="88" t="s">
        <v>4295</v>
      </c>
      <c r="B40" s="88" t="s">
        <v>4296</v>
      </c>
    </row>
    <row customHeight="1" ht="11.25">
      <c r="A41" s="88" t="s">
        <v>4297</v>
      </c>
      <c r="B41" s="88" t="s">
        <v>4298</v>
      </c>
    </row>
    <row customHeight="1" ht="11.25">
      <c r="A42" s="88" t="s">
        <v>4299</v>
      </c>
      <c r="B42" s="88" t="s">
        <v>4300</v>
      </c>
    </row>
    <row customHeight="1" ht="11.25">
      <c r="A43" s="88" t="s">
        <v>4301</v>
      </c>
      <c r="B43" s="88" t="s">
        <v>4302</v>
      </c>
    </row>
    <row customHeight="1" ht="11.25">
      <c r="A44" s="88" t="s">
        <v>4303</v>
      </c>
      <c r="B44" s="88" t="s">
        <v>4304</v>
      </c>
    </row>
    <row customHeight="1" ht="11.25">
      <c r="A45" s="88" t="s">
        <v>4305</v>
      </c>
      <c r="B45" s="88" t="s">
        <v>4306</v>
      </c>
    </row>
    <row customHeight="1" ht="11.25">
      <c r="A46" s="88" t="s">
        <v>4307</v>
      </c>
      <c r="B46" s="88" t="s">
        <v>4308</v>
      </c>
    </row>
    <row customHeight="1" ht="11.25">
      <c r="A47" s="88" t="s">
        <v>4309</v>
      </c>
      <c r="B47" s="88" t="s">
        <v>4310</v>
      </c>
    </row>
    <row customHeight="1" ht="11.25">
      <c r="A48" s="88" t="s">
        <v>4311</v>
      </c>
      <c r="B48" s="88" t="s">
        <v>4312</v>
      </c>
    </row>
    <row customHeight="1" ht="11.25">
      <c r="A49" s="88" t="s">
        <v>4313</v>
      </c>
      <c r="B49" s="88" t="s">
        <v>4314</v>
      </c>
    </row>
    <row customHeight="1" ht="11.25">
      <c r="A50" s="88" t="s">
        <v>4315</v>
      </c>
      <c r="B50" s="88" t="s">
        <v>4316</v>
      </c>
    </row>
    <row customHeight="1" ht="11.25">
      <c r="A51" s="88" t="s">
        <v>4317</v>
      </c>
      <c r="B51" s="88" t="s">
        <v>4318</v>
      </c>
    </row>
    <row customHeight="1" ht="11.25">
      <c r="A52" s="88" t="s">
        <v>4319</v>
      </c>
      <c r="B52" s="88" t="s">
        <v>4320</v>
      </c>
    </row>
    <row customHeight="1" ht="11.25">
      <c r="A53" s="88" t="s">
        <v>4321</v>
      </c>
      <c r="B53" s="88" t="s">
        <v>4322</v>
      </c>
    </row>
    <row customHeight="1" ht="11.25">
      <c r="A54" s="88" t="s">
        <v>4323</v>
      </c>
      <c r="B54" s="88" t="s">
        <v>4324</v>
      </c>
    </row>
    <row customHeight="1" ht="11.25">
      <c r="A55" s="88" t="s">
        <v>4325</v>
      </c>
      <c r="B55" s="88" t="s">
        <v>4326</v>
      </c>
    </row>
    <row customHeight="1" ht="11.25">
      <c r="A56" s="88" t="s">
        <v>4327</v>
      </c>
      <c r="B56" s="88" t="s">
        <v>4328</v>
      </c>
    </row>
    <row customHeight="1" ht="11.25">
      <c r="A57" s="88" t="s">
        <v>4329</v>
      </c>
      <c r="B57" s="88" t="s">
        <v>4330</v>
      </c>
    </row>
    <row customHeight="1" ht="11.25">
      <c r="A58" s="88" t="s">
        <v>4331</v>
      </c>
      <c r="B58" s="88" t="s">
        <v>4332</v>
      </c>
    </row>
    <row customHeight="1" ht="11.25">
      <c r="A59" s="88" t="s">
        <v>4333</v>
      </c>
      <c r="B59" s="88" t="s">
        <v>4334</v>
      </c>
    </row>
    <row customHeight="1" ht="11.25">
      <c r="A60" s="88" t="s">
        <v>4335</v>
      </c>
      <c r="B60" s="88" t="s">
        <v>4336</v>
      </c>
    </row>
    <row customHeight="1" ht="11.25">
      <c r="A61" s="88"/>
      <c r="B61" s="88" t="s">
        <v>4337</v>
      </c>
    </row>
    <row customHeight="1" ht="11.25">
      <c r="A62" s="88"/>
      <c r="B62" s="88" t="s">
        <v>4338</v>
      </c>
    </row>
    <row customHeight="1" ht="11.25">
      <c r="A63" s="88"/>
      <c r="B63" s="88" t="s">
        <v>4339</v>
      </c>
    </row>
    <row customHeight="1" ht="11.25">
      <c r="A64" s="88"/>
      <c r="B64" s="88" t="s">
        <v>4340</v>
      </c>
    </row>
    <row customHeight="1" ht="11.25">
      <c r="A65" s="88"/>
      <c r="B65" s="88" t="s">
        <v>4341</v>
      </c>
    </row>
    <row customHeight="1" ht="11.25">
      <c r="A66" s="88"/>
      <c r="B66" s="88" t="s">
        <v>4342</v>
      </c>
    </row>
    <row customHeight="1" ht="11.25">
      <c r="A67" s="88"/>
      <c r="B67" s="88" t="s">
        <v>4343</v>
      </c>
    </row>
    <row customHeight="1" ht="11.25">
      <c r="A68" s="88"/>
      <c r="B68" s="88" t="s">
        <v>4344</v>
      </c>
    </row>
    <row customHeight="1" ht="11.25">
      <c r="A69" s="88"/>
      <c r="B69" s="88" t="s">
        <v>4345</v>
      </c>
    </row>
    <row customHeight="1" ht="11.25">
      <c r="A70" s="88"/>
      <c r="B70" s="88" t="s">
        <v>4346</v>
      </c>
    </row>
    <row customHeight="1" ht="11.25">
      <c r="A71" s="88"/>
      <c r="B71" s="88"/>
    </row>
    <row customHeight="1" ht="11.25">
      <c r="A72" s="88"/>
      <c r="B72" s="88"/>
    </row>
    <row customHeight="1" ht="11.25">
      <c r="A73" s="88"/>
      <c r="B73" s="88"/>
    </row>
    <row customHeight="1" ht="11.25">
      <c r="A74" s="88"/>
      <c r="B74" s="88"/>
    </row>
    <row customHeight="1" ht="11.25">
      <c r="A75" s="88"/>
      <c r="B75" s="88"/>
    </row>
    <row customHeight="1" ht="11.25">
      <c r="A76" s="88"/>
      <c r="B76" s="88"/>
    </row>
    <row customHeight="1" ht="11.25">
      <c r="A77" s="88"/>
      <c r="B77" s="88"/>
    </row>
    <row customHeight="1" ht="11.25">
      <c r="A78" s="88"/>
      <c r="B78" s="88"/>
    </row>
    <row customHeight="1" ht="11.25">
      <c r="A79" s="88"/>
      <c r="B79" s="88"/>
    </row>
    <row customHeight="1" ht="11.25">
      <c r="A80" s="88"/>
      <c r="B80" s="88"/>
    </row>
    <row customHeight="1" ht="11.25">
      <c r="A81" s="88"/>
      <c r="B81" s="88"/>
    </row>
    <row customHeight="1" ht="11.25">
      <c r="A82" s="88"/>
      <c r="B82" s="88"/>
    </row>
    <row customHeight="1" ht="11.25">
      <c r="A83" s="88"/>
      <c r="B83" s="88"/>
    </row>
    <row customHeight="1" ht="11.25">
      <c r="A84" s="88"/>
      <c r="B84" s="88"/>
    </row>
    <row customHeight="1" ht="11.25">
      <c r="A85" s="88"/>
      <c r="B85" s="88"/>
    </row>
    <row customHeight="1" ht="11.25">
      <c r="A86" s="88"/>
      <c r="B86" s="88"/>
    </row>
    <row customHeight="1" ht="11.25">
      <c r="A87" s="88"/>
      <c r="B87" s="88"/>
    </row>
    <row customHeight="1" ht="11.25">
      <c r="A88" s="88"/>
      <c r="B88" s="88"/>
    </row>
    <row customHeight="1" ht="11.25">
      <c r="A89" s="88"/>
      <c r="B89" s="88"/>
    </row>
    <row customHeight="1" ht="11.25">
      <c r="A90" s="88"/>
      <c r="B90" s="88"/>
    </row>
    <row customHeight="1" ht="11.25">
      <c r="A91" s="88"/>
      <c r="B91" s="88"/>
    </row>
    <row customHeight="1" ht="11.25">
      <c r="A92" s="88"/>
      <c r="B92" s="88"/>
    </row>
    <row customHeight="1" ht="11.25">
      <c r="A93" s="88"/>
      <c r="B93" s="88"/>
    </row>
    <row customHeight="1" ht="11.25">
      <c r="A94" s="88"/>
      <c r="B94" s="88"/>
    </row>
    <row customHeight="1" ht="11.25">
      <c r="A95" s="88"/>
      <c r="B95" s="88"/>
    </row>
    <row customHeight="1" ht="11.25">
      <c r="A96" s="88"/>
      <c r="B96" s="88"/>
    </row>
    <row customHeight="1" ht="11.25">
      <c r="A97" s="88"/>
      <c r="B97" s="88"/>
    </row>
    <row customHeight="1" ht="11.25">
      <c r="A98" s="88"/>
      <c r="B98" s="88"/>
    </row>
    <row customHeight="1" ht="11.25">
      <c r="A99" s="88"/>
      <c r="B99" s="88"/>
    </row>
    <row customHeight="1" ht="11.25">
      <c r="A100" s="88"/>
      <c r="B100" s="88"/>
    </row>
    <row customHeight="1" ht="11.25">
      <c r="A101" s="88"/>
      <c r="B101" s="88"/>
    </row>
    <row customHeight="1" ht="11.25">
      <c r="A102" s="88"/>
      <c r="B102" s="88"/>
    </row>
    <row customHeight="1" ht="11.25">
      <c r="A103" s="88"/>
      <c r="B103" s="88"/>
    </row>
    <row customHeight="1" ht="11.25">
      <c r="A104" s="88"/>
      <c r="B104" s="88"/>
    </row>
    <row customHeight="1" ht="11.25">
      <c r="A105" s="88"/>
      <c r="B105" s="88"/>
    </row>
    <row customHeight="1" ht="11.25">
      <c r="A106" s="88"/>
      <c r="B106" s="88"/>
    </row>
    <row customHeight="1" ht="11.25">
      <c r="A107" s="88"/>
      <c r="B107" s="88"/>
    </row>
    <row customHeight="1" ht="11.25">
      <c r="A108" s="88"/>
      <c r="B108" s="88"/>
    </row>
    <row customHeight="1" ht="11.25">
      <c r="A109" s="88"/>
      <c r="B109" s="88"/>
    </row>
    <row customHeight="1" ht="11.25">
      <c r="A110" s="88"/>
      <c r="B110" s="88"/>
    </row>
    <row customHeight="1" ht="11.25">
      <c r="A111" s="88"/>
      <c r="B111" s="88"/>
    </row>
    <row customHeight="1" ht="11.25">
      <c r="A112" s="88"/>
      <c r="B112" s="88"/>
    </row>
    <row customHeight="1" ht="11.25">
      <c r="A113" s="88"/>
      <c r="B113" s="88"/>
    </row>
    <row customHeight="1" ht="11.25">
      <c r="A114" s="88"/>
      <c r="B114" s="88"/>
    </row>
    <row customHeight="1" ht="11.25">
      <c r="A115" s="88"/>
      <c r="B115" s="88"/>
    </row>
    <row customHeight="1" ht="11.25">
      <c r="A116" s="88"/>
      <c r="B116" s="88"/>
    </row>
    <row customHeight="1" ht="11.25">
      <c r="A117" s="88"/>
      <c r="B117" s="88"/>
    </row>
    <row customHeight="1" ht="11.25">
      <c r="A118" s="88"/>
      <c r="B118" s="88"/>
    </row>
    <row customHeight="1" ht="11.25">
      <c r="A119" s="88"/>
      <c r="B119" s="88"/>
    </row>
    <row customHeight="1" ht="11.25">
      <c r="A120" s="88"/>
      <c r="B120" s="88"/>
    </row>
    <row customHeight="1" ht="11.25">
      <c r="A121" s="88"/>
      <c r="B121" s="88"/>
    </row>
    <row customHeight="1" ht="11.25">
      <c r="A122" s="88"/>
      <c r="B122" s="88"/>
    </row>
    <row customHeight="1" ht="11.25">
      <c r="A123" s="88"/>
      <c r="B123" s="88"/>
    </row>
    <row customHeight="1" ht="11.25">
      <c r="A124" s="88"/>
      <c r="B124" s="88"/>
    </row>
    <row customHeight="1" ht="11.25">
      <c r="A125" s="88"/>
      <c r="B125" s="88"/>
    </row>
    <row customHeight="1" ht="11.25">
      <c r="A126" s="88"/>
      <c r="B126" s="88"/>
    </row>
    <row customHeight="1" ht="11.25">
      <c r="A127" s="88"/>
      <c r="B127" s="88"/>
    </row>
    <row customHeight="1" ht="11.25">
      <c r="A128" s="88"/>
      <c r="B128" s="88"/>
    </row>
    <row customHeight="1" ht="11.25">
      <c r="A129" s="88"/>
      <c r="B129" s="88"/>
    </row>
    <row customHeight="1" ht="11.25">
      <c r="A130" s="88"/>
      <c r="B130" s="88"/>
    </row>
    <row customHeight="1" ht="11.25">
      <c r="A131" s="88"/>
      <c r="B131" s="88"/>
    </row>
    <row customHeight="1" ht="11.25">
      <c r="A132" s="88"/>
      <c r="B132" s="88"/>
    </row>
    <row customHeight="1" ht="11.25">
      <c r="A133" s="88"/>
      <c r="B133" s="88"/>
    </row>
    <row customHeight="1" ht="11.25">
      <c r="A134" s="88"/>
      <c r="B134" s="88"/>
    </row>
    <row customHeight="1" ht="11.25">
      <c r="A135" s="88"/>
      <c r="B135" s="88"/>
    </row>
    <row customHeight="1" ht="11.25">
      <c r="A136" s="88"/>
      <c r="B136" s="88"/>
    </row>
    <row customHeight="1" ht="11.25">
      <c r="A137" s="88"/>
      <c r="B137" s="88"/>
    </row>
    <row customHeight="1" ht="11.25">
      <c r="A138" s="88"/>
      <c r="B138" s="88"/>
    </row>
    <row customHeight="1" ht="11.25">
      <c r="A139" s="88"/>
      <c r="B139" s="88"/>
    </row>
    <row customHeight="1" ht="11.25">
      <c r="A140" s="88"/>
      <c r="B140" s="88"/>
    </row>
    <row customHeight="1" ht="11.25">
      <c r="A141" s="88"/>
      <c r="B141" s="88"/>
    </row>
    <row customHeight="1" ht="11.25">
      <c r="A142" s="88"/>
      <c r="B142" s="88"/>
    </row>
    <row customHeight="1" ht="11.25">
      <c r="A143" s="88"/>
      <c r="B143" s="88"/>
    </row>
    <row customHeight="1" ht="11.25">
      <c r="A144" s="88"/>
      <c r="B144" s="88"/>
    </row>
    <row customHeight="1" ht="11.25">
      <c r="A145" s="88"/>
      <c r="B145" s="88"/>
    </row>
    <row customHeight="1" ht="11.25">
      <c r="A146" s="88"/>
      <c r="B146" s="88"/>
    </row>
    <row customHeight="1" ht="11.25">
      <c r="A147" s="88"/>
      <c r="B147" s="88"/>
    </row>
    <row customHeight="1" ht="11.25">
      <c r="A148" s="88"/>
      <c r="B148" s="88"/>
    </row>
    <row customHeight="1" ht="11.25">
      <c r="A149" s="88"/>
      <c r="B149" s="88"/>
    </row>
    <row customHeight="1" ht="11.25">
      <c r="A150" s="88"/>
      <c r="B150" s="88"/>
    </row>
    <row customHeight="1" ht="11.25">
      <c r="A151" s="88"/>
      <c r="B151" s="88"/>
    </row>
    <row customHeight="1" ht="11.25">
      <c r="A152" s="88"/>
      <c r="B152" s="88"/>
    </row>
    <row customHeight="1" ht="11.25">
      <c r="A153" s="88"/>
      <c r="B153" s="88"/>
    </row>
    <row customHeight="1" ht="11.25">
      <c r="A154" s="88"/>
      <c r="B154" s="88"/>
    </row>
    <row customHeight="1" ht="11.25">
      <c r="A155" s="88"/>
      <c r="B155" s="88"/>
    </row>
    <row customHeight="1" ht="11.25">
      <c r="A156" s="88"/>
      <c r="B156" s="88"/>
    </row>
    <row customHeight="1" ht="11.25">
      <c r="A157" s="88"/>
      <c r="B157" s="88"/>
    </row>
    <row customHeight="1" ht="11.25">
      <c r="A158" s="88"/>
      <c r="B158" s="88"/>
    </row>
    <row customHeight="1" ht="11.25">
      <c r="A159" s="88"/>
      <c r="B159" s="88"/>
    </row>
    <row customHeight="1" ht="11.25">
      <c r="A160" s="88"/>
      <c r="B160" s="88"/>
    </row>
    <row customHeight="1" ht="11.25">
      <c r="A161" s="88"/>
      <c r="B161" s="88"/>
    </row>
    <row customHeight="1" ht="11.25">
      <c r="A162" s="88"/>
      <c r="B162" s="88"/>
    </row>
    <row customHeight="1" ht="11.25">
      <c r="A163" s="88"/>
      <c r="B163" s="88"/>
    </row>
    <row customHeight="1" ht="11.25">
      <c r="A164" s="88"/>
      <c r="B164" s="88"/>
    </row>
    <row customHeight="1" ht="11.25">
      <c r="A165" s="88"/>
      <c r="B165" s="88"/>
    </row>
    <row customHeight="1" ht="11.25">
      <c r="A166" s="88"/>
      <c r="B166" s="88"/>
    </row>
    <row customHeight="1" ht="11.25">
      <c r="A167" s="88"/>
      <c r="B167" s="88"/>
    </row>
    <row customHeight="1" ht="11.25">
      <c r="A168" s="88"/>
      <c r="B168" s="88"/>
    </row>
    <row customHeight="1" ht="11.25">
      <c r="A169" s="88"/>
      <c r="B169" s="88"/>
    </row>
    <row customHeight="1" ht="11.25">
      <c r="A170" s="88"/>
      <c r="B170" s="88"/>
    </row>
    <row customHeight="1" ht="11.25">
      <c r="A171" s="88"/>
      <c r="B171" s="88"/>
    </row>
    <row customHeight="1" ht="11.25">
      <c r="A172" s="88"/>
      <c r="B172" s="88"/>
    </row>
    <row customHeight="1" ht="11.25">
      <c r="A173" s="88"/>
      <c r="B173" s="88"/>
    </row>
    <row customHeight="1" ht="11.25">
      <c r="A174" s="88"/>
      <c r="B174" s="88"/>
    </row>
    <row customHeight="1" ht="11.25">
      <c r="A175" s="88"/>
      <c r="B175" s="88"/>
    </row>
    <row customHeight="1" ht="11.25">
      <c r="A176" s="88"/>
      <c r="B176" s="88"/>
    </row>
    <row customHeight="1" ht="11.25">
      <c r="A177" s="88"/>
      <c r="B177" s="88"/>
    </row>
    <row customHeight="1" ht="11.25">
      <c r="A178" s="88"/>
      <c r="B178" s="88"/>
    </row>
    <row customHeight="1" ht="11.25">
      <c r="A179" s="88"/>
      <c r="B179" s="88"/>
    </row>
    <row customHeight="1" ht="11.25">
      <c r="A180" s="88"/>
      <c r="B180" s="88"/>
    </row>
    <row customHeight="1" ht="11.25">
      <c r="A181" s="88"/>
      <c r="B181" s="88"/>
    </row>
    <row customHeight="1" ht="11.25">
      <c r="A182" s="88"/>
      <c r="B182" s="88"/>
    </row>
    <row customHeight="1" ht="11.25">
      <c r="A183" s="88"/>
      <c r="B183" s="88"/>
    </row>
    <row customHeight="1" ht="11.25">
      <c r="A184" s="88"/>
      <c r="B184" s="88"/>
    </row>
    <row customHeight="1" ht="11.25">
      <c r="A185" s="88"/>
      <c r="B185" s="88"/>
    </row>
    <row customHeight="1" ht="11.25">
      <c r="A186" s="88"/>
      <c r="B186" s="88"/>
    </row>
    <row customHeight="1" ht="11.25">
      <c r="A187" s="88"/>
      <c r="B187" s="88"/>
    </row>
    <row customHeight="1" ht="11.25">
      <c r="A188" s="88"/>
      <c r="B188" s="88"/>
    </row>
    <row customHeight="1" ht="11.25">
      <c r="A189" s="88"/>
      <c r="B189" s="88"/>
    </row>
    <row customHeight="1" ht="11.25">
      <c r="A190" s="88"/>
      <c r="B190" s="88"/>
    </row>
    <row customHeight="1" ht="11.25">
      <c r="A191" s="88"/>
      <c r="B191" s="88"/>
    </row>
    <row customHeight="1" ht="11.25">
      <c r="A192" s="88"/>
      <c r="B192" s="88"/>
    </row>
    <row customHeight="1" ht="11.25">
      <c r="A193" s="88"/>
      <c r="B193" s="88"/>
    </row>
    <row customHeight="1" ht="11.25">
      <c r="A194" s="88"/>
      <c r="B194" s="88"/>
    </row>
    <row customHeight="1" ht="11.25">
      <c r="A195" s="88"/>
      <c r="B195" s="88"/>
    </row>
    <row customHeight="1" ht="11.25">
      <c r="A196" s="88"/>
      <c r="B196" s="88"/>
    </row>
    <row customHeight="1" ht="11.25">
      <c r="A197" s="88"/>
      <c r="B197" s="88"/>
    </row>
    <row customHeight="1" ht="11.25">
      <c r="A198" s="88"/>
      <c r="B198" s="88"/>
    </row>
    <row customHeight="1" ht="11.25">
      <c r="A199" s="88"/>
      <c r="B199" s="88"/>
    </row>
    <row customHeight="1" ht="11.25">
      <c r="A200" s="88"/>
      <c r="B200" s="88"/>
    </row>
    <row customHeight="1" ht="11.25">
      <c r="A201" s="88"/>
      <c r="B201" s="88"/>
    </row>
    <row customHeight="1" ht="11.25">
      <c r="A202" s="88"/>
      <c r="B202" s="88"/>
    </row>
    <row customHeight="1" ht="11.25">
      <c r="A203" s="88"/>
      <c r="B203" s="88"/>
    </row>
    <row customHeight="1" ht="11.25">
      <c r="A204" s="88"/>
      <c r="B204" s="88"/>
    </row>
    <row customHeight="1" ht="11.25">
      <c r="A205" s="88"/>
      <c r="B205" s="88"/>
    </row>
    <row customHeight="1" ht="11.25">
      <c r="A206" s="88"/>
      <c r="B206" s="88"/>
    </row>
    <row customHeight="1" ht="11.25">
      <c r="A207" s="88"/>
      <c r="B207" s="88"/>
    </row>
    <row customHeight="1" ht="11.25">
      <c r="A208" s="88"/>
      <c r="B208" s="88"/>
    </row>
    <row customHeight="1" ht="11.25">
      <c r="A209" s="88"/>
      <c r="B209" s="88"/>
    </row>
    <row customHeight="1" ht="11.25">
      <c r="A210" s="88"/>
      <c r="B210" s="88"/>
    </row>
    <row customHeight="1" ht="11.25">
      <c r="A211" s="88"/>
      <c r="B211" s="88"/>
    </row>
    <row customHeight="1" ht="11.25">
      <c r="A212" s="88"/>
      <c r="B212" s="88"/>
    </row>
    <row customHeight="1" ht="11.25">
      <c r="A213" s="88"/>
      <c r="B213" s="88"/>
    </row>
    <row customHeight="1" ht="11.25">
      <c r="A214" s="88"/>
      <c r="B214" s="88"/>
    </row>
    <row customHeight="1" ht="11.25">
      <c r="A215" s="88"/>
      <c r="B215" s="88"/>
    </row>
    <row customHeight="1" ht="11.25">
      <c r="A216" s="88"/>
      <c r="B216" s="88"/>
    </row>
    <row customHeight="1" ht="11.25">
      <c r="A217" s="88"/>
      <c r="B217" s="88"/>
    </row>
    <row customHeight="1" ht="11.25">
      <c r="A218" s="88"/>
      <c r="B218" s="88"/>
    </row>
    <row customHeight="1" ht="11.25">
      <c r="A219" s="88"/>
      <c r="B219" s="88"/>
    </row>
    <row customHeight="1" ht="11.25">
      <c r="A220" s="88"/>
      <c r="B220" s="88"/>
    </row>
    <row customHeight="1" ht="11.25">
      <c r="A221" s="88"/>
      <c r="B221" s="88"/>
    </row>
    <row customHeight="1" ht="11.25">
      <c r="A222" s="88"/>
      <c r="B222" s="88"/>
    </row>
    <row customHeight="1" ht="11.25">
      <c r="A223" s="88"/>
      <c r="B223" s="88"/>
    </row>
    <row customHeight="1" ht="11.25">
      <c r="A224" s="88"/>
      <c r="B224" s="88"/>
    </row>
    <row customHeight="1" ht="11.25">
      <c r="A225" s="88"/>
      <c r="B225" s="88"/>
    </row>
    <row customHeight="1" ht="11.25">
      <c r="A226" s="88"/>
      <c r="B226" s="88"/>
    </row>
    <row customHeight="1" ht="11.25">
      <c r="A227" s="88"/>
      <c r="B227" s="88"/>
    </row>
    <row customHeight="1" ht="11.25">
      <c r="A228" s="88"/>
      <c r="B228" s="88"/>
    </row>
    <row customHeight="1" ht="11.25">
      <c r="A229" s="88"/>
      <c r="B229" s="88"/>
    </row>
    <row customHeight="1" ht="11.25">
      <c r="A230" s="88"/>
      <c r="B230" s="88"/>
    </row>
    <row customHeight="1" ht="11.25">
      <c r="A231" s="88"/>
      <c r="B231" s="88"/>
    </row>
    <row customHeight="1" ht="11.25">
      <c r="A232" s="88"/>
      <c r="B232" s="88"/>
    </row>
    <row customHeight="1" ht="11.25">
      <c r="A233" s="88"/>
      <c r="B233" s="88"/>
    </row>
    <row customHeight="1" ht="11.25">
      <c r="A234" s="88"/>
      <c r="B234" s="88"/>
    </row>
    <row customHeight="1" ht="11.25">
      <c r="A235" s="88"/>
      <c r="B235" s="88"/>
    </row>
    <row customHeight="1" ht="11.25">
      <c r="A236" s="88"/>
      <c r="B236" s="88"/>
    </row>
    <row customHeight="1" ht="11.25">
      <c r="A237" s="88"/>
      <c r="B237" s="88"/>
    </row>
    <row customHeight="1" ht="11.25">
      <c r="A238" s="88"/>
      <c r="B238" s="88"/>
    </row>
    <row customHeight="1" ht="11.25">
      <c r="A239" s="88"/>
      <c r="B239" s="88"/>
    </row>
    <row customHeight="1" ht="11.25">
      <c r="A240" s="88"/>
      <c r="B240" s="88"/>
    </row>
    <row customHeight="1" ht="11.25">
      <c r="A241" s="88"/>
      <c r="B241" s="88"/>
    </row>
    <row customHeight="1" ht="11.25">
      <c r="A242" s="88"/>
      <c r="B242" s="88"/>
    </row>
    <row customHeight="1" ht="11.25">
      <c r="A243" s="88"/>
      <c r="B243" s="88"/>
    </row>
    <row customHeight="1" ht="11.25">
      <c r="A244" s="88"/>
      <c r="B244" s="88"/>
    </row>
    <row customHeight="1" ht="11.25">
      <c r="A245" s="88"/>
      <c r="B245" s="88"/>
    </row>
    <row customHeight="1" ht="11.25">
      <c r="A246" s="88"/>
      <c r="B246" s="88"/>
    </row>
    <row customHeight="1" ht="11.25">
      <c r="A247" s="88"/>
      <c r="B247" s="88"/>
    </row>
    <row customHeight="1" ht="11.25">
      <c r="A248" s="88"/>
      <c r="B248" s="88"/>
    </row>
    <row customHeight="1" ht="11.25">
      <c r="A249" s="88"/>
      <c r="B249" s="88"/>
    </row>
    <row customHeight="1" ht="11.25">
      <c r="A250" s="88"/>
      <c r="B250" s="88"/>
    </row>
    <row customHeight="1" ht="11.25">
      <c r="A251" s="88"/>
      <c r="B251" s="88"/>
    </row>
    <row customHeight="1" ht="11.25">
      <c r="A252" s="88"/>
      <c r="B252" s="88"/>
    </row>
    <row customHeight="1" ht="11.25">
      <c r="A253" s="88"/>
      <c r="B253" s="88"/>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88305B-A6A2-255D-44F1-0.4739051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74" width="3.7109375" customWidth="1"/>
    <col min="2" max="2" style="1874" width="90.7109375" customWidth="1"/>
    <col min="3" max="4" style="1874" width="9.140625"/>
  </cols>
  <sheetData>
    <row customHeight="1" ht="11.25">
      <c r="B1" s="117" t="s">
        <v>4347</v>
      </c>
    </row>
    <row customHeight="1" ht="90">
      <c r="B2" s="118" t="s">
        <v>4348</v>
      </c>
    </row>
    <row customHeight="1" ht="67.5">
      <c r="B3" s="118" t="s">
        <v>4349</v>
      </c>
    </row>
    <row customHeight="1" ht="33.75">
      <c r="B4" s="118" t="s">
        <v>4350</v>
      </c>
    </row>
    <row customHeight="1" ht="11.25">
      <c r="B5" s="118" t="s">
        <v>4351</v>
      </c>
    </row>
    <row customHeight="1" ht="22.5">
      <c r="B6" s="118" t="s">
        <v>4352</v>
      </c>
    </row>
    <row customHeight="1" ht="22.5">
      <c r="B7" s="118" t="s">
        <v>4353</v>
      </c>
    </row>
    <row customHeight="1" ht="22.5">
      <c r="B8" s="118" t="s">
        <v>4354</v>
      </c>
    </row>
    <row customHeight="1" ht="22.5">
      <c r="B9" s="118" t="s">
        <v>4355</v>
      </c>
    </row>
    <row customHeight="1" ht="56.25">
      <c r="B10" s="118" t="s">
        <v>4356</v>
      </c>
    </row>
    <row customHeight="1" ht="12.75">
      <c r="B11" s="183" t="s">
        <v>4357</v>
      </c>
    </row>
    <row customHeight="1" ht="11.25">
      <c r="B12" s="117" t="s">
        <v>4358</v>
      </c>
    </row>
    <row customHeight="1" ht="22.5">
      <c r="B13" s="118" t="s">
        <v>4359</v>
      </c>
    </row>
    <row customHeight="1" ht="67.5">
      <c r="B14" s="118" t="s">
        <v>4360</v>
      </c>
    </row>
    <row customHeight="1" ht="22.5">
      <c r="B15" s="118" t="s">
        <v>4361</v>
      </c>
    </row>
    <row customHeight="1" ht="11.25">
      <c r="B16" s="117" t="s">
        <v>4362</v>
      </c>
      <c r="D16" s="124"/>
    </row>
    <row customHeight="1" ht="33.75">
      <c r="B17" s="118" t="s">
        <v>4363</v>
      </c>
    </row>
    <row customHeight="1" ht="33.75">
      <c r="B18" s="118" t="s">
        <v>4364</v>
      </c>
    </row>
    <row customHeight="1" ht="11.25">
      <c r="B19" s="118" t="s">
        <v>4365</v>
      </c>
    </row>
    <row customHeight="1" ht="33.75">
      <c r="B20" s="118" t="s">
        <v>4366</v>
      </c>
    </row>
    <row customHeight="1" ht="11.25">
      <c r="B21" s="117" t="s">
        <v>4367</v>
      </c>
    </row>
    <row customHeight="1" ht="11.25">
      <c r="B22" s="118" t="s">
        <v>4368</v>
      </c>
    </row>
    <row r="24" customHeight="1" ht="22.5">
      <c r="B24" s="185" t="s">
        <v>4369</v>
      </c>
    </row>
    <row r="26" customHeight="1" ht="11.25">
      <c r="B26" s="117" t="s">
        <v>4370</v>
      </c>
    </row>
    <row customHeight="1" ht="22.5">
      <c r="B27" s="184" t="s">
        <v>480</v>
      </c>
    </row>
    <row customHeight="1" ht="56.25">
      <c r="B28" s="184" t="s">
        <v>4371</v>
      </c>
    </row>
    <row customHeight="1" ht="11.25">
      <c r="B29" s="234" t="s">
        <v>4372</v>
      </c>
    </row>
    <row customHeight="1" ht="22.5">
      <c r="B30" s="184" t="s">
        <v>4373</v>
      </c>
    </row>
    <row r="32" customHeight="1" ht="11.25">
      <c r="A32" s="212"/>
      <c r="B32" s="213" t="s">
        <v>4374</v>
      </c>
    </row>
    <row customHeight="1" ht="14.25">
      <c r="A33" s="214">
        <v>1</v>
      </c>
      <c r="B33" s="215" t="s">
        <v>4375</v>
      </c>
    </row>
    <row customHeight="1" ht="14.25">
      <c r="A34" s="214">
        <v>2</v>
      </c>
      <c r="B34" s="215" t="s">
        <v>4376</v>
      </c>
    </row>
    <row customHeight="1" ht="11.25">
      <c r="B35" s="213" t="s">
        <v>4377</v>
      </c>
    </row>
    <row customHeight="1" ht="11.25">
      <c r="B36" s="215" t="s">
        <v>4378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7C102-6CB6-4DE7-167F-0.A2039C5C}"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56" width="9.140625" hidden="1" customWidth="1"/>
    <col min="2" max="2" style="1659" width="9.140625" hidden="1" customWidth="1"/>
    <col min="3" max="3" style="1866" width="3.00390625" customWidth="1"/>
    <col min="4" max="4" style="1659" width="5.00390625" customWidth="1"/>
    <col min="5" max="5" style="1659" width="38.00390625" customWidth="1"/>
    <col min="6" max="7" style="1659" width="3.00390625" customWidth="1"/>
    <col min="8" max="8" style="1659" width="38.00390625" customWidth="1"/>
    <col min="9" max="9" style="1659" width="35.00390625" customWidth="1"/>
    <col min="10" max="10" style="1659" width="103.00390625" customWidth="1"/>
    <col min="11" max="11" style="1843" width="3.00390625" customWidth="1"/>
    <col min="12" max="14" style="1666" width="10.00390625" customWidth="1"/>
    <col min="15" max="15" style="1666" width="13.00390625" customWidth="1"/>
    <col min="16" max="16" style="1666" width="15.00390625" customWidth="1"/>
    <col min="17" max="17" style="1666" width="16.00390625" customWidth="1"/>
    <col min="18" max="21" style="1666" width="10.00390625" customWidth="1"/>
    <col min="22" max="22" style="1659" width="10.57421875" hidden="1"/>
  </cols>
  <sheetData>
    <row customHeight="1" ht="22.5" hidden="1">
      <c r="E1" s="436"/>
      <c r="F1" s="436"/>
      <c r="G1" s="436"/>
      <c r="H1" s="2241" t="s">
        <v>436</v>
      </c>
      <c r="I1" s="2241"/>
      <c r="V1" s="1631" t="s">
        <v>14</v>
      </c>
    </row>
    <row s="1659" customFormat="1" customHeight="1" ht="14.25" hidden="1">
      <c r="C2" s="1643"/>
      <c r="D2" s="2257" t="s">
        <v>170</v>
      </c>
      <c r="E2" s="2259"/>
      <c r="F2" s="1649"/>
      <c r="G2" s="1644" t="s">
        <v>170</v>
      </c>
      <c r="H2" s="1647"/>
      <c r="I2" s="1645"/>
      <c r="L2" s="1646"/>
      <c r="M2" s="1646"/>
      <c r="N2" s="1646"/>
      <c r="O2" s="1646" t="s">
        <v>466</v>
      </c>
      <c r="P2" s="1646"/>
      <c r="Q2" s="1646"/>
      <c r="R2" s="1648" t="s">
        <v>465</v>
      </c>
      <c r="S2" s="1648" t="s">
        <v>465</v>
      </c>
      <c r="T2" s="1646"/>
      <c r="U2" s="1646"/>
      <c r="V2" s="1642">
        <v>0</v>
      </c>
    </row>
    <row s="1659" customFormat="1" customHeight="1" ht="14.25" hidden="1">
      <c r="C3" s="1643"/>
      <c r="D3" s="2258"/>
      <c r="E3" s="2260"/>
      <c r="F3" s="429"/>
      <c r="G3" s="893"/>
      <c r="H3" s="893" t="s">
        <v>467</v>
      </c>
      <c r="I3" s="337"/>
      <c r="L3" s="1646"/>
      <c r="M3" s="1646"/>
      <c r="N3" s="1646"/>
      <c r="O3" s="1646"/>
      <c r="P3" s="1646"/>
      <c r="Q3" s="1646"/>
      <c r="R3" s="1648"/>
      <c r="S3" s="1648"/>
      <c r="T3" s="1646"/>
      <c r="U3" s="1646"/>
      <c r="V3" s="1642">
        <v>0</v>
      </c>
    </row>
    <row customHeight="1" ht="14.25" hidden="1">
      <c r="V4" s="1631">
        <v>0</v>
      </c>
    </row>
    <row s="1637" customFormat="1" customHeight="1" ht="5.25">
      <c r="C5" s="725"/>
      <c r="D5" s="726"/>
      <c r="E5" s="726"/>
      <c r="F5" s="726"/>
      <c r="G5" s="726"/>
      <c r="H5" s="726" t="s">
        <v>440</v>
      </c>
      <c r="I5" s="726"/>
      <c r="J5" s="726"/>
      <c r="L5" s="1638"/>
      <c r="M5" s="1638"/>
      <c r="N5" s="1638"/>
      <c r="O5" s="1638"/>
      <c r="P5" s="1638"/>
      <c r="Q5" s="1638"/>
      <c r="R5" s="1638"/>
      <c r="S5" s="1638"/>
      <c r="T5" s="1638"/>
      <c r="U5" s="1638"/>
      <c r="V5" s="1637">
        <v>5</v>
      </c>
    </row>
    <row customHeight="1" ht="29.25">
      <c r="C6" s="1540"/>
      <c r="D6" s="2261" t="s">
        <v>468</v>
      </c>
      <c r="E6" s="2261"/>
      <c r="F6" s="2261"/>
      <c r="G6" s="2261"/>
      <c r="H6" s="2261"/>
      <c r="I6" s="2261"/>
      <c r="J6" s="515"/>
      <c r="K6" s="1639"/>
      <c r="V6" s="1631">
        <v>28</v>
      </c>
    </row>
    <row customHeight="1" ht="18">
      <c r="C7" s="1540"/>
      <c r="D7" s="2200" t="str">
        <f>IF(org=0,"Не определено",org)</f>
        <v>АО "ДГК"</v>
      </c>
      <c r="E7" s="2200"/>
      <c r="F7" s="2200"/>
      <c r="G7" s="2200"/>
      <c r="H7" s="2200"/>
      <c r="I7" s="2200"/>
      <c r="J7" s="515"/>
      <c r="K7" s="1639"/>
      <c r="V7" s="1631">
        <v>17</v>
      </c>
    </row>
    <row s="1636" customFormat="1" customHeight="1" ht="5.25">
      <c r="A8" s="1635"/>
      <c r="C8" s="510"/>
      <c r="D8" s="509"/>
      <c r="E8" s="509"/>
      <c r="F8" s="509"/>
      <c r="G8" s="509"/>
      <c r="H8" s="509"/>
      <c r="I8" s="509"/>
      <c r="J8" s="509"/>
      <c r="L8" s="1638"/>
      <c r="M8" s="1638"/>
      <c r="N8" s="1638"/>
      <c r="O8" s="1638"/>
      <c r="P8" s="1638"/>
      <c r="Q8" s="1638"/>
      <c r="R8" s="1638"/>
      <c r="S8" s="1638"/>
      <c r="T8" s="1638"/>
      <c r="U8" s="1638"/>
      <c r="V8" s="1636">
        <v>5</v>
      </c>
    </row>
    <row s="1636" customFormat="1" customHeight="1" ht="5.25">
      <c r="A9" s="1635"/>
      <c r="C9" s="510"/>
      <c r="D9" s="509"/>
      <c r="E9" s="509"/>
      <c r="F9" s="509"/>
      <c r="G9" s="509"/>
      <c r="H9" s="509"/>
      <c r="I9" s="509"/>
      <c r="J9" s="509"/>
      <c r="L9" s="1646"/>
      <c r="M9" s="1646"/>
      <c r="N9" s="1646"/>
      <c r="O9" s="1646"/>
      <c r="P9" s="1646"/>
      <c r="Q9" s="1646"/>
      <c r="R9" s="1646"/>
      <c r="S9" s="1646"/>
      <c r="T9" s="1646"/>
      <c r="U9" s="1646"/>
      <c r="V9" s="1636">
        <v>5</v>
      </c>
    </row>
    <row customHeight="1" ht="14.699999999999998">
      <c r="C10" s="1540"/>
      <c r="D10" s="2242" t="s">
        <v>384</v>
      </c>
      <c r="E10" s="2243"/>
      <c r="F10" s="2243"/>
      <c r="G10" s="2243"/>
      <c r="H10" s="2243"/>
      <c r="I10" s="2243"/>
      <c r="J10" s="2247" t="s">
        <v>385</v>
      </c>
      <c r="V10" s="1631">
        <v>14</v>
      </c>
    </row>
    <row customHeight="1" ht="27.299999999999997">
      <c r="C11" s="1540"/>
      <c r="D11" s="2151" t="s">
        <v>88</v>
      </c>
      <c r="E11" s="2247" t="s">
        <v>166</v>
      </c>
      <c r="F11" s="2216" t="s">
        <v>88</v>
      </c>
      <c r="G11" s="2217"/>
      <c r="H11" s="2199" t="s">
        <v>469</v>
      </c>
      <c r="I11" s="2199" t="s">
        <v>470</v>
      </c>
      <c r="J11" s="2247"/>
      <c r="V11" s="1631">
        <v>26</v>
      </c>
    </row>
    <row customHeight="1" ht="14.699999999999998">
      <c r="C12" s="1540"/>
      <c r="D12" s="2151"/>
      <c r="E12" s="2247"/>
      <c r="F12" s="2224"/>
      <c r="G12" s="2225"/>
      <c r="H12" s="2256"/>
      <c r="I12" s="2256"/>
      <c r="J12" s="2247"/>
      <c r="V12" s="1631">
        <v>14</v>
      </c>
    </row>
    <row s="1665" customFormat="1" customHeight="1" ht="11.25" hidden="1">
      <c r="C13" s="522"/>
      <c r="D13" s="523" t="s">
        <v>460</v>
      </c>
      <c r="E13" s="523"/>
      <c r="F13" s="523"/>
      <c r="G13" s="523"/>
      <c r="H13" s="521"/>
      <c r="I13" s="521"/>
      <c r="J13" s="459"/>
      <c r="L13" s="1638"/>
      <c r="M13" s="1638"/>
      <c r="N13" s="1638"/>
      <c r="O13" s="1638"/>
      <c r="P13" s="1638"/>
      <c r="Q13" s="1638"/>
      <c r="R13" s="1638"/>
      <c r="S13" s="1638"/>
      <c r="T13" s="1638"/>
      <c r="U13" s="1638"/>
      <c r="V13" s="520">
        <v>0</v>
      </c>
    </row>
    <row customHeight="1" ht="14.699999999999998">
      <c r="A14" s="1631"/>
      <c r="C14" s="1540"/>
      <c r="D14" s="2257" t="s">
        <v>170</v>
      </c>
      <c r="E14" s="2259"/>
      <c r="F14" s="1641"/>
      <c r="G14" s="1640" t="s">
        <v>170</v>
      </c>
      <c r="H14" s="1647"/>
      <c r="I14" s="1645"/>
      <c r="J14" s="2193" t="s">
        <v>471</v>
      </c>
      <c r="K14" s="1631"/>
      <c r="R14" s="524" t="s">
        <v>465</v>
      </c>
      <c r="S14" s="524" t="s">
        <v>465</v>
      </c>
      <c r="V14" s="1631">
        <v>14</v>
      </c>
    </row>
    <row customHeight="1" ht="14.699999999999998">
      <c r="A15" s="1631"/>
      <c r="C15" s="1540"/>
      <c r="D15" s="2258"/>
      <c r="E15" s="2260"/>
      <c r="F15" s="429"/>
      <c r="G15" s="893"/>
      <c r="H15" s="893" t="s">
        <v>467</v>
      </c>
      <c r="I15" s="337"/>
      <c r="J15" s="2194"/>
      <c r="K15" s="1631"/>
      <c r="R15" s="524"/>
      <c r="S15" s="524"/>
      <c r="V15" s="1631">
        <v>14</v>
      </c>
    </row>
    <row customHeight="1" ht="14.699999999999998">
      <c r="A16" s="1631"/>
      <c r="C16" s="1540"/>
      <c r="D16" s="429"/>
      <c r="E16" s="893" t="s">
        <v>209</v>
      </c>
      <c r="F16" s="337"/>
      <c r="G16" s="337"/>
      <c r="H16" s="430"/>
      <c r="I16" s="430"/>
      <c r="J16" s="2195"/>
      <c r="K16" s="1631"/>
      <c r="V16" s="1631">
        <v>14</v>
      </c>
    </row>
    <row customHeight="1" ht="14.699999999999998">
      <c r="K17" s="1631"/>
      <c r="V17" s="1631">
        <v>14</v>
      </c>
    </row>
    <row customHeight="1" ht="22.5" hidden="1">
      <c r="A18" s="1632" t="s">
        <v>82</v>
      </c>
      <c r="B18" s="1631">
        <v>0</v>
      </c>
      <c r="C18" s="475">
        <v>3</v>
      </c>
      <c r="D18" s="1631">
        <v>5</v>
      </c>
      <c r="E18" s="1631">
        <v>38</v>
      </c>
      <c r="F18" s="1631">
        <v>3</v>
      </c>
      <c r="G18" s="1631">
        <v>3</v>
      </c>
      <c r="H18" s="1631">
        <v>38</v>
      </c>
      <c r="I18" s="1631">
        <v>35</v>
      </c>
      <c r="J18" s="1631">
        <v>103</v>
      </c>
      <c r="K18" s="1633">
        <v>3</v>
      </c>
      <c r="L18" s="1638">
        <v>10</v>
      </c>
      <c r="M18" s="1638">
        <v>10</v>
      </c>
      <c r="N18" s="1638">
        <v>10</v>
      </c>
      <c r="O18" s="1638">
        <v>13</v>
      </c>
      <c r="P18" s="1638">
        <v>15</v>
      </c>
      <c r="Q18" s="1638">
        <v>16</v>
      </c>
      <c r="R18" s="1638">
        <v>10</v>
      </c>
      <c r="S18" s="1638">
        <v>10</v>
      </c>
      <c r="T18" s="1638">
        <v>10</v>
      </c>
      <c r="U18" s="1638">
        <v>10</v>
      </c>
      <c r="V18" s="1631">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